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8C704C2F-966B-4CB7-978C-DEFE657B1320}" xr6:coauthVersionLast="47" xr6:coauthVersionMax="47" xr10:uidLastSave="{00000000-0000-0000-0000-000000000000}"/>
  <bookViews>
    <workbookView xWindow="-110" yWindow="-110" windowWidth="27580" windowHeight="17740" activeTab="1" xr2:uid="{F56262E1-0845-4689-AC3F-E446E4ED5BBD}"/>
  </bookViews>
  <sheets>
    <sheet name="Contacts" sheetId="2" r:id="rId1"/>
    <sheet name="Sheet1" sheetId="9" r:id="rId2"/>
    <sheet name="Input" sheetId="4" r:id="rId3"/>
    <sheet name="View_Print" sheetId="5" r:id="rId4"/>
    <sheet name="Log" sheetId="6" r:id="rId5"/>
    <sheet name="Update" sheetId="7" r:id="rId6"/>
    <sheet name="Data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3" i="5" l="1"/>
  <c r="Q179" i="5"/>
  <c r="H172" i="5"/>
  <c r="B160" i="5"/>
  <c r="A160" i="5"/>
  <c r="Q158" i="5"/>
  <c r="D157" i="5"/>
  <c r="F156" i="5"/>
  <c r="O155" i="5"/>
  <c r="N153" i="5"/>
  <c r="H153" i="5"/>
  <c r="I152" i="5"/>
  <c r="C150" i="5"/>
  <c r="A150" i="5"/>
  <c r="N148" i="5"/>
  <c r="D147" i="5"/>
  <c r="G146" i="5"/>
  <c r="P145" i="5"/>
  <c r="K143" i="5"/>
  <c r="H143" i="5"/>
  <c r="I142" i="5"/>
  <c r="C140" i="5"/>
  <c r="O139" i="5"/>
  <c r="O138" i="5"/>
  <c r="A137" i="5"/>
  <c r="G136" i="5"/>
  <c r="P135" i="5"/>
  <c r="L133" i="5"/>
  <c r="E133" i="5"/>
  <c r="F132" i="5"/>
  <c r="Q129" i="5"/>
  <c r="P129" i="5"/>
  <c r="O128" i="5"/>
  <c r="B127" i="5"/>
  <c r="D126" i="5"/>
  <c r="M125" i="5"/>
  <c r="L123" i="5"/>
  <c r="F123" i="5"/>
  <c r="G122" i="5"/>
  <c r="A120" i="5"/>
  <c r="P119" i="5"/>
  <c r="L118" i="5"/>
  <c r="B117" i="5"/>
  <c r="E116" i="5"/>
  <c r="N115" i="5"/>
  <c r="I113" i="5"/>
  <c r="F113" i="5"/>
  <c r="G112" i="5"/>
  <c r="A110" i="5"/>
  <c r="M109" i="5"/>
  <c r="M108" i="5"/>
  <c r="P106" i="5"/>
  <c r="E106" i="5"/>
  <c r="N105" i="5"/>
  <c r="J103" i="5"/>
  <c r="C103" i="5"/>
  <c r="D102" i="5"/>
  <c r="F100" i="5"/>
  <c r="E100" i="5"/>
  <c r="G99" i="5"/>
  <c r="B98" i="5"/>
  <c r="I97" i="5"/>
  <c r="C97" i="5"/>
  <c r="J95" i="5"/>
  <c r="E95" i="5"/>
  <c r="K94" i="5"/>
  <c r="N92" i="5"/>
  <c r="M92" i="5"/>
  <c r="O91" i="5"/>
  <c r="N90" i="5"/>
  <c r="G90" i="5"/>
  <c r="C90" i="5"/>
  <c r="A89" i="5"/>
  <c r="P88" i="5"/>
  <c r="I88" i="5"/>
  <c r="I87" i="5"/>
  <c r="H87" i="5"/>
  <c r="Q86" i="5"/>
  <c r="D86" i="5"/>
  <c r="P85" i="5"/>
  <c r="M85" i="5"/>
  <c r="P84" i="5"/>
  <c r="N84" i="5"/>
  <c r="H84" i="5"/>
  <c r="J83" i="5"/>
  <c r="I83" i="5"/>
  <c r="B83" i="5"/>
  <c r="H82" i="5"/>
  <c r="C82" i="5"/>
  <c r="Q81" i="5"/>
  <c r="C81" i="5"/>
  <c r="A81" i="5"/>
  <c r="L80" i="5"/>
  <c r="N79" i="5"/>
  <c r="M79" i="5"/>
  <c r="F79" i="5"/>
  <c r="L78" i="5"/>
  <c r="G78" i="5"/>
  <c r="D78" i="5"/>
  <c r="G77" i="5"/>
  <c r="E77" i="5"/>
  <c r="P76" i="5"/>
  <c r="A76" i="5"/>
  <c r="Q75" i="5"/>
  <c r="J75" i="5"/>
  <c r="P74" i="5"/>
  <c r="K74" i="5"/>
  <c r="H74" i="5"/>
  <c r="K73" i="5"/>
  <c r="I73" i="5"/>
  <c r="C73" i="5"/>
  <c r="E72" i="5"/>
  <c r="D72" i="5"/>
  <c r="N71" i="5"/>
  <c r="C71" i="5"/>
  <c r="O70" i="5"/>
  <c r="L70" i="5"/>
  <c r="O69" i="5"/>
  <c r="M69" i="5"/>
  <c r="G69" i="5"/>
  <c r="I68" i="5"/>
  <c r="H68" i="5"/>
  <c r="A68" i="5"/>
  <c r="G67" i="5"/>
  <c r="B67" i="5"/>
  <c r="P66" i="5"/>
  <c r="B66" i="5"/>
  <c r="Q65" i="5"/>
  <c r="K65" i="5"/>
  <c r="M64" i="5"/>
  <c r="L64" i="5"/>
  <c r="E64" i="5"/>
  <c r="K63" i="5"/>
  <c r="F63" i="5"/>
  <c r="C63" i="5"/>
  <c r="F62" i="5"/>
  <c r="D62" i="5"/>
  <c r="O61" i="5"/>
  <c r="Q60" i="5"/>
  <c r="P60" i="5"/>
  <c r="I60" i="5"/>
  <c r="O59" i="5"/>
  <c r="J59" i="5"/>
  <c r="G59" i="5"/>
  <c r="J58" i="5"/>
  <c r="H58" i="5"/>
  <c r="B58" i="5"/>
  <c r="D57" i="5"/>
  <c r="C57" i="5"/>
  <c r="M56" i="5"/>
  <c r="B56" i="5"/>
  <c r="N55" i="5"/>
  <c r="K55" i="5"/>
  <c r="N54" i="5"/>
  <c r="L54" i="5"/>
  <c r="F54" i="5"/>
  <c r="H53" i="5"/>
  <c r="G53" i="5"/>
  <c r="Q52" i="5"/>
  <c r="F52" i="5"/>
  <c r="A52" i="5"/>
  <c r="O51" i="5"/>
  <c r="A51" i="5"/>
  <c r="P50" i="5"/>
  <c r="J50" i="5"/>
  <c r="L49" i="5"/>
  <c r="K49" i="5"/>
  <c r="D49" i="5"/>
  <c r="L48" i="5"/>
  <c r="J48" i="5"/>
  <c r="E48" i="5"/>
  <c r="N47" i="5"/>
  <c r="M47" i="5"/>
  <c r="K47" i="5"/>
  <c r="P46" i="5"/>
  <c r="L46" i="5"/>
  <c r="J46" i="5"/>
  <c r="P45" i="5"/>
  <c r="O45" i="5"/>
  <c r="J45" i="5"/>
  <c r="M44" i="5"/>
  <c r="L44" i="5"/>
  <c r="J44" i="5"/>
  <c r="B44" i="5"/>
  <c r="A44" i="5"/>
  <c r="M43" i="5"/>
  <c r="E43" i="5"/>
  <c r="D43" i="5"/>
  <c r="A43" i="5"/>
  <c r="J42" i="5"/>
  <c r="F42" i="5"/>
  <c r="D42" i="5"/>
  <c r="M41" i="5"/>
  <c r="L41" i="5"/>
  <c r="G41" i="5"/>
  <c r="P40" i="5"/>
  <c r="O40" i="5"/>
  <c r="M40" i="5"/>
  <c r="E40" i="5"/>
  <c r="A40" i="5"/>
  <c r="N39" i="5"/>
  <c r="G39" i="5"/>
  <c r="F39" i="5"/>
  <c r="A39" i="5"/>
  <c r="K38" i="5"/>
  <c r="J38" i="5"/>
  <c r="H38" i="5"/>
  <c r="P37" i="5"/>
  <c r="O37" i="5"/>
  <c r="L37" i="5"/>
  <c r="G37" i="5"/>
  <c r="F37" i="5"/>
  <c r="Q36" i="5"/>
  <c r="L36" i="5"/>
  <c r="J36" i="5"/>
  <c r="H36" i="5"/>
  <c r="P35" i="5"/>
  <c r="O35" i="5"/>
  <c r="M35" i="5"/>
  <c r="G35" i="5"/>
  <c r="F35" i="5"/>
  <c r="A35" i="5"/>
  <c r="M34" i="5"/>
  <c r="L34" i="5"/>
  <c r="J34" i="5"/>
  <c r="E34" i="5"/>
  <c r="A34" i="5"/>
  <c r="P33" i="5"/>
  <c r="K33" i="5"/>
  <c r="J33" i="5"/>
  <c r="H33" i="5"/>
  <c r="Q32" i="5"/>
  <c r="P32" i="5"/>
  <c r="N32" i="5"/>
  <c r="I32" i="5"/>
  <c r="H32" i="5"/>
  <c r="F32" i="5"/>
  <c r="O31" i="5"/>
  <c r="N31" i="5"/>
  <c r="L31" i="5"/>
  <c r="G31" i="5"/>
  <c r="F31" i="5"/>
  <c r="A31" i="5"/>
  <c r="M30" i="5"/>
  <c r="L30" i="5"/>
  <c r="J30" i="5"/>
  <c r="E30" i="5"/>
  <c r="D30" i="5"/>
  <c r="B30" i="5"/>
  <c r="N29" i="5"/>
  <c r="M29" i="5"/>
  <c r="K29" i="5"/>
  <c r="F29" i="5"/>
  <c r="E29" i="5"/>
  <c r="C29" i="5"/>
  <c r="N28" i="5"/>
  <c r="M28" i="5"/>
  <c r="K28" i="5"/>
  <c r="F28" i="5"/>
  <c r="E28" i="5"/>
  <c r="C28" i="5"/>
  <c r="O27" i="5"/>
  <c r="N27" i="5"/>
  <c r="L27" i="5"/>
  <c r="G27" i="5"/>
  <c r="F27" i="5"/>
  <c r="D27" i="5"/>
  <c r="P26" i="5"/>
  <c r="O26" i="5"/>
  <c r="M26" i="5"/>
  <c r="H26" i="5"/>
  <c r="G26" i="5"/>
  <c r="E26" i="5"/>
  <c r="Q25" i="5"/>
  <c r="P25" i="5"/>
  <c r="N25" i="5"/>
  <c r="I25" i="5"/>
  <c r="H25" i="5"/>
  <c r="C25" i="5"/>
  <c r="O24" i="5"/>
  <c r="N24" i="5"/>
  <c r="L24" i="5"/>
  <c r="D24" i="5"/>
  <c r="C24" i="5"/>
  <c r="A24" i="5"/>
  <c r="M23" i="5"/>
  <c r="L23" i="5"/>
  <c r="J23" i="5"/>
  <c r="C23" i="5"/>
  <c r="B23" i="5"/>
  <c r="Q22" i="5"/>
  <c r="L22" i="5"/>
  <c r="K22" i="5"/>
  <c r="I22" i="5"/>
  <c r="D22" i="5"/>
  <c r="C22" i="5"/>
  <c r="A22" i="5"/>
  <c r="M21" i="5"/>
  <c r="L21" i="5"/>
  <c r="J21" i="5"/>
  <c r="O20" i="5"/>
  <c r="N20" i="5"/>
  <c r="L20" i="5"/>
  <c r="G20" i="5"/>
  <c r="F20" i="5"/>
  <c r="D20" i="5"/>
  <c r="P19" i="5"/>
  <c r="O19" i="5"/>
  <c r="M19" i="5"/>
  <c r="G19" i="5"/>
  <c r="F19" i="5"/>
  <c r="D19" i="5"/>
  <c r="O18" i="5"/>
  <c r="N18" i="5"/>
  <c r="L18" i="5"/>
  <c r="G18" i="5"/>
  <c r="F18" i="5"/>
  <c r="D18" i="5"/>
  <c r="P17" i="5"/>
  <c r="O17" i="5"/>
  <c r="M17" i="5"/>
  <c r="G17" i="5"/>
  <c r="F17" i="5"/>
  <c r="D17" i="5"/>
  <c r="O16" i="5"/>
  <c r="N16" i="5"/>
  <c r="L16" i="5"/>
  <c r="F16" i="5"/>
  <c r="E16" i="5"/>
  <c r="B16" i="5"/>
  <c r="N15" i="5"/>
  <c r="M15" i="5"/>
  <c r="K15" i="5"/>
  <c r="O14" i="5"/>
  <c r="N14" i="5"/>
  <c r="L14" i="5"/>
  <c r="P13" i="5"/>
  <c r="O13" i="5"/>
  <c r="M13" i="5"/>
  <c r="A13" i="5"/>
  <c r="Q12" i="5"/>
  <c r="O12" i="5"/>
  <c r="J12" i="5"/>
  <c r="I12" i="5"/>
  <c r="Q11" i="5"/>
  <c r="L11" i="5"/>
  <c r="K11" i="5"/>
  <c r="I11" i="5"/>
  <c r="Q10" i="5"/>
  <c r="P10" i="5"/>
  <c r="N10" i="5"/>
  <c r="I10" i="5"/>
  <c r="F10" i="5"/>
  <c r="C10" i="5"/>
  <c r="N9" i="5"/>
  <c r="M9" i="5"/>
  <c r="K9" i="5"/>
  <c r="C9" i="5"/>
  <c r="A9" i="5"/>
  <c r="P8" i="5"/>
  <c r="K8" i="5"/>
  <c r="J8" i="5"/>
  <c r="H8" i="5"/>
  <c r="C8" i="5"/>
  <c r="B8" i="5"/>
  <c r="Q7" i="5"/>
  <c r="L7" i="5"/>
  <c r="K7" i="5"/>
  <c r="I7" i="5"/>
  <c r="Q6" i="5"/>
  <c r="P6" i="5"/>
  <c r="N6" i="5"/>
  <c r="I6" i="5"/>
  <c r="H6" i="5"/>
  <c r="F6" i="5"/>
  <c r="A6" i="5"/>
  <c r="Q5" i="5"/>
  <c r="O5" i="5"/>
  <c r="J5" i="5"/>
  <c r="I5" i="5"/>
  <c r="A5" i="5"/>
  <c r="M4" i="5"/>
  <c r="L4" i="5"/>
  <c r="J4" i="5"/>
  <c r="E4" i="5"/>
  <c r="D4" i="5"/>
  <c r="B4" i="5"/>
  <c r="N3" i="5"/>
  <c r="M3" i="5"/>
  <c r="K3" i="5"/>
  <c r="I3" i="5"/>
  <c r="C3" i="5"/>
  <c r="B3" i="5"/>
  <c r="O2" i="5"/>
  <c r="M2" i="5"/>
  <c r="A1" i="5"/>
  <c r="M183" i="5" s="1"/>
  <c r="B1" i="2"/>
  <c r="B1" i="5"/>
  <c r="B3" i="6"/>
  <c r="H3" i="6"/>
  <c r="A45" i="9"/>
  <c r="G41" i="9"/>
  <c r="E19" i="9" s="1"/>
  <c r="F41" i="9"/>
  <c r="D19" i="9" s="1"/>
  <c r="D23" i="9"/>
  <c r="D25" i="9" s="1"/>
  <c r="F11" i="9"/>
  <c r="F10" i="9"/>
  <c r="B7" i="9"/>
  <c r="B5" i="9"/>
  <c r="B5" i="6"/>
  <c r="A3" i="5" l="1"/>
  <c r="L3" i="5"/>
  <c r="C4" i="5"/>
  <c r="K4" i="5"/>
  <c r="B5" i="5"/>
  <c r="P5" i="5"/>
  <c r="G6" i="5"/>
  <c r="O6" i="5"/>
  <c r="J7" i="5"/>
  <c r="A8" i="5"/>
  <c r="I8" i="5"/>
  <c r="Q8" i="5"/>
  <c r="L9" i="5"/>
  <c r="E10" i="5"/>
  <c r="O10" i="5"/>
  <c r="J11" i="5"/>
  <c r="A12" i="5"/>
  <c r="P12" i="5"/>
  <c r="N13" i="5"/>
  <c r="M14" i="5"/>
  <c r="L15" i="5"/>
  <c r="D16" i="5"/>
  <c r="M16" i="5"/>
  <c r="E17" i="5"/>
  <c r="N17" i="5"/>
  <c r="E18" i="5"/>
  <c r="M18" i="5"/>
  <c r="E19" i="5"/>
  <c r="N19" i="5"/>
  <c r="E20" i="5"/>
  <c r="M20" i="5"/>
  <c r="K21" i="5"/>
  <c r="B22" i="5"/>
  <c r="J22" i="5"/>
  <c r="A23" i="5"/>
  <c r="K23" i="5"/>
  <c r="B24" i="5"/>
  <c r="M24" i="5"/>
  <c r="D25" i="5"/>
  <c r="O25" i="5"/>
  <c r="F26" i="5"/>
  <c r="N26" i="5"/>
  <c r="E27" i="5"/>
  <c r="M27" i="5"/>
  <c r="D28" i="5"/>
  <c r="L28" i="5"/>
  <c r="D29" i="5"/>
  <c r="L29" i="5"/>
  <c r="C30" i="5"/>
  <c r="K30" i="5"/>
  <c r="E31" i="5"/>
  <c r="M31" i="5"/>
  <c r="G32" i="5"/>
  <c r="O32" i="5"/>
  <c r="I33" i="5"/>
  <c r="Q33" i="5"/>
  <c r="K34" i="5"/>
  <c r="E35" i="5"/>
  <c r="N35" i="5"/>
  <c r="I36" i="5"/>
  <c r="A37" i="5"/>
  <c r="N37" i="5"/>
  <c r="I38" i="5"/>
  <c r="E39" i="5"/>
  <c r="O39" i="5"/>
  <c r="N40" i="5"/>
  <c r="K41" i="5"/>
  <c r="E42" i="5"/>
  <c r="C43" i="5"/>
  <c r="N43" i="5"/>
  <c r="K44" i="5"/>
  <c r="N45" i="5"/>
  <c r="K46" i="5"/>
  <c r="L47" i="5"/>
  <c r="F48" i="5"/>
  <c r="I49" i="5"/>
  <c r="K50" i="5"/>
  <c r="Q51" i="5"/>
  <c r="E53" i="5"/>
  <c r="G54" i="5"/>
  <c r="M55" i="5"/>
  <c r="A57" i="5"/>
  <c r="C58" i="5"/>
  <c r="I59" i="5"/>
  <c r="N60" i="5"/>
  <c r="P61" i="5"/>
  <c r="E63" i="5"/>
  <c r="J64" i="5"/>
  <c r="L65" i="5"/>
  <c r="A67" i="5"/>
  <c r="F68" i="5"/>
  <c r="H69" i="5"/>
  <c r="N70" i="5"/>
  <c r="B72" i="5"/>
  <c r="D73" i="5"/>
  <c r="J74" i="5"/>
  <c r="O75" i="5"/>
  <c r="Q76" i="5"/>
  <c r="F78" i="5"/>
  <c r="K79" i="5"/>
  <c r="M80" i="5"/>
  <c r="B82" i="5"/>
  <c r="G83" i="5"/>
  <c r="I84" i="5"/>
  <c r="O85" i="5"/>
  <c r="E87" i="5"/>
  <c r="J88" i="5"/>
  <c r="F90" i="5"/>
  <c r="H92" i="5"/>
  <c r="L94" i="5"/>
  <c r="H97" i="5"/>
  <c r="Q99" i="5"/>
  <c r="I102" i="5"/>
  <c r="Q105" i="5"/>
  <c r="J109" i="5"/>
  <c r="I112" i="5"/>
  <c r="C116" i="5"/>
  <c r="J119" i="5"/>
  <c r="H122" i="5"/>
  <c r="C126" i="5"/>
  <c r="I129" i="5"/>
  <c r="K132" i="5"/>
  <c r="B136" i="5"/>
  <c r="L139" i="5"/>
  <c r="K142" i="5"/>
  <c r="E146" i="5"/>
  <c r="L149" i="5"/>
  <c r="J152" i="5"/>
  <c r="E156" i="5"/>
  <c r="K159" i="5"/>
  <c r="N174" i="5"/>
  <c r="G3" i="5"/>
  <c r="O3" i="5"/>
  <c r="F4" i="5"/>
  <c r="N4" i="5"/>
  <c r="K5" i="5"/>
  <c r="B6" i="5"/>
  <c r="J6" i="5"/>
  <c r="A7" i="5"/>
  <c r="M7" i="5"/>
  <c r="D8" i="5"/>
  <c r="L8" i="5"/>
  <c r="E9" i="5"/>
  <c r="O9" i="5"/>
  <c r="J10" i="5"/>
  <c r="A11" i="5"/>
  <c r="M11" i="5"/>
  <c r="K12" i="5"/>
  <c r="I13" i="5"/>
  <c r="Q13" i="5"/>
  <c r="P14" i="5"/>
  <c r="O15" i="5"/>
  <c r="G16" i="5"/>
  <c r="P16" i="5"/>
  <c r="I17" i="5"/>
  <c r="Q17" i="5"/>
  <c r="H18" i="5"/>
  <c r="P18" i="5"/>
  <c r="I19" i="5"/>
  <c r="Q19" i="5"/>
  <c r="H20" i="5"/>
  <c r="P20" i="5"/>
  <c r="N21" i="5"/>
  <c r="E22" i="5"/>
  <c r="M22" i="5"/>
  <c r="D23" i="5"/>
  <c r="N23" i="5"/>
  <c r="H24" i="5"/>
  <c r="P24" i="5"/>
  <c r="J25" i="5"/>
  <c r="A26" i="5"/>
  <c r="I26" i="5"/>
  <c r="Q26" i="5"/>
  <c r="H27" i="5"/>
  <c r="P27" i="5"/>
  <c r="G28" i="5"/>
  <c r="O28" i="5"/>
  <c r="G29" i="5"/>
  <c r="O29" i="5"/>
  <c r="F30" i="5"/>
  <c r="N30" i="5"/>
  <c r="H31" i="5"/>
  <c r="P31" i="5"/>
  <c r="J32" i="5"/>
  <c r="A33" i="5"/>
  <c r="L33" i="5"/>
  <c r="F34" i="5"/>
  <c r="N34" i="5"/>
  <c r="H35" i="5"/>
  <c r="A36" i="5"/>
  <c r="M36" i="5"/>
  <c r="H37" i="5"/>
  <c r="Q37" i="5"/>
  <c r="L38" i="5"/>
  <c r="J39" i="5"/>
  <c r="F40" i="5"/>
  <c r="C41" i="5"/>
  <c r="N41" i="5"/>
  <c r="K42" i="5"/>
  <c r="F43" i="5"/>
  <c r="C44" i="5"/>
  <c r="Q44" i="5"/>
  <c r="Q45" i="5"/>
  <c r="Q46" i="5"/>
  <c r="O47" i="5"/>
  <c r="M48" i="5"/>
  <c r="Q49" i="5"/>
  <c r="B51" i="5"/>
  <c r="H52" i="5"/>
  <c r="M53" i="5"/>
  <c r="O54" i="5"/>
  <c r="D56" i="5"/>
  <c r="I57" i="5"/>
  <c r="K58" i="5"/>
  <c r="Q59" i="5"/>
  <c r="E61" i="5"/>
  <c r="G62" i="5"/>
  <c r="M63" i="5"/>
  <c r="A65" i="5"/>
  <c r="C66" i="5"/>
  <c r="I67" i="5"/>
  <c r="N68" i="5"/>
  <c r="P69" i="5"/>
  <c r="E71" i="5"/>
  <c r="J72" i="5"/>
  <c r="L73" i="5"/>
  <c r="A75" i="5"/>
  <c r="F76" i="5"/>
  <c r="H77" i="5"/>
  <c r="N78" i="5"/>
  <c r="B80" i="5"/>
  <c r="D81" i="5"/>
  <c r="J82" i="5"/>
  <c r="O83" i="5"/>
  <c r="Q84" i="5"/>
  <c r="F86" i="5"/>
  <c r="N87" i="5"/>
  <c r="C89" i="5"/>
  <c r="P90" i="5"/>
  <c r="G93" i="5"/>
  <c r="K95" i="5"/>
  <c r="G98" i="5"/>
  <c r="P100" i="5"/>
  <c r="K103" i="5"/>
  <c r="F107" i="5"/>
  <c r="L110" i="5"/>
  <c r="N113" i="5"/>
  <c r="E117" i="5"/>
  <c r="O120" i="5"/>
  <c r="N123" i="5"/>
  <c r="H127" i="5"/>
  <c r="O130" i="5"/>
  <c r="M133" i="5"/>
  <c r="H137" i="5"/>
  <c r="N140" i="5"/>
  <c r="P143" i="5"/>
  <c r="G147" i="5"/>
  <c r="Q150" i="5"/>
  <c r="P153" i="5"/>
  <c r="J157" i="5"/>
  <c r="Q160" i="5"/>
  <c r="Q200" i="5"/>
  <c r="I200" i="5"/>
  <c r="A200" i="5"/>
  <c r="J199" i="5"/>
  <c r="B199" i="5"/>
  <c r="K198" i="5"/>
  <c r="C198" i="5"/>
  <c r="L197" i="5"/>
  <c r="D197" i="5"/>
  <c r="M196" i="5"/>
  <c r="E196" i="5"/>
  <c r="N195" i="5"/>
  <c r="F195" i="5"/>
  <c r="O194" i="5"/>
  <c r="G194" i="5"/>
  <c r="P193" i="5"/>
  <c r="H193" i="5"/>
  <c r="Q192" i="5"/>
  <c r="I192" i="5"/>
  <c r="A192" i="5"/>
  <c r="J191" i="5"/>
  <c r="B191" i="5"/>
  <c r="K190" i="5"/>
  <c r="C190" i="5"/>
  <c r="L189" i="5"/>
  <c r="D189" i="5"/>
  <c r="M188" i="5"/>
  <c r="E188" i="5"/>
  <c r="N187" i="5"/>
  <c r="F187" i="5"/>
  <c r="O186" i="5"/>
  <c r="G186" i="5"/>
  <c r="P185" i="5"/>
  <c r="H185" i="5"/>
  <c r="Q184" i="5"/>
  <c r="I184" i="5"/>
  <c r="A184" i="5"/>
  <c r="J183" i="5"/>
  <c r="B183" i="5"/>
  <c r="K182" i="5"/>
  <c r="C182" i="5"/>
  <c r="L181" i="5"/>
  <c r="D181" i="5"/>
  <c r="M180" i="5"/>
  <c r="E180" i="5"/>
  <c r="N179" i="5"/>
  <c r="F179" i="5"/>
  <c r="O178" i="5"/>
  <c r="G178" i="5"/>
  <c r="P177" i="5"/>
  <c r="H177" i="5"/>
  <c r="Q176" i="5"/>
  <c r="I176" i="5"/>
  <c r="A176" i="5"/>
  <c r="J175" i="5"/>
  <c r="B175" i="5"/>
  <c r="K174" i="5"/>
  <c r="C174" i="5"/>
  <c r="L173" i="5"/>
  <c r="D173" i="5"/>
  <c r="M172" i="5"/>
  <c r="E172" i="5"/>
  <c r="N171" i="5"/>
  <c r="F171" i="5"/>
  <c r="O170" i="5"/>
  <c r="G170" i="5"/>
  <c r="P169" i="5"/>
  <c r="H169" i="5"/>
  <c r="Q168" i="5"/>
  <c r="I168" i="5"/>
  <c r="A168" i="5"/>
  <c r="J167" i="5"/>
  <c r="B167" i="5"/>
  <c r="K166" i="5"/>
  <c r="C166" i="5"/>
  <c r="L165" i="5"/>
  <c r="D165" i="5"/>
  <c r="M164" i="5"/>
  <c r="E164" i="5"/>
  <c r="N163" i="5"/>
  <c r="F163" i="5"/>
  <c r="O162" i="5"/>
  <c r="G162" i="5"/>
  <c r="P161" i="5"/>
  <c r="H161" i="5"/>
  <c r="P200" i="5"/>
  <c r="H200" i="5"/>
  <c r="Q199" i="5"/>
  <c r="I199" i="5"/>
  <c r="A199" i="5"/>
  <c r="J198" i="5"/>
  <c r="B198" i="5"/>
  <c r="K197" i="5"/>
  <c r="C197" i="5"/>
  <c r="L196" i="5"/>
  <c r="D196" i="5"/>
  <c r="M195" i="5"/>
  <c r="E195" i="5"/>
  <c r="N194" i="5"/>
  <c r="F194" i="5"/>
  <c r="O193" i="5"/>
  <c r="G193" i="5"/>
  <c r="P192" i="5"/>
  <c r="H192" i="5"/>
  <c r="Q191" i="5"/>
  <c r="I191" i="5"/>
  <c r="A191" i="5"/>
  <c r="J190" i="5"/>
  <c r="B190" i="5"/>
  <c r="K189" i="5"/>
  <c r="C189" i="5"/>
  <c r="L188" i="5"/>
  <c r="D188" i="5"/>
  <c r="M187" i="5"/>
  <c r="E187" i="5"/>
  <c r="N186" i="5"/>
  <c r="F186" i="5"/>
  <c r="O185" i="5"/>
  <c r="G185" i="5"/>
  <c r="P184" i="5"/>
  <c r="H184" i="5"/>
  <c r="Q183" i="5"/>
  <c r="I183" i="5"/>
  <c r="A183" i="5"/>
  <c r="J182" i="5"/>
  <c r="B182" i="5"/>
  <c r="K181" i="5"/>
  <c r="C181" i="5"/>
  <c r="L180" i="5"/>
  <c r="D180" i="5"/>
  <c r="M179" i="5"/>
  <c r="E179" i="5"/>
  <c r="N178" i="5"/>
  <c r="F178" i="5"/>
  <c r="O177" i="5"/>
  <c r="G177" i="5"/>
  <c r="P176" i="5"/>
  <c r="H176" i="5"/>
  <c r="Q175" i="5"/>
  <c r="I175" i="5"/>
  <c r="A175" i="5"/>
  <c r="J174" i="5"/>
  <c r="B174" i="5"/>
  <c r="K173" i="5"/>
  <c r="C173" i="5"/>
  <c r="L172" i="5"/>
  <c r="D172" i="5"/>
  <c r="M171" i="5"/>
  <c r="E171" i="5"/>
  <c r="N170" i="5"/>
  <c r="F170" i="5"/>
  <c r="O169" i="5"/>
  <c r="G169" i="5"/>
  <c r="P168" i="5"/>
  <c r="H168" i="5"/>
  <c r="Q167" i="5"/>
  <c r="I167" i="5"/>
  <c r="A167" i="5"/>
  <c r="J166" i="5"/>
  <c r="B166" i="5"/>
  <c r="K165" i="5"/>
  <c r="C165" i="5"/>
  <c r="L164" i="5"/>
  <c r="D164" i="5"/>
  <c r="M163" i="5"/>
  <c r="E163" i="5"/>
  <c r="N162" i="5"/>
  <c r="F162" i="5"/>
  <c r="O161" i="5"/>
  <c r="G161" i="5"/>
  <c r="O200" i="5"/>
  <c r="G200" i="5"/>
  <c r="P199" i="5"/>
  <c r="H199" i="5"/>
  <c r="Q198" i="5"/>
  <c r="I198" i="5"/>
  <c r="A198" i="5"/>
  <c r="J197" i="5"/>
  <c r="B197" i="5"/>
  <c r="K196" i="5"/>
  <c r="C196" i="5"/>
  <c r="L195" i="5"/>
  <c r="D195" i="5"/>
  <c r="M194" i="5"/>
  <c r="E194" i="5"/>
  <c r="N193" i="5"/>
  <c r="F193" i="5"/>
  <c r="O192" i="5"/>
  <c r="G192" i="5"/>
  <c r="P191" i="5"/>
  <c r="H191" i="5"/>
  <c r="Q190" i="5"/>
  <c r="I190" i="5"/>
  <c r="A190" i="5"/>
  <c r="J189" i="5"/>
  <c r="B189" i="5"/>
  <c r="K188" i="5"/>
  <c r="C188" i="5"/>
  <c r="L187" i="5"/>
  <c r="D187" i="5"/>
  <c r="M186" i="5"/>
  <c r="E186" i="5"/>
  <c r="N185" i="5"/>
  <c r="F185" i="5"/>
  <c r="O184" i="5"/>
  <c r="G184" i="5"/>
  <c r="P183" i="5"/>
  <c r="H183" i="5"/>
  <c r="Q182" i="5"/>
  <c r="I182" i="5"/>
  <c r="A182" i="5"/>
  <c r="J181" i="5"/>
  <c r="B181" i="5"/>
  <c r="K180" i="5"/>
  <c r="C180" i="5"/>
  <c r="L179" i="5"/>
  <c r="D179" i="5"/>
  <c r="M178" i="5"/>
  <c r="E178" i="5"/>
  <c r="N177" i="5"/>
  <c r="F177" i="5"/>
  <c r="O176" i="5"/>
  <c r="G176" i="5"/>
  <c r="P175" i="5"/>
  <c r="H175" i="5"/>
  <c r="Q174" i="5"/>
  <c r="I174" i="5"/>
  <c r="A174" i="5"/>
  <c r="J173" i="5"/>
  <c r="B173" i="5"/>
  <c r="K172" i="5"/>
  <c r="C172" i="5"/>
  <c r="L171" i="5"/>
  <c r="D171" i="5"/>
  <c r="M170" i="5"/>
  <c r="E170" i="5"/>
  <c r="N169" i="5"/>
  <c r="F169" i="5"/>
  <c r="O168" i="5"/>
  <c r="G168" i="5"/>
  <c r="P167" i="5"/>
  <c r="H167" i="5"/>
  <c r="Q166" i="5"/>
  <c r="I166" i="5"/>
  <c r="A166" i="5"/>
  <c r="J165" i="5"/>
  <c r="B165" i="5"/>
  <c r="K164" i="5"/>
  <c r="C164" i="5"/>
  <c r="L163" i="5"/>
  <c r="D163" i="5"/>
  <c r="M162" i="5"/>
  <c r="E162" i="5"/>
  <c r="N161" i="5"/>
  <c r="F161" i="5"/>
  <c r="N200" i="5"/>
  <c r="F200" i="5"/>
  <c r="O199" i="5"/>
  <c r="G199" i="5"/>
  <c r="P198" i="5"/>
  <c r="H198" i="5"/>
  <c r="Q197" i="5"/>
  <c r="I197" i="5"/>
  <c r="A197" i="5"/>
  <c r="J196" i="5"/>
  <c r="B196" i="5"/>
  <c r="K195" i="5"/>
  <c r="C195" i="5"/>
  <c r="L194" i="5"/>
  <c r="D194" i="5"/>
  <c r="M193" i="5"/>
  <c r="E193" i="5"/>
  <c r="N192" i="5"/>
  <c r="F192" i="5"/>
  <c r="O191" i="5"/>
  <c r="G191" i="5"/>
  <c r="P190" i="5"/>
  <c r="H190" i="5"/>
  <c r="Q189" i="5"/>
  <c r="I189" i="5"/>
  <c r="A189" i="5"/>
  <c r="J188" i="5"/>
  <c r="B188" i="5"/>
  <c r="K187" i="5"/>
  <c r="C187" i="5"/>
  <c r="L186" i="5"/>
  <c r="D186" i="5"/>
  <c r="M185" i="5"/>
  <c r="E185" i="5"/>
  <c r="N184" i="5"/>
  <c r="F184" i="5"/>
  <c r="O183" i="5"/>
  <c r="G183" i="5"/>
  <c r="P182" i="5"/>
  <c r="H182" i="5"/>
  <c r="Q181" i="5"/>
  <c r="I181" i="5"/>
  <c r="A181" i="5"/>
  <c r="J180" i="5"/>
  <c r="B180" i="5"/>
  <c r="K179" i="5"/>
  <c r="C179" i="5"/>
  <c r="L178" i="5"/>
  <c r="D178" i="5"/>
  <c r="M177" i="5"/>
  <c r="E177" i="5"/>
  <c r="N176" i="5"/>
  <c r="F176" i="5"/>
  <c r="O175" i="5"/>
  <c r="G175" i="5"/>
  <c r="P174" i="5"/>
  <c r="H174" i="5"/>
  <c r="Q173" i="5"/>
  <c r="I173" i="5"/>
  <c r="A173" i="5"/>
  <c r="J172" i="5"/>
  <c r="B172" i="5"/>
  <c r="K171" i="5"/>
  <c r="C171" i="5"/>
  <c r="L170" i="5"/>
  <c r="D170" i="5"/>
  <c r="M169" i="5"/>
  <c r="E169" i="5"/>
  <c r="N168" i="5"/>
  <c r="F168" i="5"/>
  <c r="O167" i="5"/>
  <c r="G167" i="5"/>
  <c r="P166" i="5"/>
  <c r="H166" i="5"/>
  <c r="Q165" i="5"/>
  <c r="I165" i="5"/>
  <c r="A165" i="5"/>
  <c r="J164" i="5"/>
  <c r="B164" i="5"/>
  <c r="K163" i="5"/>
  <c r="C163" i="5"/>
  <c r="L162" i="5"/>
  <c r="D162" i="5"/>
  <c r="M161" i="5"/>
  <c r="E161" i="5"/>
  <c r="M200" i="5"/>
  <c r="E200" i="5"/>
  <c r="N199" i="5"/>
  <c r="F199" i="5"/>
  <c r="O198" i="5"/>
  <c r="G198" i="5"/>
  <c r="P197" i="5"/>
  <c r="H197" i="5"/>
  <c r="Q196" i="5"/>
  <c r="I196" i="5"/>
  <c r="A196" i="5"/>
  <c r="J195" i="5"/>
  <c r="B195" i="5"/>
  <c r="K194" i="5"/>
  <c r="C194" i="5"/>
  <c r="L193" i="5"/>
  <c r="D193" i="5"/>
  <c r="M192" i="5"/>
  <c r="E192" i="5"/>
  <c r="N191" i="5"/>
  <c r="F191" i="5"/>
  <c r="O190" i="5"/>
  <c r="G190" i="5"/>
  <c r="P189" i="5"/>
  <c r="H189" i="5"/>
  <c r="Q188" i="5"/>
  <c r="I188" i="5"/>
  <c r="A188" i="5"/>
  <c r="J187" i="5"/>
  <c r="B187" i="5"/>
  <c r="K186" i="5"/>
  <c r="C186" i="5"/>
  <c r="L185" i="5"/>
  <c r="D185" i="5"/>
  <c r="M184" i="5"/>
  <c r="E184" i="5"/>
  <c r="N183" i="5"/>
  <c r="F183" i="5"/>
  <c r="O182" i="5"/>
  <c r="G182" i="5"/>
  <c r="P181" i="5"/>
  <c r="H181" i="5"/>
  <c r="Q180" i="5"/>
  <c r="I180" i="5"/>
  <c r="A180" i="5"/>
  <c r="J179" i="5"/>
  <c r="B179" i="5"/>
  <c r="K178" i="5"/>
  <c r="C178" i="5"/>
  <c r="L177" i="5"/>
  <c r="D177" i="5"/>
  <c r="M176" i="5"/>
  <c r="E176" i="5"/>
  <c r="N175" i="5"/>
  <c r="F175" i="5"/>
  <c r="O174" i="5"/>
  <c r="G174" i="5"/>
  <c r="P173" i="5"/>
  <c r="H173" i="5"/>
  <c r="Q172" i="5"/>
  <c r="I172" i="5"/>
  <c r="A172" i="5"/>
  <c r="J171" i="5"/>
  <c r="B171" i="5"/>
  <c r="K170" i="5"/>
  <c r="C170" i="5"/>
  <c r="L169" i="5"/>
  <c r="D169" i="5"/>
  <c r="M168" i="5"/>
  <c r="E168" i="5"/>
  <c r="N167" i="5"/>
  <c r="F167" i="5"/>
  <c r="O166" i="5"/>
  <c r="G166" i="5"/>
  <c r="P165" i="5"/>
  <c r="H165" i="5"/>
  <c r="Q164" i="5"/>
  <c r="I164" i="5"/>
  <c r="A164" i="5"/>
  <c r="J163" i="5"/>
  <c r="B163" i="5"/>
  <c r="K162" i="5"/>
  <c r="C162" i="5"/>
  <c r="L161" i="5"/>
  <c r="D161" i="5"/>
  <c r="K200" i="5"/>
  <c r="C200" i="5"/>
  <c r="L199" i="5"/>
  <c r="D199" i="5"/>
  <c r="M198" i="5"/>
  <c r="E198" i="5"/>
  <c r="N197" i="5"/>
  <c r="F197" i="5"/>
  <c r="O196" i="5"/>
  <c r="G196" i="5"/>
  <c r="P195" i="5"/>
  <c r="H195" i="5"/>
  <c r="Q194" i="5"/>
  <c r="I194" i="5"/>
  <c r="A194" i="5"/>
  <c r="J193" i="5"/>
  <c r="B193" i="5"/>
  <c r="K192" i="5"/>
  <c r="C192" i="5"/>
  <c r="L191" i="5"/>
  <c r="D191" i="5"/>
  <c r="M190" i="5"/>
  <c r="E190" i="5"/>
  <c r="N189" i="5"/>
  <c r="F189" i="5"/>
  <c r="O188" i="5"/>
  <c r="G188" i="5"/>
  <c r="P187" i="5"/>
  <c r="H187" i="5"/>
  <c r="Q186" i="5"/>
  <c r="I186" i="5"/>
  <c r="A186" i="5"/>
  <c r="J185" i="5"/>
  <c r="B185" i="5"/>
  <c r="K184" i="5"/>
  <c r="C184" i="5"/>
  <c r="L183" i="5"/>
  <c r="D183" i="5"/>
  <c r="M182" i="5"/>
  <c r="E182" i="5"/>
  <c r="N181" i="5"/>
  <c r="F181" i="5"/>
  <c r="O180" i="5"/>
  <c r="G180" i="5"/>
  <c r="P179" i="5"/>
  <c r="H179" i="5"/>
  <c r="Q178" i="5"/>
  <c r="I178" i="5"/>
  <c r="A178" i="5"/>
  <c r="J177" i="5"/>
  <c r="B177" i="5"/>
  <c r="K176" i="5"/>
  <c r="C176" i="5"/>
  <c r="L175" i="5"/>
  <c r="D175" i="5"/>
  <c r="M174" i="5"/>
  <c r="E174" i="5"/>
  <c r="N173" i="5"/>
  <c r="F173" i="5"/>
  <c r="O172" i="5"/>
  <c r="G172" i="5"/>
  <c r="P171" i="5"/>
  <c r="H171" i="5"/>
  <c r="Q170" i="5"/>
  <c r="I170" i="5"/>
  <c r="A170" i="5"/>
  <c r="J169" i="5"/>
  <c r="B169" i="5"/>
  <c r="K168" i="5"/>
  <c r="C168" i="5"/>
  <c r="L167" i="5"/>
  <c r="D167" i="5"/>
  <c r="M166" i="5"/>
  <c r="E166" i="5"/>
  <c r="N165" i="5"/>
  <c r="F165" i="5"/>
  <c r="O164" i="5"/>
  <c r="G164" i="5"/>
  <c r="P163" i="5"/>
  <c r="H163" i="5"/>
  <c r="Q162" i="5"/>
  <c r="I162" i="5"/>
  <c r="A162" i="5"/>
  <c r="J161" i="5"/>
  <c r="B161" i="5"/>
  <c r="J200" i="5"/>
  <c r="B200" i="5"/>
  <c r="K199" i="5"/>
  <c r="C199" i="5"/>
  <c r="L198" i="5"/>
  <c r="D198" i="5"/>
  <c r="M197" i="5"/>
  <c r="E197" i="5"/>
  <c r="N196" i="5"/>
  <c r="F196" i="5"/>
  <c r="O195" i="5"/>
  <c r="G195" i="5"/>
  <c r="P194" i="5"/>
  <c r="H194" i="5"/>
  <c r="Q193" i="5"/>
  <c r="I193" i="5"/>
  <c r="A193" i="5"/>
  <c r="J192" i="5"/>
  <c r="B192" i="5"/>
  <c r="K191" i="5"/>
  <c r="C191" i="5"/>
  <c r="L190" i="5"/>
  <c r="D190" i="5"/>
  <c r="M189" i="5"/>
  <c r="E189" i="5"/>
  <c r="N188" i="5"/>
  <c r="F188" i="5"/>
  <c r="O187" i="5"/>
  <c r="G187" i="5"/>
  <c r="P186" i="5"/>
  <c r="H186" i="5"/>
  <c r="Q185" i="5"/>
  <c r="I185" i="5"/>
  <c r="A185" i="5"/>
  <c r="J184" i="5"/>
  <c r="B184" i="5"/>
  <c r="K183" i="5"/>
  <c r="C183" i="5"/>
  <c r="L182" i="5"/>
  <c r="D182" i="5"/>
  <c r="M181" i="5"/>
  <c r="E181" i="5"/>
  <c r="N180" i="5"/>
  <c r="F180" i="5"/>
  <c r="O179" i="5"/>
  <c r="G179" i="5"/>
  <c r="P178" i="5"/>
  <c r="H178" i="5"/>
  <c r="Q177" i="5"/>
  <c r="I177" i="5"/>
  <c r="A177" i="5"/>
  <c r="J176" i="5"/>
  <c r="B176" i="5"/>
  <c r="K175" i="5"/>
  <c r="C175" i="5"/>
  <c r="L174" i="5"/>
  <c r="D174" i="5"/>
  <c r="M173" i="5"/>
  <c r="E173" i="5"/>
  <c r="N172" i="5"/>
  <c r="F172" i="5"/>
  <c r="O171" i="5"/>
  <c r="G171" i="5"/>
  <c r="P170" i="5"/>
  <c r="H170" i="5"/>
  <c r="Q169" i="5"/>
  <c r="I169" i="5"/>
  <c r="A169" i="5"/>
  <c r="J168" i="5"/>
  <c r="B168" i="5"/>
  <c r="K167" i="5"/>
  <c r="C167" i="5"/>
  <c r="L166" i="5"/>
  <c r="D166" i="5"/>
  <c r="M165" i="5"/>
  <c r="E165" i="5"/>
  <c r="N164" i="5"/>
  <c r="F164" i="5"/>
  <c r="O163" i="5"/>
  <c r="G163" i="5"/>
  <c r="P162" i="5"/>
  <c r="H162" i="5"/>
  <c r="Q161" i="5"/>
  <c r="I161" i="5"/>
  <c r="A161" i="5"/>
  <c r="L200" i="5"/>
  <c r="P196" i="5"/>
  <c r="C193" i="5"/>
  <c r="G189" i="5"/>
  <c r="K185" i="5"/>
  <c r="O181" i="5"/>
  <c r="B178" i="5"/>
  <c r="F174" i="5"/>
  <c r="J170" i="5"/>
  <c r="N166" i="5"/>
  <c r="A163" i="5"/>
  <c r="N160" i="5"/>
  <c r="F160" i="5"/>
  <c r="O159" i="5"/>
  <c r="G159" i="5"/>
  <c r="P158" i="5"/>
  <c r="H158" i="5"/>
  <c r="Q157" i="5"/>
  <c r="I157" i="5"/>
  <c r="A157" i="5"/>
  <c r="J156" i="5"/>
  <c r="B156" i="5"/>
  <c r="K155" i="5"/>
  <c r="C155" i="5"/>
  <c r="L154" i="5"/>
  <c r="D154" i="5"/>
  <c r="M153" i="5"/>
  <c r="E153" i="5"/>
  <c r="N152" i="5"/>
  <c r="F152" i="5"/>
  <c r="O151" i="5"/>
  <c r="G151" i="5"/>
  <c r="P150" i="5"/>
  <c r="H150" i="5"/>
  <c r="Q149" i="5"/>
  <c r="I149" i="5"/>
  <c r="A149" i="5"/>
  <c r="J148" i="5"/>
  <c r="B148" i="5"/>
  <c r="K147" i="5"/>
  <c r="C147" i="5"/>
  <c r="L146" i="5"/>
  <c r="D146" i="5"/>
  <c r="M145" i="5"/>
  <c r="E145" i="5"/>
  <c r="N144" i="5"/>
  <c r="F144" i="5"/>
  <c r="O143" i="5"/>
  <c r="G143" i="5"/>
  <c r="P142" i="5"/>
  <c r="H142" i="5"/>
  <c r="Q141" i="5"/>
  <c r="I141" i="5"/>
  <c r="A141" i="5"/>
  <c r="J140" i="5"/>
  <c r="B140" i="5"/>
  <c r="K139" i="5"/>
  <c r="C139" i="5"/>
  <c r="L138" i="5"/>
  <c r="D138" i="5"/>
  <c r="M137" i="5"/>
  <c r="E137" i="5"/>
  <c r="N136" i="5"/>
  <c r="F136" i="5"/>
  <c r="O135" i="5"/>
  <c r="G135" i="5"/>
  <c r="P134" i="5"/>
  <c r="H134" i="5"/>
  <c r="Q133" i="5"/>
  <c r="I133" i="5"/>
  <c r="A133" i="5"/>
  <c r="J132" i="5"/>
  <c r="B132" i="5"/>
  <c r="K131" i="5"/>
  <c r="C131" i="5"/>
  <c r="L130" i="5"/>
  <c r="D130" i="5"/>
  <c r="M129" i="5"/>
  <c r="E129" i="5"/>
  <c r="N128" i="5"/>
  <c r="F128" i="5"/>
  <c r="O127" i="5"/>
  <c r="G127" i="5"/>
  <c r="P126" i="5"/>
  <c r="H126" i="5"/>
  <c r="Q125" i="5"/>
  <c r="I125" i="5"/>
  <c r="A125" i="5"/>
  <c r="J124" i="5"/>
  <c r="B124" i="5"/>
  <c r="K123" i="5"/>
  <c r="C123" i="5"/>
  <c r="L122" i="5"/>
  <c r="D122" i="5"/>
  <c r="M121" i="5"/>
  <c r="E121" i="5"/>
  <c r="N120" i="5"/>
  <c r="F120" i="5"/>
  <c r="O119" i="5"/>
  <c r="G119" i="5"/>
  <c r="P118" i="5"/>
  <c r="H118" i="5"/>
  <c r="Q117" i="5"/>
  <c r="I117" i="5"/>
  <c r="A117" i="5"/>
  <c r="J116" i="5"/>
  <c r="B116" i="5"/>
  <c r="K115" i="5"/>
  <c r="C115" i="5"/>
  <c r="L114" i="5"/>
  <c r="D114" i="5"/>
  <c r="M113" i="5"/>
  <c r="E113" i="5"/>
  <c r="N112" i="5"/>
  <c r="F112" i="5"/>
  <c r="O111" i="5"/>
  <c r="G111" i="5"/>
  <c r="P110" i="5"/>
  <c r="H110" i="5"/>
  <c r="Q109" i="5"/>
  <c r="I109" i="5"/>
  <c r="A109" i="5"/>
  <c r="J108" i="5"/>
  <c r="B108" i="5"/>
  <c r="K107" i="5"/>
  <c r="C107" i="5"/>
  <c r="L106" i="5"/>
  <c r="D106" i="5"/>
  <c r="M105" i="5"/>
  <c r="E105" i="5"/>
  <c r="N104" i="5"/>
  <c r="F104" i="5"/>
  <c r="O103" i="5"/>
  <c r="G103" i="5"/>
  <c r="P102" i="5"/>
  <c r="H102" i="5"/>
  <c r="Q101" i="5"/>
  <c r="I101" i="5"/>
  <c r="A101" i="5"/>
  <c r="J100" i="5"/>
  <c r="B100" i="5"/>
  <c r="K99" i="5"/>
  <c r="C99" i="5"/>
  <c r="L98" i="5"/>
  <c r="D98" i="5"/>
  <c r="M97" i="5"/>
  <c r="E97" i="5"/>
  <c r="N96" i="5"/>
  <c r="F96" i="5"/>
  <c r="O95" i="5"/>
  <c r="G95" i="5"/>
  <c r="P94" i="5"/>
  <c r="H94" i="5"/>
  <c r="Q93" i="5"/>
  <c r="I93" i="5"/>
  <c r="A93" i="5"/>
  <c r="J92" i="5"/>
  <c r="B92" i="5"/>
  <c r="K91" i="5"/>
  <c r="C91" i="5"/>
  <c r="L90" i="5"/>
  <c r="D90" i="5"/>
  <c r="M89" i="5"/>
  <c r="E89" i="5"/>
  <c r="N88" i="5"/>
  <c r="F88" i="5"/>
  <c r="O87" i="5"/>
  <c r="G87" i="5"/>
  <c r="P86" i="5"/>
  <c r="H86" i="5"/>
  <c r="D200" i="5"/>
  <c r="H196" i="5"/>
  <c r="L192" i="5"/>
  <c r="P188" i="5"/>
  <c r="C185" i="5"/>
  <c r="G181" i="5"/>
  <c r="K177" i="5"/>
  <c r="O173" i="5"/>
  <c r="B170" i="5"/>
  <c r="F166" i="5"/>
  <c r="J162" i="5"/>
  <c r="M160" i="5"/>
  <c r="E160" i="5"/>
  <c r="N159" i="5"/>
  <c r="F159" i="5"/>
  <c r="O158" i="5"/>
  <c r="G158" i="5"/>
  <c r="P157" i="5"/>
  <c r="H157" i="5"/>
  <c r="Q156" i="5"/>
  <c r="I156" i="5"/>
  <c r="A156" i="5"/>
  <c r="J155" i="5"/>
  <c r="B155" i="5"/>
  <c r="K154" i="5"/>
  <c r="C154" i="5"/>
  <c r="L153" i="5"/>
  <c r="D153" i="5"/>
  <c r="M152" i="5"/>
  <c r="E152" i="5"/>
  <c r="N151" i="5"/>
  <c r="F151" i="5"/>
  <c r="O150" i="5"/>
  <c r="G150" i="5"/>
  <c r="P149" i="5"/>
  <c r="H149" i="5"/>
  <c r="Q148" i="5"/>
  <c r="I148" i="5"/>
  <c r="A148" i="5"/>
  <c r="J147" i="5"/>
  <c r="B147" i="5"/>
  <c r="K146" i="5"/>
  <c r="C146" i="5"/>
  <c r="L145" i="5"/>
  <c r="D145" i="5"/>
  <c r="M144" i="5"/>
  <c r="E144" i="5"/>
  <c r="N143" i="5"/>
  <c r="F143" i="5"/>
  <c r="O142" i="5"/>
  <c r="G142" i="5"/>
  <c r="P141" i="5"/>
  <c r="H141" i="5"/>
  <c r="Q140" i="5"/>
  <c r="I140" i="5"/>
  <c r="A140" i="5"/>
  <c r="J139" i="5"/>
  <c r="B139" i="5"/>
  <c r="K138" i="5"/>
  <c r="C138" i="5"/>
  <c r="L137" i="5"/>
  <c r="D137" i="5"/>
  <c r="M136" i="5"/>
  <c r="E136" i="5"/>
  <c r="N135" i="5"/>
  <c r="F135" i="5"/>
  <c r="O134" i="5"/>
  <c r="G134" i="5"/>
  <c r="P133" i="5"/>
  <c r="H133" i="5"/>
  <c r="Q132" i="5"/>
  <c r="I132" i="5"/>
  <c r="A132" i="5"/>
  <c r="J131" i="5"/>
  <c r="B131" i="5"/>
  <c r="K130" i="5"/>
  <c r="C130" i="5"/>
  <c r="L129" i="5"/>
  <c r="D129" i="5"/>
  <c r="M128" i="5"/>
  <c r="E128" i="5"/>
  <c r="N127" i="5"/>
  <c r="F127" i="5"/>
  <c r="O126" i="5"/>
  <c r="G126" i="5"/>
  <c r="P125" i="5"/>
  <c r="H125" i="5"/>
  <c r="Q124" i="5"/>
  <c r="I124" i="5"/>
  <c r="A124" i="5"/>
  <c r="J123" i="5"/>
  <c r="B123" i="5"/>
  <c r="K122" i="5"/>
  <c r="C122" i="5"/>
  <c r="L121" i="5"/>
  <c r="D121" i="5"/>
  <c r="M120" i="5"/>
  <c r="E120" i="5"/>
  <c r="N119" i="5"/>
  <c r="F119" i="5"/>
  <c r="O118" i="5"/>
  <c r="G118" i="5"/>
  <c r="P117" i="5"/>
  <c r="H117" i="5"/>
  <c r="Q116" i="5"/>
  <c r="I116" i="5"/>
  <c r="A116" i="5"/>
  <c r="J115" i="5"/>
  <c r="B115" i="5"/>
  <c r="K114" i="5"/>
  <c r="C114" i="5"/>
  <c r="L113" i="5"/>
  <c r="D113" i="5"/>
  <c r="M112" i="5"/>
  <c r="E112" i="5"/>
  <c r="N111" i="5"/>
  <c r="F111" i="5"/>
  <c r="O110" i="5"/>
  <c r="G110" i="5"/>
  <c r="P109" i="5"/>
  <c r="H109" i="5"/>
  <c r="Q108" i="5"/>
  <c r="I108" i="5"/>
  <c r="A108" i="5"/>
  <c r="J107" i="5"/>
  <c r="B107" i="5"/>
  <c r="K106" i="5"/>
  <c r="C106" i="5"/>
  <c r="L105" i="5"/>
  <c r="D105" i="5"/>
  <c r="M104" i="5"/>
  <c r="E104" i="5"/>
  <c r="N103" i="5"/>
  <c r="F103" i="5"/>
  <c r="O102" i="5"/>
  <c r="G102" i="5"/>
  <c r="P101" i="5"/>
  <c r="H101" i="5"/>
  <c r="Q100" i="5"/>
  <c r="I100" i="5"/>
  <c r="A100" i="5"/>
  <c r="J99" i="5"/>
  <c r="B99" i="5"/>
  <c r="K98" i="5"/>
  <c r="C98" i="5"/>
  <c r="L97" i="5"/>
  <c r="D97" i="5"/>
  <c r="M96" i="5"/>
  <c r="E96" i="5"/>
  <c r="N95" i="5"/>
  <c r="F95" i="5"/>
  <c r="O94" i="5"/>
  <c r="G94" i="5"/>
  <c r="P93" i="5"/>
  <c r="H93" i="5"/>
  <c r="Q92" i="5"/>
  <c r="I92" i="5"/>
  <c r="A92" i="5"/>
  <c r="J91" i="5"/>
  <c r="M199" i="5"/>
  <c r="Q195" i="5"/>
  <c r="D192" i="5"/>
  <c r="H188" i="5"/>
  <c r="L184" i="5"/>
  <c r="P180" i="5"/>
  <c r="C177" i="5"/>
  <c r="G173" i="5"/>
  <c r="K169" i="5"/>
  <c r="O165" i="5"/>
  <c r="B162" i="5"/>
  <c r="L160" i="5"/>
  <c r="D160" i="5"/>
  <c r="M159" i="5"/>
  <c r="E159" i="5"/>
  <c r="N158" i="5"/>
  <c r="F158" i="5"/>
  <c r="O157" i="5"/>
  <c r="G157" i="5"/>
  <c r="P156" i="5"/>
  <c r="H156" i="5"/>
  <c r="Q155" i="5"/>
  <c r="I155" i="5"/>
  <c r="A155" i="5"/>
  <c r="J154" i="5"/>
  <c r="B154" i="5"/>
  <c r="K153" i="5"/>
  <c r="C153" i="5"/>
  <c r="L152" i="5"/>
  <c r="D152" i="5"/>
  <c r="M151" i="5"/>
  <c r="E151" i="5"/>
  <c r="N150" i="5"/>
  <c r="F150" i="5"/>
  <c r="O149" i="5"/>
  <c r="G149" i="5"/>
  <c r="P148" i="5"/>
  <c r="H148" i="5"/>
  <c r="Q147" i="5"/>
  <c r="I147" i="5"/>
  <c r="A147" i="5"/>
  <c r="J146" i="5"/>
  <c r="B146" i="5"/>
  <c r="K145" i="5"/>
  <c r="C145" i="5"/>
  <c r="L144" i="5"/>
  <c r="D144" i="5"/>
  <c r="M143" i="5"/>
  <c r="E143" i="5"/>
  <c r="N142" i="5"/>
  <c r="F142" i="5"/>
  <c r="O141" i="5"/>
  <c r="G141" i="5"/>
  <c r="P140" i="5"/>
  <c r="H140" i="5"/>
  <c r="Q139" i="5"/>
  <c r="I139" i="5"/>
  <c r="A139" i="5"/>
  <c r="J138" i="5"/>
  <c r="B138" i="5"/>
  <c r="K137" i="5"/>
  <c r="C137" i="5"/>
  <c r="L136" i="5"/>
  <c r="D136" i="5"/>
  <c r="M135" i="5"/>
  <c r="E135" i="5"/>
  <c r="N134" i="5"/>
  <c r="F134" i="5"/>
  <c r="O133" i="5"/>
  <c r="G133" i="5"/>
  <c r="P132" i="5"/>
  <c r="H132" i="5"/>
  <c r="Q131" i="5"/>
  <c r="I131" i="5"/>
  <c r="A131" i="5"/>
  <c r="J130" i="5"/>
  <c r="B130" i="5"/>
  <c r="K129" i="5"/>
  <c r="C129" i="5"/>
  <c r="L128" i="5"/>
  <c r="D128" i="5"/>
  <c r="M127" i="5"/>
  <c r="E127" i="5"/>
  <c r="N126" i="5"/>
  <c r="F126" i="5"/>
  <c r="O125" i="5"/>
  <c r="G125" i="5"/>
  <c r="P124" i="5"/>
  <c r="H124" i="5"/>
  <c r="Q123" i="5"/>
  <c r="I123" i="5"/>
  <c r="A123" i="5"/>
  <c r="J122" i="5"/>
  <c r="B122" i="5"/>
  <c r="K121" i="5"/>
  <c r="C121" i="5"/>
  <c r="L120" i="5"/>
  <c r="D120" i="5"/>
  <c r="M119" i="5"/>
  <c r="E119" i="5"/>
  <c r="N118" i="5"/>
  <c r="F118" i="5"/>
  <c r="O117" i="5"/>
  <c r="G117" i="5"/>
  <c r="P116" i="5"/>
  <c r="H116" i="5"/>
  <c r="Q115" i="5"/>
  <c r="I115" i="5"/>
  <c r="A115" i="5"/>
  <c r="J114" i="5"/>
  <c r="B114" i="5"/>
  <c r="K113" i="5"/>
  <c r="C113" i="5"/>
  <c r="L112" i="5"/>
  <c r="D112" i="5"/>
  <c r="M111" i="5"/>
  <c r="E111" i="5"/>
  <c r="N110" i="5"/>
  <c r="F110" i="5"/>
  <c r="O109" i="5"/>
  <c r="G109" i="5"/>
  <c r="P108" i="5"/>
  <c r="H108" i="5"/>
  <c r="Q107" i="5"/>
  <c r="I107" i="5"/>
  <c r="A107" i="5"/>
  <c r="J106" i="5"/>
  <c r="B106" i="5"/>
  <c r="K105" i="5"/>
  <c r="C105" i="5"/>
  <c r="L104" i="5"/>
  <c r="D104" i="5"/>
  <c r="M103" i="5"/>
  <c r="E103" i="5"/>
  <c r="N102" i="5"/>
  <c r="F102" i="5"/>
  <c r="O101" i="5"/>
  <c r="E199" i="5"/>
  <c r="I195" i="5"/>
  <c r="M191" i="5"/>
  <c r="Q187" i="5"/>
  <c r="D184" i="5"/>
  <c r="H180" i="5"/>
  <c r="L176" i="5"/>
  <c r="P172" i="5"/>
  <c r="C169" i="5"/>
  <c r="G165" i="5"/>
  <c r="K161" i="5"/>
  <c r="K160" i="5"/>
  <c r="C160" i="5"/>
  <c r="L159" i="5"/>
  <c r="D159" i="5"/>
  <c r="M158" i="5"/>
  <c r="E158" i="5"/>
  <c r="N157" i="5"/>
  <c r="F157" i="5"/>
  <c r="O156" i="5"/>
  <c r="G156" i="5"/>
  <c r="P155" i="5"/>
  <c r="H155" i="5"/>
  <c r="Q154" i="5"/>
  <c r="I154" i="5"/>
  <c r="A154" i="5"/>
  <c r="J153" i="5"/>
  <c r="B153" i="5"/>
  <c r="K152" i="5"/>
  <c r="C152" i="5"/>
  <c r="L151" i="5"/>
  <c r="D151" i="5"/>
  <c r="M150" i="5"/>
  <c r="E150" i="5"/>
  <c r="N149" i="5"/>
  <c r="F149" i="5"/>
  <c r="O148" i="5"/>
  <c r="G148" i="5"/>
  <c r="P147" i="5"/>
  <c r="H147" i="5"/>
  <c r="Q146" i="5"/>
  <c r="I146" i="5"/>
  <c r="A146" i="5"/>
  <c r="J145" i="5"/>
  <c r="B145" i="5"/>
  <c r="K144" i="5"/>
  <c r="C144" i="5"/>
  <c r="L143" i="5"/>
  <c r="D143" i="5"/>
  <c r="M142" i="5"/>
  <c r="E142" i="5"/>
  <c r="N141" i="5"/>
  <c r="F141" i="5"/>
  <c r="O140" i="5"/>
  <c r="G140" i="5"/>
  <c r="P139" i="5"/>
  <c r="H139" i="5"/>
  <c r="Q138" i="5"/>
  <c r="I138" i="5"/>
  <c r="A138" i="5"/>
  <c r="J137" i="5"/>
  <c r="B137" i="5"/>
  <c r="K136" i="5"/>
  <c r="C136" i="5"/>
  <c r="L135" i="5"/>
  <c r="D135" i="5"/>
  <c r="M134" i="5"/>
  <c r="E134" i="5"/>
  <c r="N133" i="5"/>
  <c r="F133" i="5"/>
  <c r="O132" i="5"/>
  <c r="G132" i="5"/>
  <c r="P131" i="5"/>
  <c r="H131" i="5"/>
  <c r="Q130" i="5"/>
  <c r="I130" i="5"/>
  <c r="A130" i="5"/>
  <c r="J129" i="5"/>
  <c r="B129" i="5"/>
  <c r="K128" i="5"/>
  <c r="C128" i="5"/>
  <c r="L127" i="5"/>
  <c r="D127" i="5"/>
  <c r="M126" i="5"/>
  <c r="E126" i="5"/>
  <c r="N125" i="5"/>
  <c r="F125" i="5"/>
  <c r="O124" i="5"/>
  <c r="G124" i="5"/>
  <c r="P123" i="5"/>
  <c r="H123" i="5"/>
  <c r="Q122" i="5"/>
  <c r="I122" i="5"/>
  <c r="A122" i="5"/>
  <c r="J121" i="5"/>
  <c r="B121" i="5"/>
  <c r="K120" i="5"/>
  <c r="C120" i="5"/>
  <c r="L119" i="5"/>
  <c r="D119" i="5"/>
  <c r="M118" i="5"/>
  <c r="E118" i="5"/>
  <c r="N117" i="5"/>
  <c r="F117" i="5"/>
  <c r="O116" i="5"/>
  <c r="G116" i="5"/>
  <c r="P115" i="5"/>
  <c r="H115" i="5"/>
  <c r="Q114" i="5"/>
  <c r="I114" i="5"/>
  <c r="A114" i="5"/>
  <c r="J113" i="5"/>
  <c r="B113" i="5"/>
  <c r="K112" i="5"/>
  <c r="C112" i="5"/>
  <c r="L111" i="5"/>
  <c r="D111" i="5"/>
  <c r="M110" i="5"/>
  <c r="E110" i="5"/>
  <c r="N109" i="5"/>
  <c r="F109" i="5"/>
  <c r="O108" i="5"/>
  <c r="G108" i="5"/>
  <c r="P107" i="5"/>
  <c r="H107" i="5"/>
  <c r="Q106" i="5"/>
  <c r="I106" i="5"/>
  <c r="A106" i="5"/>
  <c r="J105" i="5"/>
  <c r="B105" i="5"/>
  <c r="K104" i="5"/>
  <c r="C104" i="5"/>
  <c r="L103" i="5"/>
  <c r="D103" i="5"/>
  <c r="M102" i="5"/>
  <c r="E102" i="5"/>
  <c r="N101" i="5"/>
  <c r="F101" i="5"/>
  <c r="O100" i="5"/>
  <c r="G100" i="5"/>
  <c r="P99" i="5"/>
  <c r="H99" i="5"/>
  <c r="Q98" i="5"/>
  <c r="I98" i="5"/>
  <c r="A98" i="5"/>
  <c r="J97" i="5"/>
  <c r="B97" i="5"/>
  <c r="K96" i="5"/>
  <c r="C96" i="5"/>
  <c r="L95" i="5"/>
  <c r="D95" i="5"/>
  <c r="M94" i="5"/>
  <c r="E94" i="5"/>
  <c r="N93" i="5"/>
  <c r="F93" i="5"/>
  <c r="O92" i="5"/>
  <c r="G92" i="5"/>
  <c r="P91" i="5"/>
  <c r="H91" i="5"/>
  <c r="Q90" i="5"/>
  <c r="I90" i="5"/>
  <c r="A90" i="5"/>
  <c r="J89" i="5"/>
  <c r="B89" i="5"/>
  <c r="O197" i="5"/>
  <c r="B194" i="5"/>
  <c r="F190" i="5"/>
  <c r="J186" i="5"/>
  <c r="N182" i="5"/>
  <c r="A179" i="5"/>
  <c r="E175" i="5"/>
  <c r="I171" i="5"/>
  <c r="M167" i="5"/>
  <c r="Q163" i="5"/>
  <c r="P160" i="5"/>
  <c r="H160" i="5"/>
  <c r="Q159" i="5"/>
  <c r="I159" i="5"/>
  <c r="A159" i="5"/>
  <c r="J158" i="5"/>
  <c r="B158" i="5"/>
  <c r="K157" i="5"/>
  <c r="C157" i="5"/>
  <c r="L156" i="5"/>
  <c r="D156" i="5"/>
  <c r="M155" i="5"/>
  <c r="E155" i="5"/>
  <c r="N154" i="5"/>
  <c r="F154" i="5"/>
  <c r="O153" i="5"/>
  <c r="G153" i="5"/>
  <c r="P152" i="5"/>
  <c r="H152" i="5"/>
  <c r="Q151" i="5"/>
  <c r="I151" i="5"/>
  <c r="A151" i="5"/>
  <c r="J150" i="5"/>
  <c r="B150" i="5"/>
  <c r="K149" i="5"/>
  <c r="C149" i="5"/>
  <c r="L148" i="5"/>
  <c r="D148" i="5"/>
  <c r="M147" i="5"/>
  <c r="E147" i="5"/>
  <c r="N146" i="5"/>
  <c r="F146" i="5"/>
  <c r="O145" i="5"/>
  <c r="G145" i="5"/>
  <c r="P144" i="5"/>
  <c r="H144" i="5"/>
  <c r="Q143" i="5"/>
  <c r="I143" i="5"/>
  <c r="A143" i="5"/>
  <c r="J142" i="5"/>
  <c r="B142" i="5"/>
  <c r="K141" i="5"/>
  <c r="C141" i="5"/>
  <c r="L140" i="5"/>
  <c r="D140" i="5"/>
  <c r="M139" i="5"/>
  <c r="E139" i="5"/>
  <c r="N138" i="5"/>
  <c r="F138" i="5"/>
  <c r="O137" i="5"/>
  <c r="G137" i="5"/>
  <c r="P136" i="5"/>
  <c r="H136" i="5"/>
  <c r="Q135" i="5"/>
  <c r="I135" i="5"/>
  <c r="A135" i="5"/>
  <c r="J134" i="5"/>
  <c r="B134" i="5"/>
  <c r="K133" i="5"/>
  <c r="C133" i="5"/>
  <c r="L132" i="5"/>
  <c r="D132" i="5"/>
  <c r="M131" i="5"/>
  <c r="E131" i="5"/>
  <c r="N130" i="5"/>
  <c r="F130" i="5"/>
  <c r="O129" i="5"/>
  <c r="G129" i="5"/>
  <c r="P128" i="5"/>
  <c r="H128" i="5"/>
  <c r="Q127" i="5"/>
  <c r="I127" i="5"/>
  <c r="A127" i="5"/>
  <c r="J126" i="5"/>
  <c r="B126" i="5"/>
  <c r="K125" i="5"/>
  <c r="C125" i="5"/>
  <c r="L124" i="5"/>
  <c r="D124" i="5"/>
  <c r="M123" i="5"/>
  <c r="E123" i="5"/>
  <c r="N122" i="5"/>
  <c r="F122" i="5"/>
  <c r="O121" i="5"/>
  <c r="G121" i="5"/>
  <c r="P120" i="5"/>
  <c r="H120" i="5"/>
  <c r="Q119" i="5"/>
  <c r="I119" i="5"/>
  <c r="A119" i="5"/>
  <c r="J118" i="5"/>
  <c r="B118" i="5"/>
  <c r="K117" i="5"/>
  <c r="C117" i="5"/>
  <c r="L116" i="5"/>
  <c r="D116" i="5"/>
  <c r="M115" i="5"/>
  <c r="E115" i="5"/>
  <c r="N114" i="5"/>
  <c r="F114" i="5"/>
  <c r="O113" i="5"/>
  <c r="G113" i="5"/>
  <c r="P112" i="5"/>
  <c r="H112" i="5"/>
  <c r="Q111" i="5"/>
  <c r="I111" i="5"/>
  <c r="A111" i="5"/>
  <c r="J110" i="5"/>
  <c r="B110" i="5"/>
  <c r="K109" i="5"/>
  <c r="C109" i="5"/>
  <c r="L108" i="5"/>
  <c r="D108" i="5"/>
  <c r="M107" i="5"/>
  <c r="E107" i="5"/>
  <c r="N106" i="5"/>
  <c r="F106" i="5"/>
  <c r="O105" i="5"/>
  <c r="G105" i="5"/>
  <c r="P104" i="5"/>
  <c r="H104" i="5"/>
  <c r="Q103" i="5"/>
  <c r="I103" i="5"/>
  <c r="A103" i="5"/>
  <c r="J102" i="5"/>
  <c r="B102" i="5"/>
  <c r="K101" i="5"/>
  <c r="C101" i="5"/>
  <c r="L100" i="5"/>
  <c r="D100" i="5"/>
  <c r="M99" i="5"/>
  <c r="E99" i="5"/>
  <c r="N98" i="5"/>
  <c r="F98" i="5"/>
  <c r="O97" i="5"/>
  <c r="G97" i="5"/>
  <c r="P96" i="5"/>
  <c r="H96" i="5"/>
  <c r="Q95" i="5"/>
  <c r="I95" i="5"/>
  <c r="A95" i="5"/>
  <c r="J94" i="5"/>
  <c r="B94" i="5"/>
  <c r="K93" i="5"/>
  <c r="C93" i="5"/>
  <c r="L92" i="5"/>
  <c r="D92" i="5"/>
  <c r="M91" i="5"/>
  <c r="E91" i="5"/>
  <c r="N198" i="5"/>
  <c r="O189" i="5"/>
  <c r="I179" i="5"/>
  <c r="L168" i="5"/>
  <c r="O160" i="5"/>
  <c r="J159" i="5"/>
  <c r="D158" i="5"/>
  <c r="B157" i="5"/>
  <c r="N155" i="5"/>
  <c r="H154" i="5"/>
  <c r="F153" i="5"/>
  <c r="A152" i="5"/>
  <c r="L150" i="5"/>
  <c r="J149" i="5"/>
  <c r="E148" i="5"/>
  <c r="P146" i="5"/>
  <c r="N145" i="5"/>
  <c r="I144" i="5"/>
  <c r="C143" i="5"/>
  <c r="A142" i="5"/>
  <c r="M140" i="5"/>
  <c r="G139" i="5"/>
  <c r="E138" i="5"/>
  <c r="Q136" i="5"/>
  <c r="K135" i="5"/>
  <c r="I134" i="5"/>
  <c r="D133" i="5"/>
  <c r="O131" i="5"/>
  <c r="M130" i="5"/>
  <c r="H129" i="5"/>
  <c r="B128" i="5"/>
  <c r="Q126" i="5"/>
  <c r="L125" i="5"/>
  <c r="F124" i="5"/>
  <c r="D123" i="5"/>
  <c r="P121" i="5"/>
  <c r="J120" i="5"/>
  <c r="H119" i="5"/>
  <c r="C118" i="5"/>
  <c r="N116" i="5"/>
  <c r="L115" i="5"/>
  <c r="G114" i="5"/>
  <c r="A113" i="5"/>
  <c r="P111" i="5"/>
  <c r="K110" i="5"/>
  <c r="E109" i="5"/>
  <c r="C108" i="5"/>
  <c r="O106" i="5"/>
  <c r="I105" i="5"/>
  <c r="G104" i="5"/>
  <c r="B103" i="5"/>
  <c r="M101" i="5"/>
  <c r="N100" i="5"/>
  <c r="O99" i="5"/>
  <c r="P98" i="5"/>
  <c r="Q97" i="5"/>
  <c r="A97" i="5"/>
  <c r="B96" i="5"/>
  <c r="C95" i="5"/>
  <c r="D94" i="5"/>
  <c r="E93" i="5"/>
  <c r="F92" i="5"/>
  <c r="G91" i="5"/>
  <c r="M90" i="5"/>
  <c r="B90" i="5"/>
  <c r="H89" i="5"/>
  <c r="O88" i="5"/>
  <c r="E88" i="5"/>
  <c r="M87" i="5"/>
  <c r="D87" i="5"/>
  <c r="L86" i="5"/>
  <c r="C86" i="5"/>
  <c r="L85" i="5"/>
  <c r="D85" i="5"/>
  <c r="M84" i="5"/>
  <c r="E84" i="5"/>
  <c r="N83" i="5"/>
  <c r="F83" i="5"/>
  <c r="O82" i="5"/>
  <c r="G82" i="5"/>
  <c r="P81" i="5"/>
  <c r="H81" i="5"/>
  <c r="Q80" i="5"/>
  <c r="I80" i="5"/>
  <c r="A80" i="5"/>
  <c r="J79" i="5"/>
  <c r="B79" i="5"/>
  <c r="K78" i="5"/>
  <c r="C78" i="5"/>
  <c r="L77" i="5"/>
  <c r="D77" i="5"/>
  <c r="M76" i="5"/>
  <c r="E76" i="5"/>
  <c r="N75" i="5"/>
  <c r="F75" i="5"/>
  <c r="O74" i="5"/>
  <c r="G74" i="5"/>
  <c r="P73" i="5"/>
  <c r="H73" i="5"/>
  <c r="Q72" i="5"/>
  <c r="I72" i="5"/>
  <c r="A72" i="5"/>
  <c r="J71" i="5"/>
  <c r="B71" i="5"/>
  <c r="K70" i="5"/>
  <c r="C70" i="5"/>
  <c r="L69" i="5"/>
  <c r="D69" i="5"/>
  <c r="M68" i="5"/>
  <c r="E68" i="5"/>
  <c r="N67" i="5"/>
  <c r="F67" i="5"/>
  <c r="O66" i="5"/>
  <c r="G66" i="5"/>
  <c r="P65" i="5"/>
  <c r="H65" i="5"/>
  <c r="Q64" i="5"/>
  <c r="I64" i="5"/>
  <c r="A64" i="5"/>
  <c r="J63" i="5"/>
  <c r="B63" i="5"/>
  <c r="K62" i="5"/>
  <c r="C62" i="5"/>
  <c r="L61" i="5"/>
  <c r="D61" i="5"/>
  <c r="M60" i="5"/>
  <c r="E60" i="5"/>
  <c r="N59" i="5"/>
  <c r="F59" i="5"/>
  <c r="O58" i="5"/>
  <c r="G58" i="5"/>
  <c r="P57" i="5"/>
  <c r="H57" i="5"/>
  <c r="Q56" i="5"/>
  <c r="I56" i="5"/>
  <c r="A56" i="5"/>
  <c r="J55" i="5"/>
  <c r="B55" i="5"/>
  <c r="K54" i="5"/>
  <c r="C54" i="5"/>
  <c r="L53" i="5"/>
  <c r="D53" i="5"/>
  <c r="M52" i="5"/>
  <c r="E52" i="5"/>
  <c r="N51" i="5"/>
  <c r="F51" i="5"/>
  <c r="O50" i="5"/>
  <c r="G50" i="5"/>
  <c r="P49" i="5"/>
  <c r="H49" i="5"/>
  <c r="Q48" i="5"/>
  <c r="I48" i="5"/>
  <c r="A48" i="5"/>
  <c r="J47" i="5"/>
  <c r="O46" i="5"/>
  <c r="G46" i="5"/>
  <c r="M45" i="5"/>
  <c r="P44" i="5"/>
  <c r="H44" i="5"/>
  <c r="Q43" i="5"/>
  <c r="I43" i="5"/>
  <c r="Q42" i="5"/>
  <c r="I42" i="5"/>
  <c r="A42" i="5"/>
  <c r="J41" i="5"/>
  <c r="B41" i="5"/>
  <c r="K40" i="5"/>
  <c r="Q39" i="5"/>
  <c r="I39" i="5"/>
  <c r="O38" i="5"/>
  <c r="G38" i="5"/>
  <c r="M37" i="5"/>
  <c r="E37" i="5"/>
  <c r="K36" i="5"/>
  <c r="Q35" i="5"/>
  <c r="I35" i="5"/>
  <c r="F198" i="5"/>
  <c r="I187" i="5"/>
  <c r="J178" i="5"/>
  <c r="D168" i="5"/>
  <c r="J160" i="5"/>
  <c r="H159" i="5"/>
  <c r="C158" i="5"/>
  <c r="N156" i="5"/>
  <c r="L155" i="5"/>
  <c r="G154" i="5"/>
  <c r="A153" i="5"/>
  <c r="P151" i="5"/>
  <c r="K150" i="5"/>
  <c r="E149" i="5"/>
  <c r="C148" i="5"/>
  <c r="O146" i="5"/>
  <c r="I145" i="5"/>
  <c r="G144" i="5"/>
  <c r="B143" i="5"/>
  <c r="M141" i="5"/>
  <c r="K140" i="5"/>
  <c r="F139" i="5"/>
  <c r="Q137" i="5"/>
  <c r="O136" i="5"/>
  <c r="J135" i="5"/>
  <c r="D134" i="5"/>
  <c r="B133" i="5"/>
  <c r="N131" i="5"/>
  <c r="H130" i="5"/>
  <c r="F129" i="5"/>
  <c r="A128" i="5"/>
  <c r="L126" i="5"/>
  <c r="J125" i="5"/>
  <c r="E124" i="5"/>
  <c r="P122" i="5"/>
  <c r="N121" i="5"/>
  <c r="I120" i="5"/>
  <c r="C119" i="5"/>
  <c r="A118" i="5"/>
  <c r="M116" i="5"/>
  <c r="G115" i="5"/>
  <c r="E114" i="5"/>
  <c r="Q112" i="5"/>
  <c r="K111" i="5"/>
  <c r="I110" i="5"/>
  <c r="D109" i="5"/>
  <c r="O107" i="5"/>
  <c r="M106" i="5"/>
  <c r="H105" i="5"/>
  <c r="B104" i="5"/>
  <c r="Q102" i="5"/>
  <c r="L101" i="5"/>
  <c r="M100" i="5"/>
  <c r="N99" i="5"/>
  <c r="O98" i="5"/>
  <c r="P97" i="5"/>
  <c r="Q96" i="5"/>
  <c r="A96" i="5"/>
  <c r="B95" i="5"/>
  <c r="C94" i="5"/>
  <c r="D93" i="5"/>
  <c r="E92" i="5"/>
  <c r="F91" i="5"/>
  <c r="K90" i="5"/>
  <c r="Q89" i="5"/>
  <c r="G89" i="5"/>
  <c r="M88" i="5"/>
  <c r="D88" i="5"/>
  <c r="L87" i="5"/>
  <c r="C87" i="5"/>
  <c r="K86" i="5"/>
  <c r="B86" i="5"/>
  <c r="K85" i="5"/>
  <c r="C85" i="5"/>
  <c r="L84" i="5"/>
  <c r="D84" i="5"/>
  <c r="M83" i="5"/>
  <c r="E83" i="5"/>
  <c r="N82" i="5"/>
  <c r="F82" i="5"/>
  <c r="O81" i="5"/>
  <c r="G81" i="5"/>
  <c r="P80" i="5"/>
  <c r="H80" i="5"/>
  <c r="Q79" i="5"/>
  <c r="I79" i="5"/>
  <c r="A79" i="5"/>
  <c r="J78" i="5"/>
  <c r="B78" i="5"/>
  <c r="K77" i="5"/>
  <c r="C77" i="5"/>
  <c r="L76" i="5"/>
  <c r="D76" i="5"/>
  <c r="M75" i="5"/>
  <c r="E75" i="5"/>
  <c r="N74" i="5"/>
  <c r="F74" i="5"/>
  <c r="O73" i="5"/>
  <c r="G73" i="5"/>
  <c r="P72" i="5"/>
  <c r="H72" i="5"/>
  <c r="Q71" i="5"/>
  <c r="I71" i="5"/>
  <c r="A71" i="5"/>
  <c r="J70" i="5"/>
  <c r="B70" i="5"/>
  <c r="K69" i="5"/>
  <c r="C69" i="5"/>
  <c r="L68" i="5"/>
  <c r="D68" i="5"/>
  <c r="M67" i="5"/>
  <c r="E67" i="5"/>
  <c r="N66" i="5"/>
  <c r="F66" i="5"/>
  <c r="O65" i="5"/>
  <c r="G65" i="5"/>
  <c r="P64" i="5"/>
  <c r="H64" i="5"/>
  <c r="Q63" i="5"/>
  <c r="I63" i="5"/>
  <c r="A63" i="5"/>
  <c r="J62" i="5"/>
  <c r="B62" i="5"/>
  <c r="K61" i="5"/>
  <c r="C61" i="5"/>
  <c r="L60" i="5"/>
  <c r="D60" i="5"/>
  <c r="M59" i="5"/>
  <c r="E59" i="5"/>
  <c r="N58" i="5"/>
  <c r="F58" i="5"/>
  <c r="O57" i="5"/>
  <c r="G57" i="5"/>
  <c r="P56" i="5"/>
  <c r="H56" i="5"/>
  <c r="Q55" i="5"/>
  <c r="I55" i="5"/>
  <c r="A55" i="5"/>
  <c r="J54" i="5"/>
  <c r="B54" i="5"/>
  <c r="K53" i="5"/>
  <c r="C53" i="5"/>
  <c r="L52" i="5"/>
  <c r="D52" i="5"/>
  <c r="M51" i="5"/>
  <c r="E51" i="5"/>
  <c r="N50" i="5"/>
  <c r="F50" i="5"/>
  <c r="O49" i="5"/>
  <c r="G49" i="5"/>
  <c r="P48" i="5"/>
  <c r="H48" i="5"/>
  <c r="Q47" i="5"/>
  <c r="I47" i="5"/>
  <c r="N46" i="5"/>
  <c r="F46" i="5"/>
  <c r="L45" i="5"/>
  <c r="O44" i="5"/>
  <c r="G44" i="5"/>
  <c r="P43" i="5"/>
  <c r="H43" i="5"/>
  <c r="P42" i="5"/>
  <c r="H42" i="5"/>
  <c r="Q41" i="5"/>
  <c r="I41" i="5"/>
  <c r="A41" i="5"/>
  <c r="J40" i="5"/>
  <c r="P39" i="5"/>
  <c r="H39" i="5"/>
  <c r="N38" i="5"/>
  <c r="G197" i="5"/>
  <c r="A187" i="5"/>
  <c r="D176" i="5"/>
  <c r="E167" i="5"/>
  <c r="I160" i="5"/>
  <c r="C159" i="5"/>
  <c r="A158" i="5"/>
  <c r="M156" i="5"/>
  <c r="G155" i="5"/>
  <c r="E154" i="5"/>
  <c r="Q152" i="5"/>
  <c r="K151" i="5"/>
  <c r="I150" i="5"/>
  <c r="D149" i="5"/>
  <c r="O147" i="5"/>
  <c r="M146" i="5"/>
  <c r="H145" i="5"/>
  <c r="B144" i="5"/>
  <c r="Q142" i="5"/>
  <c r="L141" i="5"/>
  <c r="F140" i="5"/>
  <c r="D139" i="5"/>
  <c r="P137" i="5"/>
  <c r="J136" i="5"/>
  <c r="H135" i="5"/>
  <c r="C134" i="5"/>
  <c r="N132" i="5"/>
  <c r="L131" i="5"/>
  <c r="G130" i="5"/>
  <c r="A129" i="5"/>
  <c r="P127" i="5"/>
  <c r="K126" i="5"/>
  <c r="E125" i="5"/>
  <c r="C124" i="5"/>
  <c r="O122" i="5"/>
  <c r="I121" i="5"/>
  <c r="G120" i="5"/>
  <c r="B119" i="5"/>
  <c r="M117" i="5"/>
  <c r="K116" i="5"/>
  <c r="F115" i="5"/>
  <c r="Q113" i="5"/>
  <c r="O112" i="5"/>
  <c r="J111" i="5"/>
  <c r="D110" i="5"/>
  <c r="B109" i="5"/>
  <c r="N107" i="5"/>
  <c r="H106" i="5"/>
  <c r="F105" i="5"/>
  <c r="A104" i="5"/>
  <c r="L102" i="5"/>
  <c r="J101" i="5"/>
  <c r="K100" i="5"/>
  <c r="L99" i="5"/>
  <c r="M98" i="5"/>
  <c r="N97" i="5"/>
  <c r="O96" i="5"/>
  <c r="P95" i="5"/>
  <c r="Q94" i="5"/>
  <c r="A94" i="5"/>
  <c r="B93" i="5"/>
  <c r="C92" i="5"/>
  <c r="D91" i="5"/>
  <c r="J90" i="5"/>
  <c r="P89" i="5"/>
  <c r="F89" i="5"/>
  <c r="L88" i="5"/>
  <c r="C88" i="5"/>
  <c r="K87" i="5"/>
  <c r="B87" i="5"/>
  <c r="J86" i="5"/>
  <c r="A86" i="5"/>
  <c r="J85" i="5"/>
  <c r="B85" i="5"/>
  <c r="K84" i="5"/>
  <c r="C84" i="5"/>
  <c r="L83" i="5"/>
  <c r="D83" i="5"/>
  <c r="M82" i="5"/>
  <c r="E82" i="5"/>
  <c r="N81" i="5"/>
  <c r="F81" i="5"/>
  <c r="O80" i="5"/>
  <c r="G80" i="5"/>
  <c r="P79" i="5"/>
  <c r="H79" i="5"/>
  <c r="Q78" i="5"/>
  <c r="I78" i="5"/>
  <c r="A78" i="5"/>
  <c r="J77" i="5"/>
  <c r="B77" i="5"/>
  <c r="K76" i="5"/>
  <c r="C76" i="5"/>
  <c r="L75" i="5"/>
  <c r="D75" i="5"/>
  <c r="M74" i="5"/>
  <c r="E74" i="5"/>
  <c r="N73" i="5"/>
  <c r="F73" i="5"/>
  <c r="O72" i="5"/>
  <c r="G72" i="5"/>
  <c r="P71" i="5"/>
  <c r="H71" i="5"/>
  <c r="Q70" i="5"/>
  <c r="I70" i="5"/>
  <c r="A70" i="5"/>
  <c r="J69" i="5"/>
  <c r="B69" i="5"/>
  <c r="K68" i="5"/>
  <c r="C68" i="5"/>
  <c r="L67" i="5"/>
  <c r="D67" i="5"/>
  <c r="M66" i="5"/>
  <c r="E66" i="5"/>
  <c r="N65" i="5"/>
  <c r="F65" i="5"/>
  <c r="O64" i="5"/>
  <c r="G64" i="5"/>
  <c r="P63" i="5"/>
  <c r="H63" i="5"/>
  <c r="Q62" i="5"/>
  <c r="I62" i="5"/>
  <c r="A62" i="5"/>
  <c r="J61" i="5"/>
  <c r="B61" i="5"/>
  <c r="K60" i="5"/>
  <c r="C60" i="5"/>
  <c r="L59" i="5"/>
  <c r="D59" i="5"/>
  <c r="M58" i="5"/>
  <c r="E58" i="5"/>
  <c r="N57" i="5"/>
  <c r="F57" i="5"/>
  <c r="O56" i="5"/>
  <c r="G56" i="5"/>
  <c r="P55" i="5"/>
  <c r="H55" i="5"/>
  <c r="Q54" i="5"/>
  <c r="I54" i="5"/>
  <c r="A54" i="5"/>
  <c r="J53" i="5"/>
  <c r="B53" i="5"/>
  <c r="K52" i="5"/>
  <c r="C52" i="5"/>
  <c r="L51" i="5"/>
  <c r="D51" i="5"/>
  <c r="M50" i="5"/>
  <c r="E50" i="5"/>
  <c r="N49" i="5"/>
  <c r="F49" i="5"/>
  <c r="O48" i="5"/>
  <c r="G48" i="5"/>
  <c r="P47" i="5"/>
  <c r="F47" i="5"/>
  <c r="M46" i="5"/>
  <c r="E46" i="5"/>
  <c r="K45" i="5"/>
  <c r="N44" i="5"/>
  <c r="F44" i="5"/>
  <c r="O43" i="5"/>
  <c r="G43" i="5"/>
  <c r="O42" i="5"/>
  <c r="G42" i="5"/>
  <c r="P41" i="5"/>
  <c r="H41" i="5"/>
  <c r="Q40" i="5"/>
  <c r="I40" i="5"/>
  <c r="A195" i="5"/>
  <c r="B186" i="5"/>
  <c r="M175" i="5"/>
  <c r="P164" i="5"/>
  <c r="G160" i="5"/>
  <c r="B159" i="5"/>
  <c r="M157" i="5"/>
  <c r="K156" i="5"/>
  <c r="F155" i="5"/>
  <c r="Q153" i="5"/>
  <c r="O152" i="5"/>
  <c r="J151" i="5"/>
  <c r="D150" i="5"/>
  <c r="B149" i="5"/>
  <c r="N147" i="5"/>
  <c r="H146" i="5"/>
  <c r="F145" i="5"/>
  <c r="A144" i="5"/>
  <c r="L142" i="5"/>
  <c r="J141" i="5"/>
  <c r="E140" i="5"/>
  <c r="P138" i="5"/>
  <c r="N137" i="5"/>
  <c r="I136" i="5"/>
  <c r="C135" i="5"/>
  <c r="A134" i="5"/>
  <c r="M132" i="5"/>
  <c r="G131" i="5"/>
  <c r="E130" i="5"/>
  <c r="Q128" i="5"/>
  <c r="K127" i="5"/>
  <c r="I126" i="5"/>
  <c r="D125" i="5"/>
  <c r="O123" i="5"/>
  <c r="M122" i="5"/>
  <c r="H121" i="5"/>
  <c r="B120" i="5"/>
  <c r="Q118" i="5"/>
  <c r="L117" i="5"/>
  <c r="F116" i="5"/>
  <c r="D115" i="5"/>
  <c r="P113" i="5"/>
  <c r="J112" i="5"/>
  <c r="H111" i="5"/>
  <c r="C110" i="5"/>
  <c r="N108" i="5"/>
  <c r="L107" i="5"/>
  <c r="G106" i="5"/>
  <c r="A105" i="5"/>
  <c r="P103" i="5"/>
  <c r="K102" i="5"/>
  <c r="G101" i="5"/>
  <c r="H100" i="5"/>
  <c r="I99" i="5"/>
  <c r="J98" i="5"/>
  <c r="K97" i="5"/>
  <c r="L96" i="5"/>
  <c r="M95" i="5"/>
  <c r="N94" i="5"/>
  <c r="O93" i="5"/>
  <c r="P92" i="5"/>
  <c r="Q91" i="5"/>
  <c r="B91" i="5"/>
  <c r="H90" i="5"/>
  <c r="O89" i="5"/>
  <c r="D89" i="5"/>
  <c r="K88" i="5"/>
  <c r="B88" i="5"/>
  <c r="J87" i="5"/>
  <c r="A87" i="5"/>
  <c r="I86" i="5"/>
  <c r="Q85" i="5"/>
  <c r="I85" i="5"/>
  <c r="A85" i="5"/>
  <c r="J84" i="5"/>
  <c r="B84" i="5"/>
  <c r="K83" i="5"/>
  <c r="C83" i="5"/>
  <c r="L82" i="5"/>
  <c r="D82" i="5"/>
  <c r="M81" i="5"/>
  <c r="E81" i="5"/>
  <c r="N80" i="5"/>
  <c r="F80" i="5"/>
  <c r="O79" i="5"/>
  <c r="G79" i="5"/>
  <c r="P78" i="5"/>
  <c r="H78" i="5"/>
  <c r="Q77" i="5"/>
  <c r="I77" i="5"/>
  <c r="A77" i="5"/>
  <c r="J76" i="5"/>
  <c r="B76" i="5"/>
  <c r="K75" i="5"/>
  <c r="C75" i="5"/>
  <c r="L74" i="5"/>
  <c r="D74" i="5"/>
  <c r="M73" i="5"/>
  <c r="E73" i="5"/>
  <c r="N72" i="5"/>
  <c r="F72" i="5"/>
  <c r="O71" i="5"/>
  <c r="G71" i="5"/>
  <c r="P70" i="5"/>
  <c r="H70" i="5"/>
  <c r="Q69" i="5"/>
  <c r="I69" i="5"/>
  <c r="A69" i="5"/>
  <c r="J68" i="5"/>
  <c r="B68" i="5"/>
  <c r="K67" i="5"/>
  <c r="C67" i="5"/>
  <c r="L66" i="5"/>
  <c r="D66" i="5"/>
  <c r="M65" i="5"/>
  <c r="E65" i="5"/>
  <c r="N64" i="5"/>
  <c r="F64" i="5"/>
  <c r="O63" i="5"/>
  <c r="G63" i="5"/>
  <c r="P62" i="5"/>
  <c r="H62" i="5"/>
  <c r="Q61" i="5"/>
  <c r="I61" i="5"/>
  <c r="A61" i="5"/>
  <c r="J60" i="5"/>
  <c r="B60" i="5"/>
  <c r="K59" i="5"/>
  <c r="C59" i="5"/>
  <c r="L58" i="5"/>
  <c r="D58" i="5"/>
  <c r="M57" i="5"/>
  <c r="E57" i="5"/>
  <c r="N56" i="5"/>
  <c r="F56" i="5"/>
  <c r="O55" i="5"/>
  <c r="G55" i="5"/>
  <c r="P54" i="5"/>
  <c r="H54" i="5"/>
  <c r="Q53" i="5"/>
  <c r="I53" i="5"/>
  <c r="A53" i="5"/>
  <c r="J52" i="5"/>
  <c r="B52" i="5"/>
  <c r="K51" i="5"/>
  <c r="C51" i="5"/>
  <c r="L50" i="5"/>
  <c r="D50" i="5"/>
  <c r="M49" i="5"/>
  <c r="E49" i="5"/>
  <c r="E191" i="5"/>
  <c r="F182" i="5"/>
  <c r="Q171" i="5"/>
  <c r="C161" i="5"/>
  <c r="P159" i="5"/>
  <c r="K158" i="5"/>
  <c r="E157" i="5"/>
  <c r="C156" i="5"/>
  <c r="O154" i="5"/>
  <c r="I153" i="5"/>
  <c r="G152" i="5"/>
  <c r="B151" i="5"/>
  <c r="M149" i="5"/>
  <c r="K148" i="5"/>
  <c r="F147" i="5"/>
  <c r="Q145" i="5"/>
  <c r="O144" i="5"/>
  <c r="J143" i="5"/>
  <c r="D142" i="5"/>
  <c r="B141" i="5"/>
  <c r="N139" i="5"/>
  <c r="H138" i="5"/>
  <c r="F137" i="5"/>
  <c r="A136" i="5"/>
  <c r="L134" i="5"/>
  <c r="J133" i="5"/>
  <c r="E132" i="5"/>
  <c r="P130" i="5"/>
  <c r="N129" i="5"/>
  <c r="I128" i="5"/>
  <c r="C127" i="5"/>
  <c r="A126" i="5"/>
  <c r="M124" i="5"/>
  <c r="G123" i="5"/>
  <c r="E122" i="5"/>
  <c r="Q120" i="5"/>
  <c r="K119" i="5"/>
  <c r="I118" i="5"/>
  <c r="D117" i="5"/>
  <c r="O115" i="5"/>
  <c r="M114" i="5"/>
  <c r="H113" i="5"/>
  <c r="B112" i="5"/>
  <c r="Q110" i="5"/>
  <c r="L109" i="5"/>
  <c r="F108" i="5"/>
  <c r="D107" i="5"/>
  <c r="P105" i="5"/>
  <c r="J104" i="5"/>
  <c r="H103" i="5"/>
  <c r="C102" i="5"/>
  <c r="B101" i="5"/>
  <c r="C100" i="5"/>
  <c r="D99" i="5"/>
  <c r="E98" i="5"/>
  <c r="F97" i="5"/>
  <c r="G96" i="5"/>
  <c r="H95" i="5"/>
  <c r="I94" i="5"/>
  <c r="J93" i="5"/>
  <c r="K92" i="5"/>
  <c r="L91" i="5"/>
  <c r="O90" i="5"/>
  <c r="E90" i="5"/>
  <c r="K89" i="5"/>
  <c r="Q88" i="5"/>
  <c r="H88" i="5"/>
  <c r="P87" i="5"/>
  <c r="F87" i="5"/>
  <c r="N86" i="5"/>
  <c r="E86" i="5"/>
  <c r="N85" i="5"/>
  <c r="F85" i="5"/>
  <c r="O84" i="5"/>
  <c r="G84" i="5"/>
  <c r="P83" i="5"/>
  <c r="H83" i="5"/>
  <c r="Q82" i="5"/>
  <c r="I82" i="5"/>
  <c r="A82" i="5"/>
  <c r="J81" i="5"/>
  <c r="B81" i="5"/>
  <c r="K80" i="5"/>
  <c r="C80" i="5"/>
  <c r="L79" i="5"/>
  <c r="D79" i="5"/>
  <c r="M78" i="5"/>
  <c r="E78" i="5"/>
  <c r="N77" i="5"/>
  <c r="F77" i="5"/>
  <c r="O76" i="5"/>
  <c r="G76" i="5"/>
  <c r="P75" i="5"/>
  <c r="H75" i="5"/>
  <c r="Q74" i="5"/>
  <c r="I74" i="5"/>
  <c r="A74" i="5"/>
  <c r="J73" i="5"/>
  <c r="B73" i="5"/>
  <c r="K72" i="5"/>
  <c r="C72" i="5"/>
  <c r="L71" i="5"/>
  <c r="D71" i="5"/>
  <c r="M70" i="5"/>
  <c r="E70" i="5"/>
  <c r="N69" i="5"/>
  <c r="F69" i="5"/>
  <c r="O68" i="5"/>
  <c r="G68" i="5"/>
  <c r="P67" i="5"/>
  <c r="H67" i="5"/>
  <c r="Q66" i="5"/>
  <c r="I66" i="5"/>
  <c r="A66" i="5"/>
  <c r="J65" i="5"/>
  <c r="B65" i="5"/>
  <c r="K64" i="5"/>
  <c r="C64" i="5"/>
  <c r="L63" i="5"/>
  <c r="D63" i="5"/>
  <c r="M62" i="5"/>
  <c r="E62" i="5"/>
  <c r="N61" i="5"/>
  <c r="F61" i="5"/>
  <c r="O60" i="5"/>
  <c r="G60" i="5"/>
  <c r="P59" i="5"/>
  <c r="H59" i="5"/>
  <c r="Q58" i="5"/>
  <c r="I58" i="5"/>
  <c r="A58" i="5"/>
  <c r="J57" i="5"/>
  <c r="B57" i="5"/>
  <c r="K56" i="5"/>
  <c r="C56" i="5"/>
  <c r="L55" i="5"/>
  <c r="D55" i="5"/>
  <c r="M54" i="5"/>
  <c r="E54" i="5"/>
  <c r="N53" i="5"/>
  <c r="F53" i="5"/>
  <c r="O52" i="5"/>
  <c r="G52" i="5"/>
  <c r="P51" i="5"/>
  <c r="H51" i="5"/>
  <c r="Q50" i="5"/>
  <c r="I50" i="5"/>
  <c r="A50" i="5"/>
  <c r="J49" i="5"/>
  <c r="B49" i="5"/>
  <c r="K48" i="5"/>
  <c r="H3" i="5"/>
  <c r="P3" i="5"/>
  <c r="G4" i="5"/>
  <c r="O4" i="5"/>
  <c r="L5" i="5"/>
  <c r="C6" i="5"/>
  <c r="K6" i="5"/>
  <c r="B7" i="5"/>
  <c r="N7" i="5"/>
  <c r="E8" i="5"/>
  <c r="M8" i="5"/>
  <c r="F9" i="5"/>
  <c r="P9" i="5"/>
  <c r="K10" i="5"/>
  <c r="C11" i="5"/>
  <c r="N11" i="5"/>
  <c r="L12" i="5"/>
  <c r="J13" i="5"/>
  <c r="I14" i="5"/>
  <c r="Q14" i="5"/>
  <c r="P15" i="5"/>
  <c r="I16" i="5"/>
  <c r="Q16" i="5"/>
  <c r="J17" i="5"/>
  <c r="A18" i="5"/>
  <c r="I18" i="5"/>
  <c r="Q18" i="5"/>
  <c r="J19" i="5"/>
  <c r="A20" i="5"/>
  <c r="I20" i="5"/>
  <c r="Q20" i="5"/>
  <c r="O21" i="5"/>
  <c r="F22" i="5"/>
  <c r="N22" i="5"/>
  <c r="G23" i="5"/>
  <c r="O23" i="5"/>
  <c r="I24" i="5"/>
  <c r="Q24" i="5"/>
  <c r="K25" i="5"/>
  <c r="B26" i="5"/>
  <c r="J26" i="5"/>
  <c r="A27" i="5"/>
  <c r="I27" i="5"/>
  <c r="Q27" i="5"/>
  <c r="H28" i="5"/>
  <c r="P28" i="5"/>
  <c r="H29" i="5"/>
  <c r="P29" i="5"/>
  <c r="G30" i="5"/>
  <c r="O30" i="5"/>
  <c r="I31" i="5"/>
  <c r="Q31" i="5"/>
  <c r="K32" i="5"/>
  <c r="E33" i="5"/>
  <c r="M33" i="5"/>
  <c r="G34" i="5"/>
  <c r="O34" i="5"/>
  <c r="J35" i="5"/>
  <c r="E36" i="5"/>
  <c r="N36" i="5"/>
  <c r="I37" i="5"/>
  <c r="A38" i="5"/>
  <c r="M38" i="5"/>
  <c r="K39" i="5"/>
  <c r="G40" i="5"/>
  <c r="D41" i="5"/>
  <c r="O41" i="5"/>
  <c r="L42" i="5"/>
  <c r="J43" i="5"/>
  <c r="D44" i="5"/>
  <c r="A45" i="5"/>
  <c r="A46" i="5"/>
  <c r="A47" i="5"/>
  <c r="B48" i="5"/>
  <c r="N48" i="5"/>
  <c r="B50" i="5"/>
  <c r="G51" i="5"/>
  <c r="I52" i="5"/>
  <c r="O53" i="5"/>
  <c r="C55" i="5"/>
  <c r="E56" i="5"/>
  <c r="K57" i="5"/>
  <c r="P58" i="5"/>
  <c r="A60" i="5"/>
  <c r="G61" i="5"/>
  <c r="L62" i="5"/>
  <c r="N63" i="5"/>
  <c r="C65" i="5"/>
  <c r="H66" i="5"/>
  <c r="J67" i="5"/>
  <c r="P68" i="5"/>
  <c r="D70" i="5"/>
  <c r="F71" i="5"/>
  <c r="L72" i="5"/>
  <c r="Q73" i="5"/>
  <c r="B75" i="5"/>
  <c r="H76" i="5"/>
  <c r="M77" i="5"/>
  <c r="O78" i="5"/>
  <c r="D80" i="5"/>
  <c r="I81" i="5"/>
  <c r="K82" i="5"/>
  <c r="Q83" i="5"/>
  <c r="E85" i="5"/>
  <c r="G86" i="5"/>
  <c r="Q87" i="5"/>
  <c r="I89" i="5"/>
  <c r="A91" i="5"/>
  <c r="L93" i="5"/>
  <c r="D96" i="5"/>
  <c r="H98" i="5"/>
  <c r="D101" i="5"/>
  <c r="I104" i="5"/>
  <c r="G107" i="5"/>
  <c r="B111" i="5"/>
  <c r="H114" i="5"/>
  <c r="J117" i="5"/>
  <c r="A121" i="5"/>
  <c r="K124" i="5"/>
  <c r="J127" i="5"/>
  <c r="D131" i="5"/>
  <c r="K134" i="5"/>
  <c r="I137" i="5"/>
  <c r="D141" i="5"/>
  <c r="J144" i="5"/>
  <c r="L147" i="5"/>
  <c r="C151" i="5"/>
  <c r="M154" i="5"/>
  <c r="L157" i="5"/>
  <c r="I163" i="5"/>
  <c r="N190" i="5"/>
  <c r="H4" i="5"/>
  <c r="M5" i="5"/>
  <c r="L6" i="5"/>
  <c r="F7" i="5"/>
  <c r="O7" i="5"/>
  <c r="F8" i="5"/>
  <c r="I9" i="5"/>
  <c r="Q9" i="5"/>
  <c r="L10" i="5"/>
  <c r="E11" i="5"/>
  <c r="O11" i="5"/>
  <c r="M12" i="5"/>
  <c r="K13" i="5"/>
  <c r="J14" i="5"/>
  <c r="I15" i="5"/>
  <c r="Q15" i="5"/>
  <c r="J16" i="5"/>
  <c r="A17" i="5"/>
  <c r="K17" i="5"/>
  <c r="B18" i="5"/>
  <c r="J18" i="5"/>
  <c r="A19" i="5"/>
  <c r="K19" i="5"/>
  <c r="B20" i="5"/>
  <c r="J20" i="5"/>
  <c r="A21" i="5"/>
  <c r="P21" i="5"/>
  <c r="G22" i="5"/>
  <c r="O22" i="5"/>
  <c r="H23" i="5"/>
  <c r="P23" i="5"/>
  <c r="J24" i="5"/>
  <c r="A25" i="5"/>
  <c r="L25" i="5"/>
  <c r="C26" i="5"/>
  <c r="K26" i="5"/>
  <c r="B27" i="5"/>
  <c r="J27" i="5"/>
  <c r="A28" i="5"/>
  <c r="I28" i="5"/>
  <c r="Q28" i="5"/>
  <c r="I29" i="5"/>
  <c r="Q29" i="5"/>
  <c r="H30" i="5"/>
  <c r="P30" i="5"/>
  <c r="J31" i="5"/>
  <c r="A32" i="5"/>
  <c r="L32" i="5"/>
  <c r="F33" i="5"/>
  <c r="N33" i="5"/>
  <c r="H34" i="5"/>
  <c r="P34" i="5"/>
  <c r="K35" i="5"/>
  <c r="F36" i="5"/>
  <c r="O36" i="5"/>
  <c r="J37" i="5"/>
  <c r="E38" i="5"/>
  <c r="P38" i="5"/>
  <c r="L39" i="5"/>
  <c r="H40" i="5"/>
  <c r="E41" i="5"/>
  <c r="B42" i="5"/>
  <c r="M42" i="5"/>
  <c r="K43" i="5"/>
  <c r="E44" i="5"/>
  <c r="E45" i="5"/>
  <c r="H46" i="5"/>
  <c r="B47" i="5"/>
  <c r="C48" i="5"/>
  <c r="A49" i="5"/>
  <c r="C50" i="5"/>
  <c r="I51" i="5"/>
  <c r="N52" i="5"/>
  <c r="P53" i="5"/>
  <c r="E55" i="5"/>
  <c r="J56" i="5"/>
  <c r="L57" i="5"/>
  <c r="A59" i="5"/>
  <c r="F60" i="5"/>
  <c r="H61" i="5"/>
  <c r="N62" i="5"/>
  <c r="B64" i="5"/>
  <c r="D65" i="5"/>
  <c r="J66" i="5"/>
  <c r="O67" i="5"/>
  <c r="Q68" i="5"/>
  <c r="F70" i="5"/>
  <c r="K71" i="5"/>
  <c r="M72" i="5"/>
  <c r="B74" i="5"/>
  <c r="G75" i="5"/>
  <c r="I76" i="5"/>
  <c r="O77" i="5"/>
  <c r="C79" i="5"/>
  <c r="E80" i="5"/>
  <c r="K81" i="5"/>
  <c r="P82" i="5"/>
  <c r="A84" i="5"/>
  <c r="G85" i="5"/>
  <c r="M86" i="5"/>
  <c r="A88" i="5"/>
  <c r="L89" i="5"/>
  <c r="I91" i="5"/>
  <c r="M93" i="5"/>
  <c r="I96" i="5"/>
  <c r="A99" i="5"/>
  <c r="E101" i="5"/>
  <c r="O104" i="5"/>
  <c r="E108" i="5"/>
  <c r="C111" i="5"/>
  <c r="O114" i="5"/>
  <c r="D118" i="5"/>
  <c r="F121" i="5"/>
  <c r="N124" i="5"/>
  <c r="G128" i="5"/>
  <c r="F131" i="5"/>
  <c r="Q134" i="5"/>
  <c r="G138" i="5"/>
  <c r="E141" i="5"/>
  <c r="Q144" i="5"/>
  <c r="F148" i="5"/>
  <c r="H151" i="5"/>
  <c r="P154" i="5"/>
  <c r="I158" i="5"/>
  <c r="H164" i="5"/>
  <c r="K193" i="5"/>
  <c r="Q3" i="5"/>
  <c r="P4" i="5"/>
  <c r="D6" i="5"/>
  <c r="N8" i="5"/>
  <c r="N2" i="5"/>
  <c r="J3" i="5"/>
  <c r="A4" i="5"/>
  <c r="I4" i="5"/>
  <c r="Q4" i="5"/>
  <c r="N5" i="5"/>
  <c r="E6" i="5"/>
  <c r="M6" i="5"/>
  <c r="H7" i="5"/>
  <c r="P7" i="5"/>
  <c r="G8" i="5"/>
  <c r="O8" i="5"/>
  <c r="J9" i="5"/>
  <c r="A10" i="5"/>
  <c r="M10" i="5"/>
  <c r="F11" i="5"/>
  <c r="P11" i="5"/>
  <c r="N12" i="5"/>
  <c r="L13" i="5"/>
  <c r="K14" i="5"/>
  <c r="J15" i="5"/>
  <c r="A16" i="5"/>
  <c r="K16" i="5"/>
  <c r="B17" i="5"/>
  <c r="L17" i="5"/>
  <c r="C18" i="5"/>
  <c r="K18" i="5"/>
  <c r="B19" i="5"/>
  <c r="L19" i="5"/>
  <c r="C20" i="5"/>
  <c r="K20" i="5"/>
  <c r="I21" i="5"/>
  <c r="Q21" i="5"/>
  <c r="H22" i="5"/>
  <c r="P22" i="5"/>
  <c r="I23" i="5"/>
  <c r="Q23" i="5"/>
  <c r="K24" i="5"/>
  <c r="B25" i="5"/>
  <c r="M25" i="5"/>
  <c r="D26" i="5"/>
  <c r="L26" i="5"/>
  <c r="C27" i="5"/>
  <c r="K27" i="5"/>
  <c r="B28" i="5"/>
  <c r="J28" i="5"/>
  <c r="A29" i="5"/>
  <c r="J29" i="5"/>
  <c r="A30" i="5"/>
  <c r="I30" i="5"/>
  <c r="Q30" i="5"/>
  <c r="K31" i="5"/>
  <c r="E32" i="5"/>
  <c r="M32" i="5"/>
  <c r="G33" i="5"/>
  <c r="O33" i="5"/>
  <c r="I34" i="5"/>
  <c r="Q34" i="5"/>
  <c r="L35" i="5"/>
  <c r="G36" i="5"/>
  <c r="P36" i="5"/>
  <c r="K37" i="5"/>
  <c r="F38" i="5"/>
  <c r="Q38" i="5"/>
  <c r="M39" i="5"/>
  <c r="L40" i="5"/>
  <c r="F41" i="5"/>
  <c r="C42" i="5"/>
  <c r="N42" i="5"/>
  <c r="L43" i="5"/>
  <c r="I44" i="5"/>
  <c r="I45" i="5"/>
  <c r="I46" i="5"/>
  <c r="E47" i="5"/>
  <c r="D48" i="5"/>
  <c r="C49" i="5"/>
  <c r="H50" i="5"/>
  <c r="J51" i="5"/>
  <c r="P52" i="5"/>
  <c r="D54" i="5"/>
  <c r="F55" i="5"/>
  <c r="L56" i="5"/>
  <c r="Q57" i="5"/>
  <c r="B59" i="5"/>
  <c r="H60" i="5"/>
  <c r="M61" i="5"/>
  <c r="O62" i="5"/>
  <c r="D64" i="5"/>
  <c r="I65" i="5"/>
  <c r="K66" i="5"/>
  <c r="Q67" i="5"/>
  <c r="E69" i="5"/>
  <c r="G70" i="5"/>
  <c r="M71" i="5"/>
  <c r="A73" i="5"/>
  <c r="C74" i="5"/>
  <c r="I75" i="5"/>
  <c r="N76" i="5"/>
  <c r="P77" i="5"/>
  <c r="E79" i="5"/>
  <c r="J80" i="5"/>
  <c r="L81" i="5"/>
  <c r="A83" i="5"/>
  <c r="F84" i="5"/>
  <c r="H85" i="5"/>
  <c r="O86" i="5"/>
  <c r="G88" i="5"/>
  <c r="N89" i="5"/>
  <c r="N91" i="5"/>
  <c r="F94" i="5"/>
  <c r="J96" i="5"/>
  <c r="F99" i="5"/>
  <c r="A102" i="5"/>
  <c r="Q104" i="5"/>
  <c r="K108" i="5"/>
  <c r="A112" i="5"/>
  <c r="P114" i="5"/>
  <c r="K118" i="5"/>
  <c r="Q121" i="5"/>
  <c r="B125" i="5"/>
  <c r="J128" i="5"/>
  <c r="C132" i="5"/>
  <c r="B135" i="5"/>
  <c r="M138" i="5"/>
  <c r="C142" i="5"/>
  <c r="A145" i="5"/>
  <c r="M148" i="5"/>
  <c r="B152" i="5"/>
  <c r="D155" i="5"/>
  <c r="L158" i="5"/>
  <c r="A171" i="5"/>
  <c r="J194" i="5"/>
  <c r="F19" i="9"/>
  <c r="D24" i="9"/>
  <c r="A45" i="4"/>
  <c r="G41" i="4"/>
  <c r="F41" i="4"/>
  <c r="D23" i="4"/>
  <c r="D25" i="4" s="1"/>
  <c r="F19" i="4"/>
  <c r="H2" i="4" s="1"/>
  <c r="E19" i="4"/>
  <c r="G2" i="4" s="1"/>
  <c r="D19" i="4"/>
  <c r="F11" i="4"/>
  <c r="F10" i="4"/>
  <c r="B7" i="4"/>
  <c r="B5" i="4"/>
  <c r="J2" i="4"/>
  <c r="F2" i="4"/>
  <c r="E2" i="4"/>
  <c r="D2" i="4"/>
  <c r="C2" i="4"/>
  <c r="B2" i="4"/>
  <c r="A2" i="4"/>
  <c r="J1" i="4"/>
  <c r="I1" i="4"/>
  <c r="H1" i="4"/>
  <c r="Z1" i="8" s="1"/>
  <c r="G1" i="4"/>
  <c r="Y1" i="8" s="1"/>
  <c r="F1" i="4"/>
  <c r="E1" i="4"/>
  <c r="D1" i="4"/>
  <c r="C1" i="4"/>
  <c r="G1" i="7" s="1"/>
  <c r="B1" i="4"/>
  <c r="A1" i="4"/>
  <c r="AB1" i="8"/>
  <c r="O1" i="5"/>
  <c r="D1" i="7" s="1"/>
  <c r="N1" i="5"/>
  <c r="M1" i="5"/>
  <c r="AA1" i="8"/>
  <c r="X1" i="8"/>
  <c r="W1" i="8"/>
  <c r="V1" i="8"/>
  <c r="T1" i="8"/>
  <c r="S1" i="8"/>
  <c r="P1" i="7"/>
  <c r="O1" i="7"/>
  <c r="N1" i="7"/>
  <c r="M1" i="7"/>
  <c r="J1" i="7"/>
  <c r="I1" i="7"/>
  <c r="H1" i="7"/>
  <c r="F1" i="7"/>
  <c r="E1" i="7"/>
  <c r="B1" i="7"/>
  <c r="C1" i="7"/>
  <c r="C2001" i="2"/>
  <c r="A2001" i="2"/>
  <c r="C2000" i="2"/>
  <c r="A2000" i="2"/>
  <c r="C1999" i="2"/>
  <c r="A1999" i="2"/>
  <c r="C1998" i="2"/>
  <c r="A1998" i="2"/>
  <c r="C1997" i="2"/>
  <c r="A1997" i="2"/>
  <c r="C1996" i="2"/>
  <c r="A1996" i="2"/>
  <c r="C1995" i="2"/>
  <c r="A1995" i="2"/>
  <c r="C1994" i="2"/>
  <c r="A1994" i="2"/>
  <c r="C1993" i="2"/>
  <c r="A1993" i="2"/>
  <c r="C1992" i="2"/>
  <c r="A1992" i="2"/>
  <c r="C1991" i="2"/>
  <c r="A1991" i="2"/>
  <c r="C1990" i="2"/>
  <c r="A1990" i="2"/>
  <c r="C1989" i="2"/>
  <c r="A1989" i="2"/>
  <c r="C1988" i="2"/>
  <c r="A1988" i="2"/>
  <c r="C1987" i="2"/>
  <c r="A1987" i="2"/>
  <c r="C1986" i="2"/>
  <c r="A1986" i="2"/>
  <c r="C1985" i="2"/>
  <c r="A1985" i="2"/>
  <c r="C1984" i="2"/>
  <c r="A1984" i="2"/>
  <c r="C1983" i="2"/>
  <c r="A1983" i="2"/>
  <c r="C1982" i="2"/>
  <c r="A1982" i="2"/>
  <c r="C1981" i="2"/>
  <c r="A1981" i="2"/>
  <c r="C1980" i="2"/>
  <c r="A1980" i="2"/>
  <c r="C1979" i="2"/>
  <c r="A1979" i="2"/>
  <c r="C1978" i="2"/>
  <c r="A1978" i="2"/>
  <c r="C1977" i="2"/>
  <c r="A1977" i="2"/>
  <c r="C1976" i="2"/>
  <c r="A1976" i="2"/>
  <c r="C1975" i="2"/>
  <c r="A1975" i="2"/>
  <c r="C1974" i="2"/>
  <c r="A1974" i="2"/>
  <c r="C1973" i="2"/>
  <c r="A1973" i="2"/>
  <c r="C1972" i="2"/>
  <c r="A1972" i="2"/>
  <c r="C1971" i="2"/>
  <c r="A1971" i="2"/>
  <c r="C1970" i="2"/>
  <c r="A1970" i="2"/>
  <c r="C1969" i="2"/>
  <c r="A1969" i="2"/>
  <c r="C1968" i="2"/>
  <c r="A1968" i="2"/>
  <c r="C1967" i="2"/>
  <c r="A1967" i="2"/>
  <c r="C1966" i="2"/>
  <c r="A1966" i="2"/>
  <c r="C1965" i="2"/>
  <c r="A1965" i="2"/>
  <c r="C1964" i="2"/>
  <c r="A1964" i="2"/>
  <c r="C1963" i="2"/>
  <c r="A1963" i="2"/>
  <c r="C1962" i="2"/>
  <c r="A1962" i="2"/>
  <c r="C1961" i="2"/>
  <c r="A1961" i="2"/>
  <c r="C1960" i="2"/>
  <c r="A1960" i="2"/>
  <c r="C1959" i="2"/>
  <c r="A1959" i="2"/>
  <c r="C1958" i="2"/>
  <c r="A1958" i="2"/>
  <c r="C1957" i="2"/>
  <c r="A1957" i="2"/>
  <c r="C1956" i="2"/>
  <c r="A1956" i="2"/>
  <c r="C1955" i="2"/>
  <c r="A1955" i="2"/>
  <c r="C1954" i="2"/>
  <c r="A1954" i="2"/>
  <c r="C1953" i="2"/>
  <c r="A1953" i="2"/>
  <c r="C1952" i="2"/>
  <c r="A1952" i="2"/>
  <c r="C1951" i="2"/>
  <c r="A1951" i="2"/>
  <c r="C1950" i="2"/>
  <c r="A1950" i="2"/>
  <c r="C1949" i="2"/>
  <c r="A1949" i="2"/>
  <c r="C1948" i="2"/>
  <c r="A1948" i="2"/>
  <c r="C1947" i="2"/>
  <c r="A1947" i="2"/>
  <c r="C1946" i="2"/>
  <c r="A1946" i="2"/>
  <c r="C1945" i="2"/>
  <c r="A1945" i="2"/>
  <c r="C1944" i="2"/>
  <c r="A1944" i="2"/>
  <c r="C1943" i="2"/>
  <c r="A1943" i="2"/>
  <c r="C1942" i="2"/>
  <c r="A1942" i="2"/>
  <c r="C1941" i="2"/>
  <c r="A1941" i="2"/>
  <c r="C1940" i="2"/>
  <c r="A1940" i="2"/>
  <c r="C1939" i="2"/>
  <c r="A1939" i="2"/>
  <c r="C1938" i="2"/>
  <c r="A1938" i="2"/>
  <c r="C1937" i="2"/>
  <c r="A1937" i="2"/>
  <c r="C1936" i="2"/>
  <c r="A1936" i="2"/>
  <c r="C1935" i="2"/>
  <c r="A1935" i="2"/>
  <c r="C1934" i="2"/>
  <c r="A1934" i="2"/>
  <c r="C1933" i="2"/>
  <c r="A1933" i="2"/>
  <c r="C1932" i="2"/>
  <c r="A1932" i="2"/>
  <c r="C1931" i="2"/>
  <c r="A1931" i="2"/>
  <c r="C1930" i="2"/>
  <c r="A1930" i="2"/>
  <c r="C1929" i="2"/>
  <c r="A1929" i="2"/>
  <c r="C1928" i="2"/>
  <c r="A1928" i="2"/>
  <c r="C1927" i="2"/>
  <c r="A1927" i="2"/>
  <c r="C1926" i="2"/>
  <c r="A1926" i="2"/>
  <c r="C1925" i="2"/>
  <c r="A1925" i="2"/>
  <c r="C1924" i="2"/>
  <c r="A1924" i="2"/>
  <c r="C1923" i="2"/>
  <c r="A1923" i="2"/>
  <c r="C1922" i="2"/>
  <c r="A1922" i="2"/>
  <c r="C1921" i="2"/>
  <c r="A1921" i="2"/>
  <c r="C1920" i="2"/>
  <c r="A1920" i="2"/>
  <c r="C1919" i="2"/>
  <c r="A1919" i="2"/>
  <c r="C1918" i="2"/>
  <c r="A1918" i="2"/>
  <c r="C1917" i="2"/>
  <c r="A1917" i="2"/>
  <c r="C1916" i="2"/>
  <c r="A1916" i="2"/>
  <c r="C1915" i="2"/>
  <c r="A1915" i="2"/>
  <c r="C1914" i="2"/>
  <c r="A1914" i="2"/>
  <c r="C1913" i="2"/>
  <c r="A1913" i="2"/>
  <c r="C1912" i="2"/>
  <c r="A1912" i="2"/>
  <c r="C1911" i="2"/>
  <c r="A1911" i="2"/>
  <c r="C1910" i="2"/>
  <c r="A1910" i="2"/>
  <c r="C1909" i="2"/>
  <c r="A1909" i="2"/>
  <c r="C1908" i="2"/>
  <c r="A1908" i="2"/>
  <c r="C1907" i="2"/>
  <c r="A1907" i="2"/>
  <c r="C1906" i="2"/>
  <c r="A1906" i="2"/>
  <c r="C1905" i="2"/>
  <c r="A1905" i="2"/>
  <c r="C1904" i="2"/>
  <c r="A1904" i="2"/>
  <c r="C1903" i="2"/>
  <c r="A1903" i="2"/>
  <c r="C1902" i="2"/>
  <c r="A1902" i="2"/>
  <c r="C1901" i="2"/>
  <c r="A1901" i="2"/>
  <c r="C1900" i="2"/>
  <c r="A1900" i="2"/>
  <c r="C1899" i="2"/>
  <c r="A1899" i="2"/>
  <c r="C1898" i="2"/>
  <c r="A1898" i="2"/>
  <c r="C1897" i="2"/>
  <c r="A1897" i="2"/>
  <c r="C1896" i="2"/>
  <c r="A1896" i="2"/>
  <c r="C1895" i="2"/>
  <c r="A1895" i="2"/>
  <c r="C1894" i="2"/>
  <c r="A1894" i="2"/>
  <c r="C1893" i="2"/>
  <c r="A1893" i="2"/>
  <c r="C1892" i="2"/>
  <c r="A1892" i="2"/>
  <c r="C1891" i="2"/>
  <c r="A1891" i="2"/>
  <c r="C1890" i="2"/>
  <c r="A1890" i="2"/>
  <c r="C1889" i="2"/>
  <c r="A1889" i="2"/>
  <c r="C1888" i="2"/>
  <c r="A1888" i="2"/>
  <c r="C1887" i="2"/>
  <c r="A1887" i="2"/>
  <c r="C1886" i="2"/>
  <c r="A1886" i="2"/>
  <c r="C1885" i="2"/>
  <c r="A1885" i="2"/>
  <c r="C1884" i="2"/>
  <c r="A1884" i="2"/>
  <c r="C1883" i="2"/>
  <c r="A1883" i="2"/>
  <c r="C1882" i="2"/>
  <c r="A1882" i="2"/>
  <c r="C1881" i="2"/>
  <c r="A1881" i="2"/>
  <c r="C1880" i="2"/>
  <c r="A1880" i="2"/>
  <c r="C1879" i="2"/>
  <c r="A1879" i="2"/>
  <c r="C1878" i="2"/>
  <c r="A1878" i="2"/>
  <c r="C1877" i="2"/>
  <c r="A1877" i="2"/>
  <c r="C1876" i="2"/>
  <c r="A1876" i="2"/>
  <c r="C1875" i="2"/>
  <c r="A1875" i="2"/>
  <c r="C1874" i="2"/>
  <c r="A1874" i="2"/>
  <c r="C1873" i="2"/>
  <c r="A1873" i="2"/>
  <c r="C1872" i="2"/>
  <c r="A1872" i="2"/>
  <c r="C1871" i="2"/>
  <c r="A1871" i="2"/>
  <c r="C1870" i="2"/>
  <c r="A1870" i="2"/>
  <c r="C1869" i="2"/>
  <c r="A1869" i="2"/>
  <c r="C1868" i="2"/>
  <c r="A1868" i="2"/>
  <c r="C1867" i="2"/>
  <c r="A1867" i="2"/>
  <c r="C1866" i="2"/>
  <c r="A1866" i="2"/>
  <c r="C1865" i="2"/>
  <c r="A1865" i="2"/>
  <c r="C1864" i="2"/>
  <c r="A1864" i="2"/>
  <c r="C1863" i="2"/>
  <c r="A1863" i="2"/>
  <c r="C1862" i="2"/>
  <c r="A1862" i="2"/>
  <c r="C1861" i="2"/>
  <c r="A1861" i="2"/>
  <c r="C1860" i="2"/>
  <c r="A1860" i="2"/>
  <c r="C1859" i="2"/>
  <c r="A1859" i="2"/>
  <c r="C1858" i="2"/>
  <c r="A1858" i="2"/>
  <c r="C1857" i="2"/>
  <c r="A1857" i="2"/>
  <c r="C1856" i="2"/>
  <c r="A1856" i="2"/>
  <c r="C1855" i="2"/>
  <c r="A1855" i="2"/>
  <c r="C1854" i="2"/>
  <c r="A1854" i="2"/>
  <c r="C1853" i="2"/>
  <c r="A1853" i="2"/>
  <c r="C1852" i="2"/>
  <c r="A1852" i="2"/>
  <c r="C1851" i="2"/>
  <c r="A1851" i="2"/>
  <c r="C1850" i="2"/>
  <c r="A1850" i="2"/>
  <c r="C1849" i="2"/>
  <c r="A1849" i="2"/>
  <c r="C1848" i="2"/>
  <c r="A1848" i="2"/>
  <c r="C1847" i="2"/>
  <c r="A1847" i="2"/>
  <c r="C1846" i="2"/>
  <c r="A1846" i="2"/>
  <c r="C1845" i="2"/>
  <c r="A1845" i="2"/>
  <c r="C1844" i="2"/>
  <c r="A1844" i="2"/>
  <c r="C1843" i="2"/>
  <c r="A1843" i="2"/>
  <c r="C1842" i="2"/>
  <c r="A1842" i="2"/>
  <c r="C1841" i="2"/>
  <c r="A1841" i="2"/>
  <c r="C1840" i="2"/>
  <c r="A1840" i="2"/>
  <c r="C1839" i="2"/>
  <c r="A1839" i="2"/>
  <c r="C1838" i="2"/>
  <c r="A1838" i="2"/>
  <c r="C1837" i="2"/>
  <c r="A1837" i="2"/>
  <c r="C1836" i="2"/>
  <c r="A1836" i="2"/>
  <c r="C1835" i="2"/>
  <c r="A1835" i="2"/>
  <c r="C1834" i="2"/>
  <c r="A1834" i="2"/>
  <c r="C1833" i="2"/>
  <c r="A1833" i="2"/>
  <c r="C1832" i="2"/>
  <c r="A1832" i="2"/>
  <c r="C1831" i="2"/>
  <c r="A1831" i="2"/>
  <c r="C1830" i="2"/>
  <c r="A1830" i="2"/>
  <c r="C1829" i="2"/>
  <c r="A1829" i="2"/>
  <c r="C1828" i="2"/>
  <c r="A1828" i="2"/>
  <c r="C1827" i="2"/>
  <c r="A1827" i="2"/>
  <c r="C1826" i="2"/>
  <c r="A1826" i="2"/>
  <c r="C1825" i="2"/>
  <c r="A1825" i="2"/>
  <c r="C1824" i="2"/>
  <c r="A1824" i="2"/>
  <c r="C1823" i="2"/>
  <c r="A1823" i="2"/>
  <c r="C1822" i="2"/>
  <c r="A1822" i="2"/>
  <c r="C1821" i="2"/>
  <c r="A1821" i="2"/>
  <c r="C1820" i="2"/>
  <c r="A1820" i="2"/>
  <c r="C1819" i="2"/>
  <c r="A1819" i="2"/>
  <c r="C1818" i="2"/>
  <c r="A1818" i="2"/>
  <c r="C1817" i="2"/>
  <c r="A1817" i="2"/>
  <c r="C1816" i="2"/>
  <c r="A1816" i="2"/>
  <c r="C1815" i="2"/>
  <c r="A1815" i="2"/>
  <c r="C1814" i="2"/>
  <c r="A1814" i="2"/>
  <c r="C1813" i="2"/>
  <c r="A1813" i="2"/>
  <c r="C1812" i="2"/>
  <c r="A1812" i="2"/>
  <c r="C1811" i="2"/>
  <c r="A1811" i="2"/>
  <c r="C1810" i="2"/>
  <c r="A1810" i="2"/>
  <c r="C1809" i="2"/>
  <c r="A1809" i="2"/>
  <c r="C1808" i="2"/>
  <c r="A1808" i="2"/>
  <c r="C1807" i="2"/>
  <c r="A1807" i="2"/>
  <c r="C1806" i="2"/>
  <c r="A1806" i="2"/>
  <c r="C1805" i="2"/>
  <c r="A1805" i="2"/>
  <c r="C1804" i="2"/>
  <c r="A1804" i="2"/>
  <c r="C1803" i="2"/>
  <c r="A1803" i="2"/>
  <c r="C1802" i="2"/>
  <c r="A1802" i="2"/>
  <c r="C1801" i="2"/>
  <c r="A1801" i="2"/>
  <c r="C1800" i="2"/>
  <c r="A1800" i="2"/>
  <c r="C1799" i="2"/>
  <c r="A1799" i="2"/>
  <c r="C1798" i="2"/>
  <c r="A1798" i="2"/>
  <c r="C1797" i="2"/>
  <c r="A1797" i="2"/>
  <c r="C1796" i="2"/>
  <c r="A1796" i="2"/>
  <c r="C1795" i="2"/>
  <c r="A1795" i="2"/>
  <c r="C1794" i="2"/>
  <c r="A1794" i="2"/>
  <c r="C1793" i="2"/>
  <c r="A1793" i="2"/>
  <c r="C1792" i="2"/>
  <c r="A1792" i="2"/>
  <c r="C1791" i="2"/>
  <c r="A1791" i="2"/>
  <c r="C1790" i="2"/>
  <c r="A1790" i="2"/>
  <c r="C1789" i="2"/>
  <c r="A1789" i="2"/>
  <c r="C1788" i="2"/>
  <c r="A1788" i="2"/>
  <c r="C1787" i="2"/>
  <c r="A1787" i="2"/>
  <c r="C1786" i="2"/>
  <c r="A1786" i="2"/>
  <c r="C1785" i="2"/>
  <c r="A1785" i="2"/>
  <c r="C1784" i="2"/>
  <c r="A1784" i="2"/>
  <c r="C1783" i="2"/>
  <c r="A1783" i="2"/>
  <c r="C1782" i="2"/>
  <c r="A1782" i="2"/>
  <c r="C1781" i="2"/>
  <c r="A1781" i="2"/>
  <c r="C1780" i="2"/>
  <c r="A1780" i="2"/>
  <c r="C1779" i="2"/>
  <c r="A1779" i="2"/>
  <c r="C1778" i="2"/>
  <c r="A1778" i="2"/>
  <c r="C1777" i="2"/>
  <c r="A1777" i="2"/>
  <c r="C1776" i="2"/>
  <c r="A1776" i="2"/>
  <c r="C1775" i="2"/>
  <c r="A1775" i="2"/>
  <c r="C1774" i="2"/>
  <c r="A1774" i="2"/>
  <c r="C1773" i="2"/>
  <c r="A1773" i="2"/>
  <c r="C1772" i="2"/>
  <c r="A1772" i="2"/>
  <c r="C1771" i="2"/>
  <c r="A1771" i="2"/>
  <c r="C1770" i="2"/>
  <c r="A1770" i="2"/>
  <c r="C1769" i="2"/>
  <c r="A1769" i="2"/>
  <c r="C1768" i="2"/>
  <c r="A1768" i="2"/>
  <c r="C1767" i="2"/>
  <c r="A1767" i="2"/>
  <c r="C1766" i="2"/>
  <c r="A1766" i="2"/>
  <c r="C1765" i="2"/>
  <c r="A1765" i="2"/>
  <c r="C1764" i="2"/>
  <c r="A1764" i="2"/>
  <c r="C1763" i="2"/>
  <c r="A1763" i="2"/>
  <c r="C1762" i="2"/>
  <c r="A1762" i="2"/>
  <c r="C1761" i="2"/>
  <c r="A1761" i="2"/>
  <c r="C1760" i="2"/>
  <c r="A1760" i="2"/>
  <c r="C1759" i="2"/>
  <c r="A1759" i="2"/>
  <c r="C1758" i="2"/>
  <c r="A1758" i="2"/>
  <c r="C1757" i="2"/>
  <c r="A1757" i="2"/>
  <c r="C1756" i="2"/>
  <c r="A1756" i="2"/>
  <c r="C1755" i="2"/>
  <c r="A1755" i="2"/>
  <c r="C1754" i="2"/>
  <c r="A1754" i="2"/>
  <c r="C1753" i="2"/>
  <c r="A1753" i="2"/>
  <c r="C1752" i="2"/>
  <c r="A1752" i="2"/>
  <c r="C1751" i="2"/>
  <c r="A1751" i="2"/>
  <c r="C1750" i="2"/>
  <c r="A1750" i="2"/>
  <c r="C1749" i="2"/>
  <c r="A1749" i="2"/>
  <c r="C1748" i="2"/>
  <c r="A1748" i="2"/>
  <c r="C1747" i="2"/>
  <c r="A1747" i="2"/>
  <c r="C1746" i="2"/>
  <c r="A1746" i="2"/>
  <c r="C1745" i="2"/>
  <c r="A1745" i="2"/>
  <c r="C1744" i="2"/>
  <c r="A1744" i="2"/>
  <c r="C1743" i="2"/>
  <c r="A1743" i="2"/>
  <c r="C1742" i="2"/>
  <c r="A1742" i="2"/>
  <c r="C1741" i="2"/>
  <c r="A1741" i="2"/>
  <c r="C1740" i="2"/>
  <c r="A1740" i="2"/>
  <c r="C1739" i="2"/>
  <c r="A1739" i="2"/>
  <c r="C1738" i="2"/>
  <c r="A1738" i="2"/>
  <c r="C1737" i="2"/>
  <c r="A1737" i="2"/>
  <c r="C1736" i="2"/>
  <c r="A1736" i="2"/>
  <c r="C1735" i="2"/>
  <c r="A1735" i="2"/>
  <c r="C1734" i="2"/>
  <c r="A1734" i="2"/>
  <c r="C1733" i="2"/>
  <c r="A1733" i="2"/>
  <c r="C1732" i="2"/>
  <c r="A1732" i="2"/>
  <c r="C1731" i="2"/>
  <c r="A1731" i="2"/>
  <c r="C1730" i="2"/>
  <c r="A1730" i="2"/>
  <c r="C1729" i="2"/>
  <c r="A1729" i="2"/>
  <c r="C1728" i="2"/>
  <c r="A1728" i="2"/>
  <c r="C1727" i="2"/>
  <c r="A1727" i="2"/>
  <c r="C1726" i="2"/>
  <c r="A1726" i="2"/>
  <c r="C1725" i="2"/>
  <c r="A1725" i="2"/>
  <c r="C1724" i="2"/>
  <c r="A1724" i="2"/>
  <c r="C1723" i="2"/>
  <c r="A1723" i="2"/>
  <c r="C1722" i="2"/>
  <c r="A1722" i="2"/>
  <c r="C1721" i="2"/>
  <c r="A1721" i="2"/>
  <c r="C1720" i="2"/>
  <c r="A1720" i="2"/>
  <c r="C1719" i="2"/>
  <c r="A1719" i="2"/>
  <c r="C1718" i="2"/>
  <c r="A1718" i="2"/>
  <c r="C1717" i="2"/>
  <c r="A1717" i="2"/>
  <c r="C1716" i="2"/>
  <c r="A1716" i="2"/>
  <c r="C1715" i="2"/>
  <c r="A1715" i="2"/>
  <c r="C1714" i="2"/>
  <c r="A1714" i="2"/>
  <c r="C1713" i="2"/>
  <c r="A1713" i="2"/>
  <c r="C1712" i="2"/>
  <c r="A1712" i="2"/>
  <c r="C1711" i="2"/>
  <c r="A1711" i="2"/>
  <c r="C1710" i="2"/>
  <c r="A1710" i="2"/>
  <c r="C1709" i="2"/>
  <c r="A1709" i="2"/>
  <c r="C1708" i="2"/>
  <c r="A1708" i="2"/>
  <c r="C1707" i="2"/>
  <c r="A1707" i="2"/>
  <c r="C1706" i="2"/>
  <c r="A1706" i="2"/>
  <c r="C1705" i="2"/>
  <c r="A1705" i="2"/>
  <c r="C1704" i="2"/>
  <c r="A1704" i="2"/>
  <c r="C1703" i="2"/>
  <c r="A1703" i="2"/>
  <c r="C1702" i="2"/>
  <c r="A1702" i="2"/>
  <c r="C1701" i="2"/>
  <c r="A1701" i="2"/>
  <c r="C1700" i="2"/>
  <c r="A1700" i="2"/>
  <c r="C1699" i="2"/>
  <c r="A1699" i="2"/>
  <c r="C1698" i="2"/>
  <c r="A1698" i="2"/>
  <c r="C1697" i="2"/>
  <c r="A1697" i="2"/>
  <c r="C1696" i="2"/>
  <c r="A1696" i="2"/>
  <c r="C1695" i="2"/>
  <c r="A1695" i="2"/>
  <c r="C1694" i="2"/>
  <c r="A1694" i="2"/>
  <c r="C1693" i="2"/>
  <c r="A1693" i="2"/>
  <c r="C1692" i="2"/>
  <c r="A1692" i="2"/>
  <c r="C1691" i="2"/>
  <c r="A1691" i="2"/>
  <c r="C1690" i="2"/>
  <c r="A1690" i="2"/>
  <c r="C1689" i="2"/>
  <c r="A1689" i="2"/>
  <c r="C1688" i="2"/>
  <c r="A1688" i="2"/>
  <c r="C1687" i="2"/>
  <c r="A1687" i="2"/>
  <c r="C1686" i="2"/>
  <c r="A1686" i="2"/>
  <c r="C1685" i="2"/>
  <c r="A1685" i="2"/>
  <c r="C1684" i="2"/>
  <c r="A1684" i="2"/>
  <c r="C1683" i="2"/>
  <c r="A1683" i="2"/>
  <c r="C1682" i="2"/>
  <c r="A1682" i="2"/>
  <c r="C1681" i="2"/>
  <c r="A1681" i="2"/>
  <c r="C1680" i="2"/>
  <c r="A1680" i="2"/>
  <c r="C1679" i="2"/>
  <c r="A1679" i="2"/>
  <c r="C1678" i="2"/>
  <c r="A1678" i="2"/>
  <c r="C1677" i="2"/>
  <c r="A1677" i="2"/>
  <c r="C1676" i="2"/>
  <c r="A1676" i="2"/>
  <c r="C1675" i="2"/>
  <c r="A1675" i="2"/>
  <c r="C1674" i="2"/>
  <c r="A1674" i="2"/>
  <c r="C1673" i="2"/>
  <c r="A1673" i="2"/>
  <c r="C1672" i="2"/>
  <c r="A1672" i="2"/>
  <c r="C1671" i="2"/>
  <c r="A1671" i="2"/>
  <c r="C1670" i="2"/>
  <c r="A1670" i="2"/>
  <c r="C1669" i="2"/>
  <c r="A1669" i="2"/>
  <c r="C1668" i="2"/>
  <c r="A1668" i="2"/>
  <c r="C1667" i="2"/>
  <c r="A1667" i="2"/>
  <c r="C1666" i="2"/>
  <c r="A1666" i="2"/>
  <c r="C1665" i="2"/>
  <c r="A1665" i="2"/>
  <c r="C1664" i="2"/>
  <c r="A1664" i="2"/>
  <c r="C1663" i="2"/>
  <c r="A1663" i="2"/>
  <c r="C1662" i="2"/>
  <c r="A1662" i="2"/>
  <c r="C1661" i="2"/>
  <c r="A1661" i="2"/>
  <c r="C1660" i="2"/>
  <c r="A1660" i="2"/>
  <c r="C1659" i="2"/>
  <c r="A1659" i="2"/>
  <c r="C1658" i="2"/>
  <c r="A1658" i="2"/>
  <c r="C1657" i="2"/>
  <c r="A1657" i="2"/>
  <c r="C1656" i="2"/>
  <c r="A1656" i="2"/>
  <c r="C1655" i="2"/>
  <c r="A1655" i="2"/>
  <c r="C1654" i="2"/>
  <c r="A1654" i="2"/>
  <c r="C1653" i="2"/>
  <c r="A1653" i="2"/>
  <c r="C1652" i="2"/>
  <c r="A1652" i="2"/>
  <c r="C1651" i="2"/>
  <c r="A1651" i="2"/>
  <c r="C1650" i="2"/>
  <c r="A1650" i="2"/>
  <c r="C1649" i="2"/>
  <c r="A1649" i="2"/>
  <c r="C1648" i="2"/>
  <c r="A1648" i="2"/>
  <c r="C1647" i="2"/>
  <c r="A1647" i="2"/>
  <c r="C1646" i="2"/>
  <c r="A1646" i="2"/>
  <c r="C1645" i="2"/>
  <c r="A1645" i="2"/>
  <c r="C1644" i="2"/>
  <c r="A1644" i="2"/>
  <c r="C1643" i="2"/>
  <c r="A1643" i="2"/>
  <c r="C1642" i="2"/>
  <c r="A1642" i="2"/>
  <c r="C1641" i="2"/>
  <c r="A1641" i="2"/>
  <c r="C1640" i="2"/>
  <c r="A1640" i="2"/>
  <c r="C1639" i="2"/>
  <c r="A1639" i="2"/>
  <c r="C1638" i="2"/>
  <c r="A1638" i="2"/>
  <c r="C1637" i="2"/>
  <c r="A1637" i="2"/>
  <c r="C1636" i="2"/>
  <c r="A1636" i="2"/>
  <c r="C1635" i="2"/>
  <c r="A1635" i="2"/>
  <c r="C1634" i="2"/>
  <c r="A1634" i="2"/>
  <c r="C1633" i="2"/>
  <c r="A1633" i="2"/>
  <c r="C1632" i="2"/>
  <c r="A1632" i="2"/>
  <c r="C1631" i="2"/>
  <c r="A1631" i="2"/>
  <c r="C1630" i="2"/>
  <c r="A1630" i="2"/>
  <c r="C1629" i="2"/>
  <c r="A1629" i="2"/>
  <c r="C1628" i="2"/>
  <c r="A1628" i="2"/>
  <c r="C1627" i="2"/>
  <c r="A1627" i="2"/>
  <c r="C1626" i="2"/>
  <c r="A1626" i="2"/>
  <c r="C1625" i="2"/>
  <c r="A1625" i="2"/>
  <c r="C1624" i="2"/>
  <c r="A1624" i="2"/>
  <c r="C1623" i="2"/>
  <c r="A1623" i="2"/>
  <c r="C1622" i="2"/>
  <c r="A1622" i="2"/>
  <c r="C1621" i="2"/>
  <c r="A1621" i="2"/>
  <c r="C1620" i="2"/>
  <c r="A1620" i="2"/>
  <c r="C1619" i="2"/>
  <c r="A1619" i="2"/>
  <c r="C1618" i="2"/>
  <c r="A1618" i="2"/>
  <c r="C1617" i="2"/>
  <c r="A1617" i="2"/>
  <c r="C1616" i="2"/>
  <c r="A1616" i="2"/>
  <c r="C1615" i="2"/>
  <c r="A1615" i="2"/>
  <c r="C1614" i="2"/>
  <c r="A1614" i="2"/>
  <c r="C1613" i="2"/>
  <c r="A1613" i="2"/>
  <c r="C1612" i="2"/>
  <c r="A1612" i="2"/>
  <c r="C1611" i="2"/>
  <c r="A1611" i="2"/>
  <c r="C1610" i="2"/>
  <c r="A1610" i="2"/>
  <c r="C1609" i="2"/>
  <c r="A1609" i="2"/>
  <c r="C1608" i="2"/>
  <c r="A1608" i="2"/>
  <c r="C1607" i="2"/>
  <c r="A1607" i="2"/>
  <c r="C1606" i="2"/>
  <c r="A1606" i="2"/>
  <c r="C1605" i="2"/>
  <c r="A1605" i="2"/>
  <c r="C1604" i="2"/>
  <c r="A1604" i="2"/>
  <c r="C1603" i="2"/>
  <c r="A1603" i="2"/>
  <c r="C1602" i="2"/>
  <c r="A1602" i="2"/>
  <c r="C1601" i="2"/>
  <c r="A1601" i="2"/>
  <c r="C1600" i="2"/>
  <c r="A1600" i="2"/>
  <c r="C1599" i="2"/>
  <c r="A1599" i="2"/>
  <c r="C1598" i="2"/>
  <c r="A1598" i="2"/>
  <c r="C1597" i="2"/>
  <c r="A1597" i="2"/>
  <c r="C1596" i="2"/>
  <c r="A1596" i="2"/>
  <c r="C1595" i="2"/>
  <c r="A1595" i="2"/>
  <c r="C1594" i="2"/>
  <c r="A1594" i="2"/>
  <c r="C1593" i="2"/>
  <c r="A1593" i="2"/>
  <c r="C1592" i="2"/>
  <c r="A1592" i="2"/>
  <c r="C1591" i="2"/>
  <c r="A1591" i="2"/>
  <c r="C1590" i="2"/>
  <c r="A1590" i="2"/>
  <c r="C1589" i="2"/>
  <c r="A1589" i="2"/>
  <c r="C1588" i="2"/>
  <c r="A1588" i="2"/>
  <c r="C1587" i="2"/>
  <c r="A1587" i="2"/>
  <c r="C1586" i="2"/>
  <c r="A1586" i="2"/>
  <c r="C1585" i="2"/>
  <c r="A1585" i="2"/>
  <c r="C1584" i="2"/>
  <c r="A1584" i="2"/>
  <c r="C1583" i="2"/>
  <c r="A1583" i="2"/>
  <c r="C1582" i="2"/>
  <c r="A1582" i="2"/>
  <c r="C1581" i="2"/>
  <c r="A1581" i="2"/>
  <c r="C1580" i="2"/>
  <c r="A1580" i="2"/>
  <c r="C1579" i="2"/>
  <c r="A1579" i="2"/>
  <c r="C1578" i="2"/>
  <c r="A1578" i="2"/>
  <c r="C1577" i="2"/>
  <c r="A1577" i="2"/>
  <c r="C1576" i="2"/>
  <c r="A1576" i="2"/>
  <c r="C1575" i="2"/>
  <c r="A1575" i="2"/>
  <c r="C1574" i="2"/>
  <c r="A1574" i="2"/>
  <c r="C1573" i="2"/>
  <c r="A1573" i="2"/>
  <c r="C1572" i="2"/>
  <c r="A1572" i="2"/>
  <c r="C1571" i="2"/>
  <c r="A1571" i="2"/>
  <c r="C1570" i="2"/>
  <c r="A1570" i="2"/>
  <c r="C1569" i="2"/>
  <c r="A1569" i="2"/>
  <c r="C1568" i="2"/>
  <c r="A1568" i="2"/>
  <c r="C1567" i="2"/>
  <c r="A1567" i="2"/>
  <c r="C1566" i="2"/>
  <c r="A1566" i="2"/>
  <c r="C1565" i="2"/>
  <c r="A1565" i="2"/>
  <c r="C1564" i="2"/>
  <c r="A1564" i="2"/>
  <c r="C1563" i="2"/>
  <c r="A1563" i="2"/>
  <c r="C1562" i="2"/>
  <c r="A1562" i="2"/>
  <c r="C1561" i="2"/>
  <c r="A1561" i="2"/>
  <c r="C1560" i="2"/>
  <c r="A1560" i="2"/>
  <c r="C1559" i="2"/>
  <c r="A1559" i="2"/>
  <c r="C1558" i="2"/>
  <c r="A1558" i="2"/>
  <c r="C1557" i="2"/>
  <c r="A1557" i="2"/>
  <c r="C1556" i="2"/>
  <c r="A1556" i="2"/>
  <c r="C1555" i="2"/>
  <c r="A1555" i="2"/>
  <c r="C1554" i="2"/>
  <c r="A1554" i="2"/>
  <c r="C1553" i="2"/>
  <c r="A1553" i="2"/>
  <c r="C1552" i="2"/>
  <c r="A1552" i="2"/>
  <c r="C1551" i="2"/>
  <c r="A1551" i="2"/>
  <c r="C1550" i="2"/>
  <c r="A1550" i="2"/>
  <c r="C1549" i="2"/>
  <c r="A1549" i="2"/>
  <c r="C1548" i="2"/>
  <c r="A1548" i="2"/>
  <c r="C1547" i="2"/>
  <c r="A1547" i="2"/>
  <c r="C1546" i="2"/>
  <c r="A1546" i="2"/>
  <c r="C1545" i="2"/>
  <c r="A1545" i="2"/>
  <c r="C1544" i="2"/>
  <c r="A1544" i="2"/>
  <c r="C1543" i="2"/>
  <c r="A1543" i="2"/>
  <c r="C1542" i="2"/>
  <c r="A1542" i="2"/>
  <c r="C1541" i="2"/>
  <c r="A1541" i="2"/>
  <c r="C1540" i="2"/>
  <c r="A1540" i="2"/>
  <c r="C1539" i="2"/>
  <c r="A1539" i="2"/>
  <c r="C1538" i="2"/>
  <c r="A1538" i="2"/>
  <c r="C1537" i="2"/>
  <c r="A1537" i="2"/>
  <c r="C1536" i="2"/>
  <c r="A1536" i="2"/>
  <c r="C1535" i="2"/>
  <c r="A1535" i="2"/>
  <c r="C1534" i="2"/>
  <c r="A1534" i="2"/>
  <c r="C1533" i="2"/>
  <c r="A1533" i="2"/>
  <c r="C1532" i="2"/>
  <c r="A1532" i="2"/>
  <c r="C1531" i="2"/>
  <c r="A1531" i="2"/>
  <c r="C1530" i="2"/>
  <c r="A1530" i="2"/>
  <c r="C1529" i="2"/>
  <c r="A1529" i="2"/>
  <c r="C1528" i="2"/>
  <c r="A1528" i="2"/>
  <c r="C1527" i="2"/>
  <c r="A1527" i="2"/>
  <c r="C1526" i="2"/>
  <c r="A1526" i="2"/>
  <c r="C1525" i="2"/>
  <c r="A1525" i="2"/>
  <c r="C1524" i="2"/>
  <c r="A1524" i="2"/>
  <c r="C1523" i="2"/>
  <c r="A1523" i="2"/>
  <c r="C1522" i="2"/>
  <c r="A1522" i="2"/>
  <c r="C1521" i="2"/>
  <c r="A1521" i="2"/>
  <c r="C1520" i="2"/>
  <c r="A1520" i="2"/>
  <c r="C1519" i="2"/>
  <c r="A1519" i="2"/>
  <c r="C1518" i="2"/>
  <c r="A1518" i="2"/>
  <c r="C1517" i="2"/>
  <c r="A1517" i="2"/>
  <c r="C1516" i="2"/>
  <c r="A1516" i="2"/>
  <c r="C1515" i="2"/>
  <c r="A1515" i="2"/>
  <c r="C1514" i="2"/>
  <c r="A1514" i="2"/>
  <c r="C1513" i="2"/>
  <c r="A1513" i="2"/>
  <c r="C1512" i="2"/>
  <c r="A1512" i="2"/>
  <c r="C1511" i="2"/>
  <c r="A1511" i="2"/>
  <c r="C1510" i="2"/>
  <c r="A1510" i="2"/>
  <c r="C1509" i="2"/>
  <c r="A1509" i="2"/>
  <c r="C1508" i="2"/>
  <c r="A1508" i="2"/>
  <c r="C1507" i="2"/>
  <c r="A1507" i="2"/>
  <c r="C1506" i="2"/>
  <c r="A1506" i="2"/>
  <c r="C1505" i="2"/>
  <c r="A1505" i="2"/>
  <c r="C1504" i="2"/>
  <c r="A1504" i="2"/>
  <c r="C1503" i="2"/>
  <c r="A1503" i="2"/>
  <c r="C1502" i="2"/>
  <c r="A1502" i="2"/>
  <c r="C1501" i="2"/>
  <c r="A1501" i="2"/>
  <c r="C1500" i="2"/>
  <c r="A1500" i="2"/>
  <c r="C1499" i="2"/>
  <c r="A1499" i="2"/>
  <c r="C1498" i="2"/>
  <c r="A1498" i="2"/>
  <c r="C1497" i="2"/>
  <c r="A1497" i="2"/>
  <c r="C1496" i="2"/>
  <c r="A1496" i="2"/>
  <c r="C1495" i="2"/>
  <c r="A1495" i="2"/>
  <c r="C1494" i="2"/>
  <c r="A1494" i="2"/>
  <c r="C1493" i="2"/>
  <c r="A1493" i="2"/>
  <c r="C1492" i="2"/>
  <c r="A1492" i="2"/>
  <c r="C1491" i="2"/>
  <c r="A1491" i="2"/>
  <c r="C1490" i="2"/>
  <c r="A1490" i="2"/>
  <c r="C1489" i="2"/>
  <c r="A1489" i="2"/>
  <c r="C1488" i="2"/>
  <c r="A1488" i="2"/>
  <c r="C1487" i="2"/>
  <c r="A1487" i="2"/>
  <c r="C1486" i="2"/>
  <c r="A1486" i="2"/>
  <c r="C1485" i="2"/>
  <c r="A1485" i="2"/>
  <c r="C1484" i="2"/>
  <c r="A1484" i="2"/>
  <c r="C1483" i="2"/>
  <c r="A1483" i="2"/>
  <c r="C1482" i="2"/>
  <c r="A1482" i="2"/>
  <c r="C1481" i="2"/>
  <c r="A1481" i="2"/>
  <c r="C1480" i="2"/>
  <c r="A1480" i="2"/>
  <c r="C1479" i="2"/>
  <c r="A1479" i="2"/>
  <c r="C1478" i="2"/>
  <c r="A1478" i="2"/>
  <c r="C1477" i="2"/>
  <c r="A1477" i="2"/>
  <c r="C1476" i="2"/>
  <c r="A1476" i="2"/>
  <c r="C1475" i="2"/>
  <c r="A1475" i="2"/>
  <c r="C1474" i="2"/>
  <c r="A1474" i="2"/>
  <c r="C1473" i="2"/>
  <c r="A1473" i="2"/>
  <c r="C1472" i="2"/>
  <c r="A1472" i="2"/>
  <c r="C1471" i="2"/>
  <c r="A1471" i="2"/>
  <c r="C1470" i="2"/>
  <c r="A1470" i="2"/>
  <c r="C1469" i="2"/>
  <c r="A1469" i="2"/>
  <c r="C1468" i="2"/>
  <c r="A1468" i="2"/>
  <c r="C1467" i="2"/>
  <c r="A1467" i="2"/>
  <c r="C1466" i="2"/>
  <c r="A1466" i="2"/>
  <c r="C1465" i="2"/>
  <c r="A1465" i="2"/>
  <c r="C1464" i="2"/>
  <c r="A1464" i="2"/>
  <c r="C1463" i="2"/>
  <c r="A1463" i="2"/>
  <c r="C1462" i="2"/>
  <c r="A1462" i="2"/>
  <c r="C1461" i="2"/>
  <c r="A1461" i="2"/>
  <c r="C1460" i="2"/>
  <c r="A1460" i="2"/>
  <c r="C1459" i="2"/>
  <c r="A1459" i="2"/>
  <c r="C1458" i="2"/>
  <c r="A1458" i="2"/>
  <c r="C1457" i="2"/>
  <c r="A1457" i="2"/>
  <c r="C1456" i="2"/>
  <c r="A1456" i="2"/>
  <c r="C1455" i="2"/>
  <c r="A1455" i="2"/>
  <c r="C1454" i="2"/>
  <c r="A1454" i="2"/>
  <c r="C1453" i="2"/>
  <c r="A1453" i="2"/>
  <c r="C1452" i="2"/>
  <c r="A1452" i="2"/>
  <c r="C1451" i="2"/>
  <c r="A1451" i="2"/>
  <c r="C1450" i="2"/>
  <c r="A1450" i="2"/>
  <c r="C1449" i="2"/>
  <c r="A1449" i="2"/>
  <c r="C1448" i="2"/>
  <c r="A1448" i="2"/>
  <c r="C1447" i="2"/>
  <c r="A1447" i="2"/>
  <c r="C1446" i="2"/>
  <c r="A1446" i="2"/>
  <c r="C1445" i="2"/>
  <c r="A1445" i="2"/>
  <c r="C1444" i="2"/>
  <c r="A1444" i="2"/>
  <c r="C1443" i="2"/>
  <c r="A1443" i="2"/>
  <c r="C1442" i="2"/>
  <c r="A1442" i="2"/>
  <c r="C1441" i="2"/>
  <c r="A1441" i="2"/>
  <c r="C1440" i="2"/>
  <c r="A1440" i="2"/>
  <c r="C1439" i="2"/>
  <c r="A1439" i="2"/>
  <c r="C1438" i="2"/>
  <c r="A1438" i="2"/>
  <c r="C1437" i="2"/>
  <c r="A1437" i="2"/>
  <c r="C1436" i="2"/>
  <c r="A1436" i="2"/>
  <c r="C1435" i="2"/>
  <c r="A1435" i="2"/>
  <c r="C1434" i="2"/>
  <c r="A1434" i="2"/>
  <c r="C1433" i="2"/>
  <c r="A1433" i="2"/>
  <c r="C1432" i="2"/>
  <c r="A1432" i="2"/>
  <c r="C1431" i="2"/>
  <c r="A1431" i="2"/>
  <c r="C1430" i="2"/>
  <c r="A1430" i="2"/>
  <c r="C1429" i="2"/>
  <c r="A1429" i="2"/>
  <c r="C1428" i="2"/>
  <c r="A1428" i="2"/>
  <c r="C1427" i="2"/>
  <c r="A1427" i="2"/>
  <c r="C1426" i="2"/>
  <c r="A1426" i="2"/>
  <c r="C1425" i="2"/>
  <c r="A1425" i="2"/>
  <c r="C1424" i="2"/>
  <c r="A1424" i="2"/>
  <c r="C1423" i="2"/>
  <c r="A1423" i="2"/>
  <c r="C1422" i="2"/>
  <c r="A1422" i="2"/>
  <c r="C1421" i="2"/>
  <c r="A1421" i="2"/>
  <c r="C1420" i="2"/>
  <c r="A1420" i="2"/>
  <c r="C1419" i="2"/>
  <c r="A1419" i="2"/>
  <c r="C1418" i="2"/>
  <c r="A1418" i="2"/>
  <c r="C1417" i="2"/>
  <c r="A1417" i="2"/>
  <c r="C1416" i="2"/>
  <c r="A1416" i="2"/>
  <c r="C1415" i="2"/>
  <c r="A1415" i="2"/>
  <c r="C1414" i="2"/>
  <c r="A1414" i="2"/>
  <c r="C1413" i="2"/>
  <c r="A1413" i="2"/>
  <c r="C1412" i="2"/>
  <c r="A1412" i="2"/>
  <c r="C1411" i="2"/>
  <c r="A1411" i="2"/>
  <c r="C1410" i="2"/>
  <c r="A1410" i="2"/>
  <c r="C1409" i="2"/>
  <c r="A1409" i="2"/>
  <c r="C1408" i="2"/>
  <c r="A1408" i="2"/>
  <c r="C1407" i="2"/>
  <c r="A1407" i="2"/>
  <c r="C1406" i="2"/>
  <c r="A1406" i="2"/>
  <c r="C1405" i="2"/>
  <c r="A1405" i="2"/>
  <c r="C1404" i="2"/>
  <c r="A1404" i="2"/>
  <c r="C1403" i="2"/>
  <c r="A1403" i="2"/>
  <c r="C1402" i="2"/>
  <c r="A1402" i="2"/>
  <c r="C1401" i="2"/>
  <c r="A1401" i="2"/>
  <c r="C1400" i="2"/>
  <c r="A1400" i="2"/>
  <c r="C1399" i="2"/>
  <c r="A1399" i="2"/>
  <c r="C1398" i="2"/>
  <c r="A1398" i="2"/>
  <c r="C1397" i="2"/>
  <c r="A1397" i="2"/>
  <c r="C1396" i="2"/>
  <c r="A1396" i="2"/>
  <c r="C1395" i="2"/>
  <c r="A1395" i="2"/>
  <c r="C1394" i="2"/>
  <c r="A1394" i="2"/>
  <c r="C1393" i="2"/>
  <c r="A1393" i="2"/>
  <c r="C1392" i="2"/>
  <c r="A1392" i="2"/>
  <c r="C1391" i="2"/>
  <c r="A1391" i="2"/>
  <c r="C1390" i="2"/>
  <c r="A1390" i="2"/>
  <c r="C1389" i="2"/>
  <c r="A1389" i="2"/>
  <c r="C1388" i="2"/>
  <c r="A1388" i="2"/>
  <c r="C1387" i="2"/>
  <c r="A1387" i="2"/>
  <c r="C1386" i="2"/>
  <c r="A1386" i="2"/>
  <c r="C1385" i="2"/>
  <c r="A1385" i="2"/>
  <c r="C1384" i="2"/>
  <c r="A1384" i="2"/>
  <c r="C1383" i="2"/>
  <c r="A1383" i="2"/>
  <c r="C1382" i="2"/>
  <c r="A1382" i="2"/>
  <c r="C1381" i="2"/>
  <c r="A1381" i="2"/>
  <c r="C1380" i="2"/>
  <c r="A1380" i="2"/>
  <c r="C1379" i="2"/>
  <c r="A1379" i="2"/>
  <c r="C1378" i="2"/>
  <c r="A1378" i="2"/>
  <c r="C1377" i="2"/>
  <c r="A1377" i="2"/>
  <c r="C1376" i="2"/>
  <c r="A1376" i="2"/>
  <c r="C1375" i="2"/>
  <c r="A1375" i="2"/>
  <c r="C1374" i="2"/>
  <c r="A1374" i="2"/>
  <c r="C1373" i="2"/>
  <c r="A1373" i="2"/>
  <c r="C1372" i="2"/>
  <c r="A1372" i="2"/>
  <c r="C1371" i="2"/>
  <c r="A1371" i="2"/>
  <c r="C1370" i="2"/>
  <c r="A1370" i="2"/>
  <c r="C1369" i="2"/>
  <c r="A1369" i="2"/>
  <c r="C1368" i="2"/>
  <c r="A1368" i="2"/>
  <c r="C1367" i="2"/>
  <c r="A1367" i="2"/>
  <c r="C1366" i="2"/>
  <c r="A1366" i="2"/>
  <c r="C1365" i="2"/>
  <c r="A1365" i="2"/>
  <c r="C1364" i="2"/>
  <c r="A1364" i="2"/>
  <c r="C1363" i="2"/>
  <c r="A1363" i="2"/>
  <c r="C1362" i="2"/>
  <c r="A1362" i="2"/>
  <c r="C1361" i="2"/>
  <c r="A1361" i="2"/>
  <c r="C1360" i="2"/>
  <c r="A1360" i="2"/>
  <c r="C1359" i="2"/>
  <c r="A1359" i="2"/>
  <c r="C1358" i="2"/>
  <c r="A1358" i="2"/>
  <c r="C1357" i="2"/>
  <c r="A1357" i="2"/>
  <c r="C1356" i="2"/>
  <c r="A1356" i="2"/>
  <c r="C1355" i="2"/>
  <c r="A1355" i="2"/>
  <c r="C1354" i="2"/>
  <c r="A1354" i="2"/>
  <c r="C1353" i="2"/>
  <c r="A1353" i="2"/>
  <c r="C1352" i="2"/>
  <c r="A1352" i="2"/>
  <c r="C1351" i="2"/>
  <c r="A1351" i="2"/>
  <c r="C1350" i="2"/>
  <c r="A1350" i="2"/>
  <c r="C1349" i="2"/>
  <c r="A1349" i="2"/>
  <c r="C1348" i="2"/>
  <c r="A1348" i="2"/>
  <c r="C1347" i="2"/>
  <c r="A1347" i="2"/>
  <c r="C1346" i="2"/>
  <c r="A1346" i="2"/>
  <c r="C1345" i="2"/>
  <c r="A1345" i="2"/>
  <c r="C1344" i="2"/>
  <c r="A1344" i="2"/>
  <c r="C1343" i="2"/>
  <c r="A1343" i="2"/>
  <c r="C1342" i="2"/>
  <c r="A1342" i="2"/>
  <c r="C1341" i="2"/>
  <c r="A1341" i="2"/>
  <c r="C1340" i="2"/>
  <c r="A1340" i="2"/>
  <c r="C1339" i="2"/>
  <c r="A1339" i="2"/>
  <c r="C1338" i="2"/>
  <c r="A1338" i="2"/>
  <c r="C1337" i="2"/>
  <c r="A1337" i="2"/>
  <c r="C1336" i="2"/>
  <c r="A1336" i="2"/>
  <c r="C1335" i="2"/>
  <c r="A1335" i="2"/>
  <c r="C1334" i="2"/>
  <c r="A1334" i="2"/>
  <c r="C1333" i="2"/>
  <c r="A1333" i="2"/>
  <c r="C1332" i="2"/>
  <c r="A1332" i="2"/>
  <c r="C1331" i="2"/>
  <c r="A1331" i="2"/>
  <c r="C1330" i="2"/>
  <c r="A1330" i="2"/>
  <c r="C1329" i="2"/>
  <c r="A1329" i="2"/>
  <c r="C1328" i="2"/>
  <c r="A1328" i="2"/>
  <c r="C1327" i="2"/>
  <c r="A1327" i="2"/>
  <c r="C1326" i="2"/>
  <c r="A1326" i="2"/>
  <c r="C1325" i="2"/>
  <c r="A1325" i="2"/>
  <c r="C1324" i="2"/>
  <c r="A1324" i="2"/>
  <c r="C1323" i="2"/>
  <c r="A1323" i="2"/>
  <c r="C1322" i="2"/>
  <c r="A1322" i="2"/>
  <c r="C1321" i="2"/>
  <c r="A1321" i="2"/>
  <c r="C1320" i="2"/>
  <c r="A1320" i="2"/>
  <c r="C1319" i="2"/>
  <c r="A1319" i="2"/>
  <c r="C1318" i="2"/>
  <c r="A1318" i="2"/>
  <c r="C1317" i="2"/>
  <c r="A1317" i="2"/>
  <c r="C1316" i="2"/>
  <c r="A1316" i="2"/>
  <c r="C1315" i="2"/>
  <c r="A1315" i="2"/>
  <c r="C1314" i="2"/>
  <c r="A1314" i="2"/>
  <c r="C1313" i="2"/>
  <c r="A1313" i="2"/>
  <c r="C1312" i="2"/>
  <c r="A1312" i="2"/>
  <c r="C1311" i="2"/>
  <c r="A1311" i="2"/>
  <c r="C1310" i="2"/>
  <c r="A1310" i="2"/>
  <c r="C1309" i="2"/>
  <c r="A1309" i="2"/>
  <c r="C1308" i="2"/>
  <c r="A1308" i="2"/>
  <c r="C1307" i="2"/>
  <c r="A1307" i="2"/>
  <c r="C1306" i="2"/>
  <c r="A1306" i="2"/>
  <c r="C1305" i="2"/>
  <c r="A1305" i="2"/>
  <c r="C1304" i="2"/>
  <c r="A1304" i="2"/>
  <c r="C1303" i="2"/>
  <c r="A1303" i="2"/>
  <c r="C1302" i="2"/>
  <c r="A1302" i="2"/>
  <c r="C1301" i="2"/>
  <c r="A1301" i="2"/>
  <c r="C1300" i="2"/>
  <c r="A1300" i="2"/>
  <c r="C1299" i="2"/>
  <c r="A1299" i="2"/>
  <c r="C1298" i="2"/>
  <c r="A1298" i="2"/>
  <c r="C1297" i="2"/>
  <c r="A1297" i="2"/>
  <c r="C1296" i="2"/>
  <c r="A1296" i="2"/>
  <c r="C1295" i="2"/>
  <c r="A1295" i="2"/>
  <c r="C1294" i="2"/>
  <c r="A1294" i="2"/>
  <c r="C1293" i="2"/>
  <c r="A1293" i="2"/>
  <c r="C1292" i="2"/>
  <c r="A1292" i="2"/>
  <c r="C1291" i="2"/>
  <c r="A1291" i="2"/>
  <c r="C1290" i="2"/>
  <c r="A1290" i="2"/>
  <c r="C1289" i="2"/>
  <c r="A1289" i="2"/>
  <c r="C1288" i="2"/>
  <c r="A1288" i="2"/>
  <c r="C1287" i="2"/>
  <c r="A1287" i="2"/>
  <c r="C1286" i="2"/>
  <c r="A1286" i="2"/>
  <c r="C1285" i="2"/>
  <c r="A1285" i="2"/>
  <c r="C1284" i="2"/>
  <c r="A1284" i="2"/>
  <c r="C1283" i="2"/>
  <c r="A1283" i="2"/>
  <c r="C1282" i="2"/>
  <c r="A1282" i="2"/>
  <c r="C1281" i="2"/>
  <c r="A1281" i="2"/>
  <c r="C1280" i="2"/>
  <c r="A1280" i="2"/>
  <c r="C1279" i="2"/>
  <c r="A1279" i="2"/>
  <c r="C1278" i="2"/>
  <c r="A1278" i="2"/>
  <c r="C1277" i="2"/>
  <c r="A1277" i="2"/>
  <c r="C1276" i="2"/>
  <c r="A1276" i="2"/>
  <c r="C1275" i="2"/>
  <c r="A1275" i="2"/>
  <c r="C1274" i="2"/>
  <c r="A1274" i="2"/>
  <c r="C1273" i="2"/>
  <c r="A1273" i="2"/>
  <c r="C1272" i="2"/>
  <c r="A1272" i="2"/>
  <c r="C1271" i="2"/>
  <c r="A1271" i="2"/>
  <c r="C1270" i="2"/>
  <c r="A1270" i="2"/>
  <c r="C1269" i="2"/>
  <c r="A1269" i="2"/>
  <c r="C1268" i="2"/>
  <c r="A1268" i="2"/>
  <c r="C1267" i="2"/>
  <c r="A1267" i="2"/>
  <c r="C1266" i="2"/>
  <c r="A1266" i="2"/>
  <c r="C1265" i="2"/>
  <c r="A1265" i="2"/>
  <c r="C1264" i="2"/>
  <c r="A1264" i="2"/>
  <c r="C1263" i="2"/>
  <c r="A1263" i="2"/>
  <c r="C1262" i="2"/>
  <c r="A1262" i="2"/>
  <c r="C1261" i="2"/>
  <c r="A1261" i="2"/>
  <c r="C1260" i="2"/>
  <c r="A1260" i="2"/>
  <c r="C1259" i="2"/>
  <c r="A1259" i="2"/>
  <c r="C1258" i="2"/>
  <c r="A1258" i="2"/>
  <c r="C1257" i="2"/>
  <c r="A1257" i="2"/>
  <c r="C1256" i="2"/>
  <c r="A1256" i="2"/>
  <c r="C1255" i="2"/>
  <c r="A1255" i="2"/>
  <c r="C1254" i="2"/>
  <c r="A1254" i="2"/>
  <c r="C1253" i="2"/>
  <c r="A1253" i="2"/>
  <c r="C1252" i="2"/>
  <c r="A1252" i="2"/>
  <c r="C1251" i="2"/>
  <c r="A1251" i="2"/>
  <c r="C1250" i="2"/>
  <c r="A1250" i="2"/>
  <c r="C1249" i="2"/>
  <c r="A1249" i="2"/>
  <c r="C1248" i="2"/>
  <c r="A1248" i="2"/>
  <c r="C1247" i="2"/>
  <c r="A1247" i="2"/>
  <c r="C1246" i="2"/>
  <c r="A1246" i="2"/>
  <c r="C1245" i="2"/>
  <c r="A1245" i="2"/>
  <c r="C1244" i="2"/>
  <c r="A1244" i="2"/>
  <c r="C1243" i="2"/>
  <c r="A1243" i="2"/>
  <c r="C1242" i="2"/>
  <c r="A1242" i="2"/>
  <c r="C1241" i="2"/>
  <c r="A1241" i="2"/>
  <c r="C1240" i="2"/>
  <c r="A1240" i="2"/>
  <c r="C1239" i="2"/>
  <c r="A1239" i="2"/>
  <c r="C1238" i="2"/>
  <c r="A1238" i="2"/>
  <c r="C1237" i="2"/>
  <c r="A1237" i="2"/>
  <c r="C1236" i="2"/>
  <c r="A1236" i="2"/>
  <c r="C1235" i="2"/>
  <c r="A1235" i="2"/>
  <c r="C1234" i="2"/>
  <c r="A1234" i="2"/>
  <c r="C1233" i="2"/>
  <c r="A1233" i="2"/>
  <c r="C1232" i="2"/>
  <c r="A1232" i="2"/>
  <c r="C1231" i="2"/>
  <c r="A1231" i="2"/>
  <c r="C1230" i="2"/>
  <c r="A1230" i="2"/>
  <c r="C1229" i="2"/>
  <c r="A1229" i="2"/>
  <c r="C1228" i="2"/>
  <c r="A1228" i="2"/>
  <c r="C1227" i="2"/>
  <c r="A1227" i="2"/>
  <c r="C1226" i="2"/>
  <c r="A1226" i="2"/>
  <c r="C1225" i="2"/>
  <c r="A1225" i="2"/>
  <c r="C1224" i="2"/>
  <c r="A1224" i="2"/>
  <c r="C1223" i="2"/>
  <c r="A1223" i="2"/>
  <c r="C1222" i="2"/>
  <c r="A1222" i="2"/>
  <c r="C1221" i="2"/>
  <c r="A1221" i="2"/>
  <c r="C1220" i="2"/>
  <c r="A1220" i="2"/>
  <c r="C1219" i="2"/>
  <c r="A1219" i="2"/>
  <c r="C1218" i="2"/>
  <c r="A1218" i="2"/>
  <c r="C1217" i="2"/>
  <c r="A1217" i="2"/>
  <c r="C1216" i="2"/>
  <c r="A1216" i="2"/>
  <c r="C1215" i="2"/>
  <c r="A1215" i="2"/>
  <c r="C1214" i="2"/>
  <c r="A1214" i="2"/>
  <c r="C1213" i="2"/>
  <c r="A1213" i="2"/>
  <c r="C1212" i="2"/>
  <c r="A1212" i="2"/>
  <c r="C1211" i="2"/>
  <c r="A1211" i="2"/>
  <c r="C1210" i="2"/>
  <c r="A1210" i="2"/>
  <c r="C1209" i="2"/>
  <c r="A1209" i="2"/>
  <c r="C1208" i="2"/>
  <c r="A1208" i="2"/>
  <c r="C1207" i="2"/>
  <c r="A1207" i="2"/>
  <c r="C1206" i="2"/>
  <c r="A1206" i="2"/>
  <c r="C1205" i="2"/>
  <c r="A1205" i="2"/>
  <c r="C1204" i="2"/>
  <c r="A1204" i="2"/>
  <c r="C1203" i="2"/>
  <c r="A1203" i="2"/>
  <c r="C1202" i="2"/>
  <c r="A1202" i="2"/>
  <c r="C1201" i="2"/>
  <c r="A1201" i="2"/>
  <c r="C1200" i="2"/>
  <c r="A1200" i="2"/>
  <c r="C1199" i="2"/>
  <c r="A1199" i="2"/>
  <c r="C1198" i="2"/>
  <c r="A1198" i="2"/>
  <c r="C1197" i="2"/>
  <c r="A1197" i="2"/>
  <c r="C1196" i="2"/>
  <c r="A1196" i="2"/>
  <c r="C1195" i="2"/>
  <c r="A1195" i="2"/>
  <c r="C1194" i="2"/>
  <c r="A1194" i="2"/>
  <c r="C1193" i="2"/>
  <c r="A1193" i="2"/>
  <c r="C1192" i="2"/>
  <c r="A1192" i="2"/>
  <c r="C1191" i="2"/>
  <c r="A1191" i="2"/>
  <c r="C1190" i="2"/>
  <c r="A1190" i="2"/>
  <c r="C1189" i="2"/>
  <c r="A1189" i="2"/>
  <c r="C1188" i="2"/>
  <c r="A1188" i="2"/>
  <c r="C1187" i="2"/>
  <c r="A1187" i="2"/>
  <c r="C1186" i="2"/>
  <c r="A1186" i="2"/>
  <c r="C1185" i="2"/>
  <c r="A1185" i="2"/>
  <c r="C1184" i="2"/>
  <c r="A1184" i="2"/>
  <c r="C1183" i="2"/>
  <c r="A1183" i="2"/>
  <c r="C1182" i="2"/>
  <c r="A1182" i="2"/>
  <c r="C1181" i="2"/>
  <c r="A1181" i="2"/>
  <c r="C1180" i="2"/>
  <c r="A1180" i="2"/>
  <c r="C1179" i="2"/>
  <c r="A1179" i="2"/>
  <c r="C1178" i="2"/>
  <c r="A1178" i="2"/>
  <c r="C1177" i="2"/>
  <c r="A1177" i="2"/>
  <c r="C1176" i="2"/>
  <c r="A1176" i="2"/>
  <c r="C1175" i="2"/>
  <c r="A1175" i="2"/>
  <c r="C1174" i="2"/>
  <c r="A1174" i="2"/>
  <c r="C1173" i="2"/>
  <c r="A1173" i="2"/>
  <c r="C1172" i="2"/>
  <c r="A1172" i="2"/>
  <c r="C1171" i="2"/>
  <c r="A1171" i="2"/>
  <c r="C1170" i="2"/>
  <c r="A1170" i="2"/>
  <c r="C1169" i="2"/>
  <c r="A1169" i="2"/>
  <c r="C1168" i="2"/>
  <c r="A1168" i="2"/>
  <c r="C1167" i="2"/>
  <c r="A1167" i="2"/>
  <c r="C1166" i="2"/>
  <c r="A1166" i="2"/>
  <c r="C1165" i="2"/>
  <c r="A1165" i="2"/>
  <c r="C1164" i="2"/>
  <c r="A1164" i="2"/>
  <c r="C1163" i="2"/>
  <c r="A1163" i="2"/>
  <c r="C1162" i="2"/>
  <c r="A1162" i="2"/>
  <c r="C1161" i="2"/>
  <c r="A1161" i="2"/>
  <c r="C1160" i="2"/>
  <c r="A1160" i="2"/>
  <c r="C1159" i="2"/>
  <c r="A1159" i="2"/>
  <c r="C1158" i="2"/>
  <c r="A1158" i="2"/>
  <c r="C1157" i="2"/>
  <c r="A1157" i="2"/>
  <c r="C1156" i="2"/>
  <c r="A1156" i="2"/>
  <c r="C1155" i="2"/>
  <c r="A1155" i="2"/>
  <c r="C1154" i="2"/>
  <c r="A1154" i="2"/>
  <c r="C1153" i="2"/>
  <c r="A1153" i="2"/>
  <c r="C1152" i="2"/>
  <c r="A1152" i="2"/>
  <c r="C1151" i="2"/>
  <c r="A1151" i="2"/>
  <c r="C1150" i="2"/>
  <c r="A1150" i="2"/>
  <c r="C1149" i="2"/>
  <c r="A1149" i="2"/>
  <c r="C1148" i="2"/>
  <c r="A1148" i="2"/>
  <c r="C1147" i="2"/>
  <c r="A1147" i="2"/>
  <c r="C1146" i="2"/>
  <c r="A1146" i="2"/>
  <c r="C1145" i="2"/>
  <c r="A1145" i="2"/>
  <c r="C1144" i="2"/>
  <c r="A1144" i="2"/>
  <c r="C1143" i="2"/>
  <c r="A1143" i="2"/>
  <c r="C1142" i="2"/>
  <c r="A1142" i="2"/>
  <c r="C1141" i="2"/>
  <c r="A1141" i="2"/>
  <c r="C1140" i="2"/>
  <c r="A1140" i="2"/>
  <c r="C1139" i="2"/>
  <c r="A1139" i="2"/>
  <c r="C1138" i="2"/>
  <c r="A1138" i="2"/>
  <c r="C1137" i="2"/>
  <c r="A1137" i="2"/>
  <c r="C1136" i="2"/>
  <c r="A1136" i="2"/>
  <c r="C1135" i="2"/>
  <c r="A1135" i="2"/>
  <c r="C1134" i="2"/>
  <c r="A1134" i="2"/>
  <c r="C1133" i="2"/>
  <c r="A1133" i="2"/>
  <c r="C1132" i="2"/>
  <c r="A1132" i="2"/>
  <c r="C1131" i="2"/>
  <c r="A1131" i="2"/>
  <c r="C1130" i="2"/>
  <c r="A1130" i="2"/>
  <c r="C1129" i="2"/>
  <c r="A1129" i="2"/>
  <c r="C1128" i="2"/>
  <c r="A1128" i="2"/>
  <c r="C1127" i="2"/>
  <c r="A1127" i="2"/>
  <c r="C1126" i="2"/>
  <c r="A1126" i="2"/>
  <c r="C1125" i="2"/>
  <c r="A1125" i="2"/>
  <c r="C1124" i="2"/>
  <c r="A1124" i="2"/>
  <c r="C1123" i="2"/>
  <c r="A1123" i="2"/>
  <c r="C1122" i="2"/>
  <c r="A1122" i="2"/>
  <c r="C1121" i="2"/>
  <c r="A1121" i="2"/>
  <c r="C1120" i="2"/>
  <c r="A1120" i="2"/>
  <c r="C1119" i="2"/>
  <c r="A1119" i="2"/>
  <c r="C1118" i="2"/>
  <c r="A1118" i="2"/>
  <c r="C1117" i="2"/>
  <c r="A1117" i="2"/>
  <c r="C1116" i="2"/>
  <c r="A1116" i="2"/>
  <c r="C1115" i="2"/>
  <c r="A1115" i="2"/>
  <c r="C1114" i="2"/>
  <c r="A1114" i="2"/>
  <c r="C1113" i="2"/>
  <c r="A1113" i="2"/>
  <c r="C1112" i="2"/>
  <c r="A1112" i="2"/>
  <c r="C1111" i="2"/>
  <c r="A1111" i="2"/>
  <c r="C1110" i="2"/>
  <c r="A1110" i="2"/>
  <c r="C1109" i="2"/>
  <c r="A1109" i="2"/>
  <c r="C1108" i="2"/>
  <c r="A1108" i="2"/>
  <c r="C1107" i="2"/>
  <c r="A1107" i="2"/>
  <c r="C1106" i="2"/>
  <c r="A1106" i="2"/>
  <c r="C1105" i="2"/>
  <c r="A1105" i="2"/>
  <c r="C1104" i="2"/>
  <c r="A1104" i="2"/>
  <c r="C1103" i="2"/>
  <c r="A1103" i="2"/>
  <c r="C1102" i="2"/>
  <c r="A1102" i="2"/>
  <c r="C1101" i="2"/>
  <c r="A1101" i="2"/>
  <c r="C1100" i="2"/>
  <c r="A1100" i="2"/>
  <c r="C1099" i="2"/>
  <c r="A1099" i="2"/>
  <c r="C1098" i="2"/>
  <c r="A1098" i="2"/>
  <c r="C1097" i="2"/>
  <c r="A1097" i="2"/>
  <c r="C1096" i="2"/>
  <c r="A1096" i="2"/>
  <c r="C1095" i="2"/>
  <c r="A1095" i="2"/>
  <c r="C1094" i="2"/>
  <c r="A1094" i="2"/>
  <c r="C1093" i="2"/>
  <c r="A1093" i="2"/>
  <c r="C1092" i="2"/>
  <c r="A1092" i="2"/>
  <c r="C1091" i="2"/>
  <c r="A1091" i="2"/>
  <c r="C1090" i="2"/>
  <c r="A1090" i="2"/>
  <c r="C1089" i="2"/>
  <c r="A1089" i="2"/>
  <c r="C1088" i="2"/>
  <c r="A1088" i="2"/>
  <c r="C1087" i="2"/>
  <c r="A1087" i="2"/>
  <c r="C1086" i="2"/>
  <c r="A1086" i="2"/>
  <c r="C1085" i="2"/>
  <c r="A1085" i="2"/>
  <c r="C1084" i="2"/>
  <c r="A1084" i="2"/>
  <c r="C1083" i="2"/>
  <c r="A1083" i="2"/>
  <c r="C1082" i="2"/>
  <c r="A1082" i="2"/>
  <c r="C1081" i="2"/>
  <c r="A1081" i="2"/>
  <c r="C1080" i="2"/>
  <c r="A1080" i="2"/>
  <c r="C1079" i="2"/>
  <c r="A1079" i="2"/>
  <c r="C1078" i="2"/>
  <c r="A1078" i="2"/>
  <c r="C1077" i="2"/>
  <c r="A1077" i="2"/>
  <c r="C1076" i="2"/>
  <c r="A1076" i="2"/>
  <c r="C1075" i="2"/>
  <c r="A1075" i="2"/>
  <c r="C1074" i="2"/>
  <c r="A1074" i="2"/>
  <c r="C1073" i="2"/>
  <c r="A1073" i="2"/>
  <c r="C1072" i="2"/>
  <c r="A1072" i="2"/>
  <c r="C1071" i="2"/>
  <c r="A1071" i="2"/>
  <c r="C1070" i="2"/>
  <c r="A1070" i="2"/>
  <c r="C1069" i="2"/>
  <c r="A1069" i="2"/>
  <c r="C1068" i="2"/>
  <c r="A1068" i="2"/>
  <c r="C1067" i="2"/>
  <c r="A1067" i="2"/>
  <c r="C1066" i="2"/>
  <c r="A1066" i="2"/>
  <c r="C1065" i="2"/>
  <c r="A1065" i="2"/>
  <c r="C1064" i="2"/>
  <c r="A1064" i="2"/>
  <c r="C1063" i="2"/>
  <c r="A1063" i="2"/>
  <c r="C1062" i="2"/>
  <c r="A1062" i="2"/>
  <c r="C1061" i="2"/>
  <c r="A1061" i="2"/>
  <c r="C1060" i="2"/>
  <c r="A1060" i="2"/>
  <c r="C1059" i="2"/>
  <c r="A1059" i="2"/>
  <c r="C1058" i="2"/>
  <c r="A1058" i="2"/>
  <c r="C1057" i="2"/>
  <c r="A1057" i="2"/>
  <c r="C1056" i="2"/>
  <c r="A1056" i="2"/>
  <c r="C1055" i="2"/>
  <c r="A1055" i="2"/>
  <c r="C1054" i="2"/>
  <c r="A1054" i="2"/>
  <c r="C1053" i="2"/>
  <c r="A1053" i="2"/>
  <c r="C1052" i="2"/>
  <c r="A1052" i="2"/>
  <c r="C1051" i="2"/>
  <c r="A1051" i="2"/>
  <c r="C1050" i="2"/>
  <c r="A1050" i="2"/>
  <c r="C1049" i="2"/>
  <c r="A1049" i="2"/>
  <c r="C1048" i="2"/>
  <c r="A1048" i="2"/>
  <c r="C1047" i="2"/>
  <c r="A1047" i="2"/>
  <c r="C1046" i="2"/>
  <c r="A1046" i="2"/>
  <c r="C1045" i="2"/>
  <c r="A1045" i="2"/>
  <c r="C1044" i="2"/>
  <c r="A1044" i="2"/>
  <c r="C1043" i="2"/>
  <c r="A1043" i="2"/>
  <c r="C1042" i="2"/>
  <c r="A1042" i="2"/>
  <c r="C1041" i="2"/>
  <c r="A1041" i="2"/>
  <c r="C1040" i="2"/>
  <c r="A1040" i="2"/>
  <c r="C1039" i="2"/>
  <c r="A1039" i="2"/>
  <c r="C1038" i="2"/>
  <c r="A1038" i="2"/>
  <c r="C1037" i="2"/>
  <c r="A1037" i="2"/>
  <c r="C1036" i="2"/>
  <c r="A1036" i="2"/>
  <c r="C1035" i="2"/>
  <c r="A1035" i="2"/>
  <c r="C1034" i="2"/>
  <c r="A1034" i="2"/>
  <c r="C1033" i="2"/>
  <c r="A1033" i="2"/>
  <c r="C1032" i="2"/>
  <c r="A1032" i="2"/>
  <c r="C1031" i="2"/>
  <c r="A1031" i="2"/>
  <c r="C1030" i="2"/>
  <c r="A1030" i="2"/>
  <c r="C1029" i="2"/>
  <c r="A1029" i="2"/>
  <c r="C1028" i="2"/>
  <c r="A1028" i="2"/>
  <c r="C1027" i="2"/>
  <c r="A1027" i="2"/>
  <c r="C1026" i="2"/>
  <c r="A1026" i="2"/>
  <c r="C1025" i="2"/>
  <c r="A1025" i="2"/>
  <c r="C1024" i="2"/>
  <c r="A1024" i="2"/>
  <c r="C1023" i="2"/>
  <c r="A1023" i="2"/>
  <c r="C1022" i="2"/>
  <c r="A1022" i="2"/>
  <c r="C1021" i="2"/>
  <c r="A1021" i="2"/>
  <c r="C1020" i="2"/>
  <c r="A1020" i="2"/>
  <c r="C1019" i="2"/>
  <c r="A1019" i="2"/>
  <c r="C1018" i="2"/>
  <c r="A1018" i="2"/>
  <c r="C1017" i="2"/>
  <c r="A1017" i="2"/>
  <c r="C1016" i="2"/>
  <c r="A1016" i="2"/>
  <c r="C1015" i="2"/>
  <c r="A1015" i="2"/>
  <c r="C1014" i="2"/>
  <c r="A1014" i="2"/>
  <c r="C1013" i="2"/>
  <c r="A1013" i="2"/>
  <c r="C1012" i="2"/>
  <c r="A1012" i="2"/>
  <c r="C1011" i="2"/>
  <c r="A1011" i="2"/>
  <c r="C1010" i="2"/>
  <c r="A1010" i="2"/>
  <c r="C1009" i="2"/>
  <c r="A1009" i="2"/>
  <c r="C1008" i="2"/>
  <c r="A1008" i="2"/>
  <c r="C1007" i="2"/>
  <c r="A1007" i="2"/>
  <c r="C1006" i="2"/>
  <c r="A1006" i="2"/>
  <c r="C1005" i="2"/>
  <c r="A1005" i="2"/>
  <c r="C1004" i="2"/>
  <c r="A1004" i="2"/>
  <c r="C1003" i="2"/>
  <c r="A1003" i="2"/>
  <c r="C1002" i="2"/>
  <c r="A1002" i="2"/>
  <c r="C1001" i="2"/>
  <c r="A1001" i="2"/>
  <c r="C1000" i="2"/>
  <c r="A1000" i="2"/>
  <c r="C999" i="2"/>
  <c r="A999" i="2"/>
  <c r="C998" i="2"/>
  <c r="A998" i="2"/>
  <c r="C997" i="2"/>
  <c r="A997" i="2"/>
  <c r="C996" i="2"/>
  <c r="A996" i="2"/>
  <c r="C995" i="2"/>
  <c r="A995" i="2"/>
  <c r="C994" i="2"/>
  <c r="A994" i="2"/>
  <c r="C993" i="2"/>
  <c r="A993" i="2"/>
  <c r="C992" i="2"/>
  <c r="A992" i="2"/>
  <c r="C991" i="2"/>
  <c r="A991" i="2"/>
  <c r="C990" i="2"/>
  <c r="A990" i="2"/>
  <c r="C989" i="2"/>
  <c r="A989" i="2"/>
  <c r="C988" i="2"/>
  <c r="A988" i="2"/>
  <c r="C987" i="2"/>
  <c r="A987" i="2"/>
  <c r="C986" i="2"/>
  <c r="A986" i="2"/>
  <c r="C985" i="2"/>
  <c r="A985" i="2"/>
  <c r="C984" i="2"/>
  <c r="A984" i="2"/>
  <c r="C983" i="2"/>
  <c r="A983" i="2"/>
  <c r="C982" i="2"/>
  <c r="A982" i="2"/>
  <c r="C981" i="2"/>
  <c r="A981" i="2"/>
  <c r="C980" i="2"/>
  <c r="A980" i="2"/>
  <c r="C979" i="2"/>
  <c r="A979" i="2"/>
  <c r="C978" i="2"/>
  <c r="A978" i="2"/>
  <c r="C977" i="2"/>
  <c r="A977" i="2"/>
  <c r="C976" i="2"/>
  <c r="A976" i="2"/>
  <c r="C975" i="2"/>
  <c r="A975" i="2"/>
  <c r="C974" i="2"/>
  <c r="A974" i="2"/>
  <c r="C973" i="2"/>
  <c r="A973" i="2"/>
  <c r="C972" i="2"/>
  <c r="A972" i="2"/>
  <c r="C971" i="2"/>
  <c r="A971" i="2"/>
  <c r="C970" i="2"/>
  <c r="A970" i="2"/>
  <c r="C969" i="2"/>
  <c r="A969" i="2"/>
  <c r="C968" i="2"/>
  <c r="A968" i="2"/>
  <c r="C967" i="2"/>
  <c r="A967" i="2"/>
  <c r="C966" i="2"/>
  <c r="A966" i="2"/>
  <c r="C965" i="2"/>
  <c r="A965" i="2"/>
  <c r="C964" i="2"/>
  <c r="A964" i="2"/>
  <c r="C963" i="2"/>
  <c r="A963" i="2"/>
  <c r="C962" i="2"/>
  <c r="A962" i="2"/>
  <c r="C961" i="2"/>
  <c r="A961" i="2"/>
  <c r="C960" i="2"/>
  <c r="A960" i="2"/>
  <c r="C959" i="2"/>
  <c r="A959" i="2"/>
  <c r="C958" i="2"/>
  <c r="A958" i="2"/>
  <c r="C957" i="2"/>
  <c r="A957" i="2"/>
  <c r="C956" i="2"/>
  <c r="A956" i="2"/>
  <c r="C955" i="2"/>
  <c r="A955" i="2"/>
  <c r="C954" i="2"/>
  <c r="A954" i="2"/>
  <c r="C953" i="2"/>
  <c r="A953" i="2"/>
  <c r="C952" i="2"/>
  <c r="A952" i="2"/>
  <c r="C951" i="2"/>
  <c r="A951" i="2"/>
  <c r="C950" i="2"/>
  <c r="A950" i="2"/>
  <c r="C949" i="2"/>
  <c r="A949" i="2"/>
  <c r="C948" i="2"/>
  <c r="A948" i="2"/>
  <c r="C947" i="2"/>
  <c r="A947" i="2"/>
  <c r="C946" i="2"/>
  <c r="A946" i="2"/>
  <c r="C945" i="2"/>
  <c r="A945" i="2"/>
  <c r="C944" i="2"/>
  <c r="A944" i="2"/>
  <c r="C943" i="2"/>
  <c r="A943" i="2"/>
  <c r="C942" i="2"/>
  <c r="A942" i="2"/>
  <c r="C941" i="2"/>
  <c r="A941" i="2"/>
  <c r="C940" i="2"/>
  <c r="A940" i="2"/>
  <c r="C939" i="2"/>
  <c r="A939" i="2"/>
  <c r="C938" i="2"/>
  <c r="A938" i="2"/>
  <c r="C937" i="2"/>
  <c r="A937" i="2"/>
  <c r="C936" i="2"/>
  <c r="A936" i="2"/>
  <c r="C935" i="2"/>
  <c r="A935" i="2"/>
  <c r="C934" i="2"/>
  <c r="A934" i="2"/>
  <c r="C933" i="2"/>
  <c r="A933" i="2"/>
  <c r="C932" i="2"/>
  <c r="A932" i="2"/>
  <c r="C931" i="2"/>
  <c r="A931" i="2"/>
  <c r="C930" i="2"/>
  <c r="A930" i="2"/>
  <c r="C929" i="2"/>
  <c r="A929" i="2"/>
  <c r="C928" i="2"/>
  <c r="A928" i="2"/>
  <c r="C927" i="2"/>
  <c r="A927" i="2"/>
  <c r="C926" i="2"/>
  <c r="A926" i="2"/>
  <c r="C925" i="2"/>
  <c r="A925" i="2"/>
  <c r="C924" i="2"/>
  <c r="A924" i="2"/>
  <c r="C923" i="2"/>
  <c r="A923" i="2"/>
  <c r="C922" i="2"/>
  <c r="A922" i="2"/>
  <c r="C921" i="2"/>
  <c r="A921" i="2"/>
  <c r="C920" i="2"/>
  <c r="A920" i="2"/>
  <c r="C919" i="2"/>
  <c r="A919" i="2"/>
  <c r="C918" i="2"/>
  <c r="A918" i="2"/>
  <c r="C917" i="2"/>
  <c r="A917" i="2"/>
  <c r="C916" i="2"/>
  <c r="A916" i="2"/>
  <c r="C915" i="2"/>
  <c r="A915" i="2"/>
  <c r="C914" i="2"/>
  <c r="A914" i="2"/>
  <c r="C913" i="2"/>
  <c r="A913" i="2"/>
  <c r="C912" i="2"/>
  <c r="A912" i="2"/>
  <c r="C911" i="2"/>
  <c r="A911" i="2"/>
  <c r="C910" i="2"/>
  <c r="A910" i="2"/>
  <c r="C909" i="2"/>
  <c r="A909" i="2"/>
  <c r="C908" i="2"/>
  <c r="A908" i="2"/>
  <c r="C907" i="2"/>
  <c r="A907" i="2"/>
  <c r="C906" i="2"/>
  <c r="A906" i="2"/>
  <c r="C905" i="2"/>
  <c r="A905" i="2"/>
  <c r="C904" i="2"/>
  <c r="A904" i="2"/>
  <c r="C903" i="2"/>
  <c r="A903" i="2"/>
  <c r="C902" i="2"/>
  <c r="A902" i="2"/>
  <c r="C901" i="2"/>
  <c r="A901" i="2"/>
  <c r="C900" i="2"/>
  <c r="A900" i="2"/>
  <c r="C899" i="2"/>
  <c r="A899" i="2"/>
  <c r="C898" i="2"/>
  <c r="A898" i="2"/>
  <c r="C897" i="2"/>
  <c r="A897" i="2"/>
  <c r="C896" i="2"/>
  <c r="A896" i="2"/>
  <c r="C895" i="2"/>
  <c r="A895" i="2"/>
  <c r="C894" i="2"/>
  <c r="A894" i="2"/>
  <c r="C893" i="2"/>
  <c r="A893" i="2"/>
  <c r="C892" i="2"/>
  <c r="A892" i="2"/>
  <c r="C891" i="2"/>
  <c r="A891" i="2"/>
  <c r="C890" i="2"/>
  <c r="A890" i="2"/>
  <c r="C889" i="2"/>
  <c r="A889" i="2"/>
  <c r="C888" i="2"/>
  <c r="A888" i="2"/>
  <c r="C887" i="2"/>
  <c r="A887" i="2"/>
  <c r="C886" i="2"/>
  <c r="A886" i="2"/>
  <c r="C885" i="2"/>
  <c r="A885" i="2"/>
  <c r="C884" i="2"/>
  <c r="A884" i="2"/>
  <c r="C883" i="2"/>
  <c r="A883" i="2"/>
  <c r="C882" i="2"/>
  <c r="A882" i="2"/>
  <c r="C881" i="2"/>
  <c r="A881" i="2"/>
  <c r="C880" i="2"/>
  <c r="A880" i="2"/>
  <c r="C879" i="2"/>
  <c r="A879" i="2"/>
  <c r="C878" i="2"/>
  <c r="A878" i="2"/>
  <c r="C877" i="2"/>
  <c r="A877" i="2"/>
  <c r="C876" i="2"/>
  <c r="A876" i="2"/>
  <c r="C875" i="2"/>
  <c r="A875" i="2"/>
  <c r="C874" i="2"/>
  <c r="A874" i="2"/>
  <c r="C873" i="2"/>
  <c r="A873" i="2"/>
  <c r="C872" i="2"/>
  <c r="A872" i="2"/>
  <c r="C871" i="2"/>
  <c r="A871" i="2"/>
  <c r="C870" i="2"/>
  <c r="A870" i="2"/>
  <c r="C869" i="2"/>
  <c r="A869" i="2"/>
  <c r="C868" i="2"/>
  <c r="A868" i="2"/>
  <c r="C867" i="2"/>
  <c r="A867" i="2"/>
  <c r="C866" i="2"/>
  <c r="A866" i="2"/>
  <c r="C865" i="2"/>
  <c r="A865" i="2"/>
  <c r="C864" i="2"/>
  <c r="A864" i="2"/>
  <c r="C863" i="2"/>
  <c r="A863" i="2"/>
  <c r="C862" i="2"/>
  <c r="A862" i="2"/>
  <c r="C861" i="2"/>
  <c r="A861" i="2"/>
  <c r="C860" i="2"/>
  <c r="A860" i="2"/>
  <c r="C859" i="2"/>
  <c r="A859" i="2"/>
  <c r="C858" i="2"/>
  <c r="A858" i="2"/>
  <c r="C857" i="2"/>
  <c r="A857" i="2"/>
  <c r="C856" i="2"/>
  <c r="A856" i="2"/>
  <c r="C855" i="2"/>
  <c r="A855" i="2"/>
  <c r="C854" i="2"/>
  <c r="A854" i="2"/>
  <c r="C853" i="2"/>
  <c r="A853" i="2"/>
  <c r="C852" i="2"/>
  <c r="A852" i="2"/>
  <c r="C851" i="2"/>
  <c r="A851" i="2"/>
  <c r="C850" i="2"/>
  <c r="A850" i="2"/>
  <c r="C849" i="2"/>
  <c r="A849" i="2"/>
  <c r="C848" i="2"/>
  <c r="A848" i="2"/>
  <c r="C847" i="2"/>
  <c r="A847" i="2"/>
  <c r="C846" i="2"/>
  <c r="A846" i="2"/>
  <c r="C845" i="2"/>
  <c r="A845" i="2"/>
  <c r="C844" i="2"/>
  <c r="A844" i="2"/>
  <c r="C843" i="2"/>
  <c r="A843" i="2"/>
  <c r="C842" i="2"/>
  <c r="A842" i="2"/>
  <c r="C841" i="2"/>
  <c r="A841" i="2"/>
  <c r="C840" i="2"/>
  <c r="A840" i="2"/>
  <c r="C839" i="2"/>
  <c r="A839" i="2"/>
  <c r="C838" i="2"/>
  <c r="A838" i="2"/>
  <c r="C837" i="2"/>
  <c r="A837" i="2"/>
  <c r="C836" i="2"/>
  <c r="A836" i="2"/>
  <c r="C835" i="2"/>
  <c r="A835" i="2"/>
  <c r="C834" i="2"/>
  <c r="A834" i="2"/>
  <c r="C833" i="2"/>
  <c r="A833" i="2"/>
  <c r="C832" i="2"/>
  <c r="A832" i="2"/>
  <c r="C831" i="2"/>
  <c r="A831" i="2"/>
  <c r="C830" i="2"/>
  <c r="A830" i="2"/>
  <c r="C829" i="2"/>
  <c r="A829" i="2"/>
  <c r="C828" i="2"/>
  <c r="A828" i="2"/>
  <c r="C827" i="2"/>
  <c r="A827" i="2"/>
  <c r="C826" i="2"/>
  <c r="A826" i="2"/>
  <c r="C825" i="2"/>
  <c r="A825" i="2"/>
  <c r="C824" i="2"/>
  <c r="A824" i="2"/>
  <c r="C823" i="2"/>
  <c r="A823" i="2"/>
  <c r="C822" i="2"/>
  <c r="A822" i="2"/>
  <c r="C821" i="2"/>
  <c r="A821" i="2"/>
  <c r="C820" i="2"/>
  <c r="A820" i="2"/>
  <c r="C819" i="2"/>
  <c r="A819" i="2"/>
  <c r="C818" i="2"/>
  <c r="A818" i="2"/>
  <c r="C817" i="2"/>
  <c r="A817" i="2"/>
  <c r="C816" i="2"/>
  <c r="A816" i="2"/>
  <c r="C815" i="2"/>
  <c r="A815" i="2"/>
  <c r="C814" i="2"/>
  <c r="A814" i="2"/>
  <c r="C813" i="2"/>
  <c r="A813" i="2"/>
  <c r="C812" i="2"/>
  <c r="A812" i="2"/>
  <c r="C811" i="2"/>
  <c r="A811" i="2"/>
  <c r="C810" i="2"/>
  <c r="A810" i="2"/>
  <c r="C809" i="2"/>
  <c r="A809" i="2"/>
  <c r="C808" i="2"/>
  <c r="A808" i="2"/>
  <c r="C807" i="2"/>
  <c r="A807" i="2"/>
  <c r="C806" i="2"/>
  <c r="A806" i="2"/>
  <c r="C805" i="2"/>
  <c r="A805" i="2"/>
  <c r="C804" i="2"/>
  <c r="A804" i="2"/>
  <c r="C803" i="2"/>
  <c r="A803" i="2"/>
  <c r="C802" i="2"/>
  <c r="A802" i="2"/>
  <c r="C801" i="2"/>
  <c r="A801" i="2"/>
  <c r="C800" i="2"/>
  <c r="A800" i="2"/>
  <c r="C799" i="2"/>
  <c r="A799" i="2"/>
  <c r="C798" i="2"/>
  <c r="A798" i="2"/>
  <c r="C797" i="2"/>
  <c r="A797" i="2"/>
  <c r="C796" i="2"/>
  <c r="A796" i="2"/>
  <c r="C795" i="2"/>
  <c r="A795" i="2"/>
  <c r="C794" i="2"/>
  <c r="A794" i="2"/>
  <c r="C793" i="2"/>
  <c r="A793" i="2"/>
  <c r="C792" i="2"/>
  <c r="A792" i="2"/>
  <c r="C791" i="2"/>
  <c r="A791" i="2"/>
  <c r="C790" i="2"/>
  <c r="A790" i="2"/>
  <c r="C789" i="2"/>
  <c r="A789" i="2"/>
  <c r="C788" i="2"/>
  <c r="A788" i="2"/>
  <c r="C787" i="2"/>
  <c r="A787" i="2"/>
  <c r="C786" i="2"/>
  <c r="A786" i="2"/>
  <c r="C785" i="2"/>
  <c r="A785" i="2"/>
  <c r="C784" i="2"/>
  <c r="A784" i="2"/>
  <c r="C783" i="2"/>
  <c r="A783" i="2"/>
  <c r="C782" i="2"/>
  <c r="A782" i="2"/>
  <c r="C781" i="2"/>
  <c r="A781" i="2"/>
  <c r="C780" i="2"/>
  <c r="A780" i="2"/>
  <c r="C779" i="2"/>
  <c r="A779" i="2"/>
  <c r="C778" i="2"/>
  <c r="A778" i="2"/>
  <c r="C777" i="2"/>
  <c r="A777" i="2"/>
  <c r="C776" i="2"/>
  <c r="A776" i="2"/>
  <c r="C775" i="2"/>
  <c r="A775" i="2"/>
  <c r="C774" i="2"/>
  <c r="A774" i="2"/>
  <c r="C773" i="2"/>
  <c r="A773" i="2"/>
  <c r="C772" i="2"/>
  <c r="A772" i="2"/>
  <c r="C771" i="2"/>
  <c r="A771" i="2"/>
  <c r="C770" i="2"/>
  <c r="A770" i="2"/>
  <c r="C769" i="2"/>
  <c r="A769" i="2"/>
  <c r="C768" i="2"/>
  <c r="A768" i="2"/>
  <c r="C767" i="2"/>
  <c r="A767" i="2"/>
  <c r="C766" i="2"/>
  <c r="A766" i="2"/>
  <c r="C765" i="2"/>
  <c r="A765" i="2"/>
  <c r="C764" i="2"/>
  <c r="A764" i="2"/>
  <c r="C763" i="2"/>
  <c r="A763" i="2"/>
  <c r="C762" i="2"/>
  <c r="A762" i="2"/>
  <c r="C761" i="2"/>
  <c r="A761" i="2"/>
  <c r="C760" i="2"/>
  <c r="A760" i="2"/>
  <c r="C759" i="2"/>
  <c r="A759" i="2"/>
  <c r="C758" i="2"/>
  <c r="A758" i="2"/>
  <c r="C757" i="2"/>
  <c r="A757" i="2"/>
  <c r="C756" i="2"/>
  <c r="A756" i="2"/>
  <c r="C755" i="2"/>
  <c r="A755" i="2"/>
  <c r="C754" i="2"/>
  <c r="A754" i="2"/>
  <c r="C753" i="2"/>
  <c r="A753" i="2"/>
  <c r="C752" i="2"/>
  <c r="A752" i="2"/>
  <c r="C751" i="2"/>
  <c r="A751" i="2"/>
  <c r="C750" i="2"/>
  <c r="A750" i="2"/>
  <c r="C749" i="2"/>
  <c r="A749" i="2"/>
  <c r="C748" i="2"/>
  <c r="A748" i="2"/>
  <c r="C747" i="2"/>
  <c r="A747" i="2"/>
  <c r="C746" i="2"/>
  <c r="A746" i="2"/>
  <c r="C745" i="2"/>
  <c r="A745" i="2"/>
  <c r="C744" i="2"/>
  <c r="A744" i="2"/>
  <c r="C743" i="2"/>
  <c r="A743" i="2"/>
  <c r="C742" i="2"/>
  <c r="A742" i="2"/>
  <c r="C741" i="2"/>
  <c r="A741" i="2"/>
  <c r="C740" i="2"/>
  <c r="A740" i="2"/>
  <c r="C739" i="2"/>
  <c r="A739" i="2"/>
  <c r="C738" i="2"/>
  <c r="A738" i="2"/>
  <c r="C737" i="2"/>
  <c r="A737" i="2"/>
  <c r="C736" i="2"/>
  <c r="A736" i="2"/>
  <c r="C735" i="2"/>
  <c r="A735" i="2"/>
  <c r="C734" i="2"/>
  <c r="A734" i="2"/>
  <c r="C733" i="2"/>
  <c r="A733" i="2"/>
  <c r="C732" i="2"/>
  <c r="A732" i="2"/>
  <c r="C731" i="2"/>
  <c r="A731" i="2"/>
  <c r="C730" i="2"/>
  <c r="A730" i="2"/>
  <c r="C729" i="2"/>
  <c r="A729" i="2"/>
  <c r="C728" i="2"/>
  <c r="A728" i="2"/>
  <c r="C727" i="2"/>
  <c r="A727" i="2"/>
  <c r="C726" i="2"/>
  <c r="A726" i="2"/>
  <c r="C725" i="2"/>
  <c r="A725" i="2"/>
  <c r="C724" i="2"/>
  <c r="A724" i="2"/>
  <c r="C723" i="2"/>
  <c r="A723" i="2"/>
  <c r="C722" i="2"/>
  <c r="A722" i="2"/>
  <c r="C721" i="2"/>
  <c r="A721" i="2"/>
  <c r="C720" i="2"/>
  <c r="A720" i="2"/>
  <c r="C719" i="2"/>
  <c r="A719" i="2"/>
  <c r="C718" i="2"/>
  <c r="A718" i="2"/>
  <c r="C717" i="2"/>
  <c r="A717" i="2"/>
  <c r="C716" i="2"/>
  <c r="A716" i="2"/>
  <c r="C715" i="2"/>
  <c r="A715" i="2"/>
  <c r="C714" i="2"/>
  <c r="A714" i="2"/>
  <c r="C713" i="2"/>
  <c r="A713" i="2"/>
  <c r="C712" i="2"/>
  <c r="A712" i="2"/>
  <c r="C711" i="2"/>
  <c r="A711" i="2"/>
  <c r="C710" i="2"/>
  <c r="A710" i="2"/>
  <c r="C709" i="2"/>
  <c r="A709" i="2"/>
  <c r="C708" i="2"/>
  <c r="A708" i="2"/>
  <c r="C707" i="2"/>
  <c r="A707" i="2"/>
  <c r="C706" i="2"/>
  <c r="A706" i="2"/>
  <c r="C705" i="2"/>
  <c r="A705" i="2"/>
  <c r="C704" i="2"/>
  <c r="A704" i="2"/>
  <c r="C703" i="2"/>
  <c r="A703" i="2"/>
  <c r="C702" i="2"/>
  <c r="A702" i="2"/>
  <c r="C701" i="2"/>
  <c r="A701" i="2"/>
  <c r="C700" i="2"/>
  <c r="A700" i="2"/>
  <c r="C699" i="2"/>
  <c r="A699" i="2"/>
  <c r="C698" i="2"/>
  <c r="A698" i="2"/>
  <c r="C697" i="2"/>
  <c r="A697" i="2"/>
  <c r="C696" i="2"/>
  <c r="A696" i="2"/>
  <c r="C695" i="2"/>
  <c r="A695" i="2"/>
  <c r="C694" i="2"/>
  <c r="A694" i="2"/>
  <c r="C693" i="2"/>
  <c r="A693" i="2"/>
  <c r="C692" i="2"/>
  <c r="A692" i="2"/>
  <c r="C691" i="2"/>
  <c r="A691" i="2"/>
  <c r="C690" i="2"/>
  <c r="A690" i="2"/>
  <c r="C689" i="2"/>
  <c r="A689" i="2"/>
  <c r="C688" i="2"/>
  <c r="A688" i="2"/>
  <c r="C687" i="2"/>
  <c r="A687" i="2"/>
  <c r="C686" i="2"/>
  <c r="A686" i="2"/>
  <c r="C685" i="2"/>
  <c r="A685" i="2"/>
  <c r="C684" i="2"/>
  <c r="A684" i="2"/>
  <c r="C683" i="2"/>
  <c r="A683" i="2"/>
  <c r="C682" i="2"/>
  <c r="A682" i="2"/>
  <c r="C681" i="2"/>
  <c r="A681" i="2"/>
  <c r="C680" i="2"/>
  <c r="A680" i="2"/>
  <c r="C679" i="2"/>
  <c r="A679" i="2"/>
  <c r="C678" i="2"/>
  <c r="A678" i="2"/>
  <c r="C677" i="2"/>
  <c r="A677" i="2"/>
  <c r="C676" i="2"/>
  <c r="A676" i="2"/>
  <c r="C675" i="2"/>
  <c r="A675" i="2"/>
  <c r="C674" i="2"/>
  <c r="A674" i="2"/>
  <c r="C673" i="2"/>
  <c r="A673" i="2"/>
  <c r="C672" i="2"/>
  <c r="A672" i="2"/>
  <c r="C671" i="2"/>
  <c r="A671" i="2"/>
  <c r="C670" i="2"/>
  <c r="A670" i="2"/>
  <c r="C669" i="2"/>
  <c r="A669" i="2"/>
  <c r="C668" i="2"/>
  <c r="A668" i="2"/>
  <c r="C667" i="2"/>
  <c r="A667" i="2"/>
  <c r="C666" i="2"/>
  <c r="A666" i="2"/>
  <c r="C665" i="2"/>
  <c r="A665" i="2"/>
  <c r="C664" i="2"/>
  <c r="A664" i="2"/>
  <c r="C663" i="2"/>
  <c r="A663" i="2"/>
  <c r="C662" i="2"/>
  <c r="A662" i="2"/>
  <c r="C661" i="2"/>
  <c r="A661" i="2"/>
  <c r="C660" i="2"/>
  <c r="A660" i="2"/>
  <c r="C659" i="2"/>
  <c r="A659" i="2"/>
  <c r="C658" i="2"/>
  <c r="A658" i="2"/>
  <c r="C657" i="2"/>
  <c r="A657" i="2"/>
  <c r="C656" i="2"/>
  <c r="A656" i="2"/>
  <c r="C655" i="2"/>
  <c r="A655" i="2"/>
  <c r="C654" i="2"/>
  <c r="A654" i="2"/>
  <c r="C653" i="2"/>
  <c r="A653" i="2"/>
  <c r="C652" i="2"/>
  <c r="A652" i="2"/>
  <c r="C651" i="2"/>
  <c r="A651" i="2"/>
  <c r="C650" i="2"/>
  <c r="A650" i="2"/>
  <c r="C649" i="2"/>
  <c r="A649" i="2"/>
  <c r="C648" i="2"/>
  <c r="A648" i="2"/>
  <c r="C647" i="2"/>
  <c r="A647" i="2"/>
  <c r="C646" i="2"/>
  <c r="A646" i="2"/>
  <c r="C645" i="2"/>
  <c r="A645" i="2"/>
  <c r="C644" i="2"/>
  <c r="A644" i="2"/>
  <c r="C643" i="2"/>
  <c r="A643" i="2"/>
  <c r="C642" i="2"/>
  <c r="A642" i="2"/>
  <c r="C641" i="2"/>
  <c r="A641" i="2"/>
  <c r="C640" i="2"/>
  <c r="A640" i="2"/>
  <c r="C639" i="2"/>
  <c r="A639" i="2"/>
  <c r="C638" i="2"/>
  <c r="A638" i="2"/>
  <c r="C637" i="2"/>
  <c r="A637" i="2"/>
  <c r="C636" i="2"/>
  <c r="A636" i="2"/>
  <c r="C635" i="2"/>
  <c r="A635" i="2"/>
  <c r="C634" i="2"/>
  <c r="A634" i="2"/>
  <c r="C633" i="2"/>
  <c r="A633" i="2"/>
  <c r="C632" i="2"/>
  <c r="A632" i="2"/>
  <c r="C631" i="2"/>
  <c r="A631" i="2"/>
  <c r="C630" i="2"/>
  <c r="A630" i="2"/>
  <c r="C629" i="2"/>
  <c r="A629" i="2"/>
  <c r="C628" i="2"/>
  <c r="A628" i="2"/>
  <c r="C627" i="2"/>
  <c r="A627" i="2"/>
  <c r="C626" i="2"/>
  <c r="A626" i="2"/>
  <c r="C625" i="2"/>
  <c r="A625" i="2"/>
  <c r="C624" i="2"/>
  <c r="A624" i="2"/>
  <c r="C623" i="2"/>
  <c r="A623" i="2"/>
  <c r="C622" i="2"/>
  <c r="A622" i="2"/>
  <c r="C621" i="2"/>
  <c r="A621" i="2"/>
  <c r="C620" i="2"/>
  <c r="A620" i="2"/>
  <c r="C619" i="2"/>
  <c r="A619" i="2"/>
  <c r="C618" i="2"/>
  <c r="A618" i="2"/>
  <c r="C617" i="2"/>
  <c r="A617" i="2"/>
  <c r="C616" i="2"/>
  <c r="A616" i="2"/>
  <c r="C615" i="2"/>
  <c r="A615" i="2"/>
  <c r="C614" i="2"/>
  <c r="A614" i="2"/>
  <c r="C613" i="2"/>
  <c r="A613" i="2"/>
  <c r="C612" i="2"/>
  <c r="A612" i="2"/>
  <c r="C611" i="2"/>
  <c r="A611" i="2"/>
  <c r="C610" i="2"/>
  <c r="A610" i="2"/>
  <c r="C609" i="2"/>
  <c r="A609" i="2"/>
  <c r="C608" i="2"/>
  <c r="A608" i="2"/>
  <c r="C607" i="2"/>
  <c r="A607" i="2"/>
  <c r="C606" i="2"/>
  <c r="A606" i="2"/>
  <c r="C605" i="2"/>
  <c r="A605" i="2"/>
  <c r="C604" i="2"/>
  <c r="A604" i="2"/>
  <c r="C603" i="2"/>
  <c r="A603" i="2"/>
  <c r="C602" i="2"/>
  <c r="A602" i="2"/>
  <c r="C601" i="2"/>
  <c r="A601" i="2"/>
  <c r="C600" i="2"/>
  <c r="A600" i="2"/>
  <c r="C599" i="2"/>
  <c r="A599" i="2"/>
  <c r="C598" i="2"/>
  <c r="A598" i="2"/>
  <c r="C597" i="2"/>
  <c r="A597" i="2"/>
  <c r="C596" i="2"/>
  <c r="A596" i="2"/>
  <c r="C595" i="2"/>
  <c r="A595" i="2"/>
  <c r="C594" i="2"/>
  <c r="A594" i="2"/>
  <c r="C593" i="2"/>
  <c r="A593" i="2"/>
  <c r="C592" i="2"/>
  <c r="A592" i="2"/>
  <c r="C591" i="2"/>
  <c r="A591" i="2"/>
  <c r="C590" i="2"/>
  <c r="A590" i="2"/>
  <c r="C589" i="2"/>
  <c r="A589" i="2"/>
  <c r="C588" i="2"/>
  <c r="A588" i="2"/>
  <c r="C587" i="2"/>
  <c r="A587" i="2"/>
  <c r="C586" i="2"/>
  <c r="A586" i="2"/>
  <c r="C585" i="2"/>
  <c r="A585" i="2"/>
  <c r="C584" i="2"/>
  <c r="A584" i="2"/>
  <c r="C583" i="2"/>
  <c r="A583" i="2"/>
  <c r="C582" i="2"/>
  <c r="A582" i="2"/>
  <c r="C581" i="2"/>
  <c r="A581" i="2"/>
  <c r="C580" i="2"/>
  <c r="A580" i="2"/>
  <c r="C579" i="2"/>
  <c r="A579" i="2"/>
  <c r="C578" i="2"/>
  <c r="A578" i="2"/>
  <c r="C577" i="2"/>
  <c r="A577" i="2"/>
  <c r="C576" i="2"/>
  <c r="A576" i="2"/>
  <c r="C575" i="2"/>
  <c r="A575" i="2"/>
  <c r="C574" i="2"/>
  <c r="A574" i="2"/>
  <c r="C573" i="2"/>
  <c r="A573" i="2"/>
  <c r="C572" i="2"/>
  <c r="A572" i="2"/>
  <c r="C571" i="2"/>
  <c r="A571" i="2"/>
  <c r="C570" i="2"/>
  <c r="A570" i="2"/>
  <c r="C569" i="2"/>
  <c r="A569" i="2"/>
  <c r="C568" i="2"/>
  <c r="A568" i="2"/>
  <c r="C567" i="2"/>
  <c r="A567" i="2"/>
  <c r="C566" i="2"/>
  <c r="A566" i="2"/>
  <c r="C565" i="2"/>
  <c r="A565" i="2"/>
  <c r="C564" i="2"/>
  <c r="A564" i="2"/>
  <c r="C563" i="2"/>
  <c r="A563" i="2"/>
  <c r="C562" i="2"/>
  <c r="A562" i="2"/>
  <c r="C561" i="2"/>
  <c r="A561" i="2"/>
  <c r="C560" i="2"/>
  <c r="A560" i="2"/>
  <c r="C559" i="2"/>
  <c r="A559" i="2"/>
  <c r="C558" i="2"/>
  <c r="A558" i="2"/>
  <c r="C557" i="2"/>
  <c r="A557" i="2"/>
  <c r="C556" i="2"/>
  <c r="A556" i="2"/>
  <c r="C555" i="2"/>
  <c r="A555" i="2"/>
  <c r="C554" i="2"/>
  <c r="A554" i="2"/>
  <c r="C553" i="2"/>
  <c r="A553" i="2"/>
  <c r="C552" i="2"/>
  <c r="A552" i="2"/>
  <c r="C551" i="2"/>
  <c r="A551" i="2"/>
  <c r="C550" i="2"/>
  <c r="A550" i="2"/>
  <c r="C549" i="2"/>
  <c r="A549" i="2"/>
  <c r="C548" i="2"/>
  <c r="A548" i="2"/>
  <c r="C547" i="2"/>
  <c r="A547" i="2"/>
  <c r="C546" i="2"/>
  <c r="A546" i="2"/>
  <c r="C545" i="2"/>
  <c r="A545" i="2"/>
  <c r="C544" i="2"/>
  <c r="A544" i="2"/>
  <c r="C543" i="2"/>
  <c r="A543" i="2"/>
  <c r="C542" i="2"/>
  <c r="A542" i="2"/>
  <c r="C541" i="2"/>
  <c r="A541" i="2"/>
  <c r="C540" i="2"/>
  <c r="A540" i="2"/>
  <c r="C539" i="2"/>
  <c r="A539" i="2"/>
  <c r="C538" i="2"/>
  <c r="A538" i="2"/>
  <c r="C537" i="2"/>
  <c r="A537" i="2"/>
  <c r="C536" i="2"/>
  <c r="A536" i="2"/>
  <c r="C535" i="2"/>
  <c r="A535" i="2"/>
  <c r="C534" i="2"/>
  <c r="A534" i="2"/>
  <c r="C533" i="2"/>
  <c r="A533" i="2"/>
  <c r="C532" i="2"/>
  <c r="A532" i="2"/>
  <c r="C531" i="2"/>
  <c r="A531" i="2"/>
  <c r="C530" i="2"/>
  <c r="A530" i="2"/>
  <c r="C529" i="2"/>
  <c r="A529" i="2"/>
  <c r="C528" i="2"/>
  <c r="A528" i="2"/>
  <c r="C527" i="2"/>
  <c r="A527" i="2"/>
  <c r="C526" i="2"/>
  <c r="A526" i="2"/>
  <c r="C525" i="2"/>
  <c r="A525" i="2"/>
  <c r="C524" i="2"/>
  <c r="A524" i="2"/>
  <c r="C523" i="2"/>
  <c r="A523" i="2"/>
  <c r="C522" i="2"/>
  <c r="A522" i="2"/>
  <c r="C521" i="2"/>
  <c r="A521" i="2"/>
  <c r="C520" i="2"/>
  <c r="A520" i="2"/>
  <c r="C519" i="2"/>
  <c r="A519" i="2"/>
  <c r="C518" i="2"/>
  <c r="A518" i="2"/>
  <c r="C517" i="2"/>
  <c r="A517" i="2"/>
  <c r="C516" i="2"/>
  <c r="A516" i="2"/>
  <c r="C515" i="2"/>
  <c r="A515" i="2"/>
  <c r="C514" i="2"/>
  <c r="A514" i="2"/>
  <c r="C513" i="2"/>
  <c r="A513" i="2"/>
  <c r="C512" i="2"/>
  <c r="A512" i="2"/>
  <c r="C511" i="2"/>
  <c r="A511" i="2"/>
  <c r="C510" i="2"/>
  <c r="A510" i="2"/>
  <c r="C509" i="2"/>
  <c r="A509" i="2"/>
  <c r="C508" i="2"/>
  <c r="A508" i="2"/>
  <c r="C507" i="2"/>
  <c r="A507" i="2"/>
  <c r="C506" i="2"/>
  <c r="A506" i="2"/>
  <c r="C505" i="2"/>
  <c r="A505" i="2"/>
  <c r="C504" i="2"/>
  <c r="A504" i="2"/>
  <c r="C503" i="2"/>
  <c r="A503" i="2"/>
  <c r="C502" i="2"/>
  <c r="A502" i="2"/>
  <c r="C501" i="2"/>
  <c r="A501" i="2"/>
  <c r="C500" i="2"/>
  <c r="A500" i="2"/>
  <c r="C499" i="2"/>
  <c r="A499" i="2"/>
  <c r="C498" i="2"/>
  <c r="A498" i="2"/>
  <c r="C497" i="2"/>
  <c r="A497" i="2"/>
  <c r="C496" i="2"/>
  <c r="A496" i="2"/>
  <c r="C495" i="2"/>
  <c r="A495" i="2"/>
  <c r="C494" i="2"/>
  <c r="A494" i="2"/>
  <c r="C493" i="2"/>
  <c r="A493" i="2"/>
  <c r="C492" i="2"/>
  <c r="A492" i="2"/>
  <c r="C491" i="2"/>
  <c r="A491" i="2"/>
  <c r="C490" i="2"/>
  <c r="A490" i="2"/>
  <c r="C489" i="2"/>
  <c r="A489" i="2"/>
  <c r="C488" i="2"/>
  <c r="A488" i="2"/>
  <c r="C487" i="2"/>
  <c r="A487" i="2"/>
  <c r="C486" i="2"/>
  <c r="A486" i="2"/>
  <c r="C485" i="2"/>
  <c r="A485" i="2"/>
  <c r="C484" i="2"/>
  <c r="A484" i="2"/>
  <c r="C483" i="2"/>
  <c r="A483" i="2"/>
  <c r="C482" i="2"/>
  <c r="A482" i="2"/>
  <c r="C481" i="2"/>
  <c r="A481" i="2"/>
  <c r="C480" i="2"/>
  <c r="A480" i="2"/>
  <c r="C479" i="2"/>
  <c r="A479" i="2"/>
  <c r="C478" i="2"/>
  <c r="A478" i="2"/>
  <c r="C477" i="2"/>
  <c r="A477" i="2"/>
  <c r="C476" i="2"/>
  <c r="A476" i="2"/>
  <c r="C475" i="2"/>
  <c r="A475" i="2"/>
  <c r="C474" i="2"/>
  <c r="A474" i="2"/>
  <c r="C473" i="2"/>
  <c r="A473" i="2"/>
  <c r="C472" i="2"/>
  <c r="A472" i="2"/>
  <c r="C471" i="2"/>
  <c r="A471" i="2"/>
  <c r="C470" i="2"/>
  <c r="A470" i="2"/>
  <c r="C469" i="2"/>
  <c r="A469" i="2"/>
  <c r="C468" i="2"/>
  <c r="A468" i="2"/>
  <c r="C467" i="2"/>
  <c r="A467" i="2"/>
  <c r="C466" i="2"/>
  <c r="A466" i="2"/>
  <c r="C465" i="2"/>
  <c r="A465" i="2"/>
  <c r="C464" i="2"/>
  <c r="A464" i="2"/>
  <c r="C463" i="2"/>
  <c r="A463" i="2"/>
  <c r="C462" i="2"/>
  <c r="A462" i="2"/>
  <c r="C461" i="2"/>
  <c r="A461" i="2"/>
  <c r="C460" i="2"/>
  <c r="A460" i="2"/>
  <c r="C459" i="2"/>
  <c r="A459" i="2"/>
  <c r="C458" i="2"/>
  <c r="A458" i="2"/>
  <c r="C457" i="2"/>
  <c r="A457" i="2"/>
  <c r="C456" i="2"/>
  <c r="A456" i="2"/>
  <c r="C455" i="2"/>
  <c r="A455" i="2"/>
  <c r="C454" i="2"/>
  <c r="A454" i="2"/>
  <c r="C453" i="2"/>
  <c r="A453" i="2"/>
  <c r="C452" i="2"/>
  <c r="A452" i="2"/>
  <c r="C451" i="2"/>
  <c r="A451" i="2"/>
  <c r="C450" i="2"/>
  <c r="A450" i="2"/>
  <c r="C449" i="2"/>
  <c r="A449" i="2"/>
  <c r="C448" i="2"/>
  <c r="A448" i="2"/>
  <c r="C447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9" i="2"/>
  <c r="A439" i="2"/>
  <c r="C438" i="2"/>
  <c r="A438" i="2"/>
  <c r="C437" i="2"/>
  <c r="A437" i="2"/>
  <c r="C436" i="2"/>
  <c r="A436" i="2"/>
  <c r="C435" i="2"/>
  <c r="A435" i="2"/>
  <c r="C434" i="2"/>
  <c r="A434" i="2"/>
  <c r="C433" i="2"/>
  <c r="A433" i="2"/>
  <c r="C432" i="2"/>
  <c r="A432" i="2"/>
  <c r="C431" i="2"/>
  <c r="A431" i="2"/>
  <c r="C430" i="2"/>
  <c r="A430" i="2"/>
  <c r="C429" i="2"/>
  <c r="A429" i="2"/>
  <c r="C428" i="2"/>
  <c r="A428" i="2"/>
  <c r="C427" i="2"/>
  <c r="A427" i="2"/>
  <c r="C426" i="2"/>
  <c r="A426" i="2"/>
  <c r="C425" i="2"/>
  <c r="A425" i="2"/>
  <c r="C424" i="2"/>
  <c r="A424" i="2"/>
  <c r="C423" i="2"/>
  <c r="A423" i="2"/>
  <c r="C422" i="2"/>
  <c r="A422" i="2"/>
  <c r="C421" i="2"/>
  <c r="A421" i="2"/>
  <c r="C420" i="2"/>
  <c r="A420" i="2"/>
  <c r="C419" i="2"/>
  <c r="A419" i="2"/>
  <c r="C418" i="2"/>
  <c r="A418" i="2"/>
  <c r="C417" i="2"/>
  <c r="A417" i="2"/>
  <c r="C416" i="2"/>
  <c r="A416" i="2"/>
  <c r="C415" i="2"/>
  <c r="A415" i="2"/>
  <c r="C414" i="2"/>
  <c r="A414" i="2"/>
  <c r="C413" i="2"/>
  <c r="A413" i="2"/>
  <c r="C412" i="2"/>
  <c r="A412" i="2"/>
  <c r="C411" i="2"/>
  <c r="A411" i="2"/>
  <c r="C410" i="2"/>
  <c r="A410" i="2"/>
  <c r="C409" i="2"/>
  <c r="A409" i="2"/>
  <c r="C408" i="2"/>
  <c r="A408" i="2"/>
  <c r="C407" i="2"/>
  <c r="A407" i="2"/>
  <c r="C406" i="2"/>
  <c r="A406" i="2"/>
  <c r="C405" i="2"/>
  <c r="A405" i="2"/>
  <c r="C404" i="2"/>
  <c r="A404" i="2"/>
  <c r="C403" i="2"/>
  <c r="A403" i="2"/>
  <c r="C402" i="2"/>
  <c r="A402" i="2"/>
  <c r="C401" i="2"/>
  <c r="A401" i="2"/>
  <c r="C400" i="2"/>
  <c r="A400" i="2"/>
  <c r="C399" i="2"/>
  <c r="A399" i="2"/>
  <c r="C398" i="2"/>
  <c r="A398" i="2"/>
  <c r="C397" i="2"/>
  <c r="A397" i="2"/>
  <c r="C396" i="2"/>
  <c r="A396" i="2"/>
  <c r="C395" i="2"/>
  <c r="A395" i="2"/>
  <c r="C394" i="2"/>
  <c r="A394" i="2"/>
  <c r="C393" i="2"/>
  <c r="A393" i="2"/>
  <c r="C392" i="2"/>
  <c r="A392" i="2"/>
  <c r="C391" i="2"/>
  <c r="A391" i="2"/>
  <c r="C390" i="2"/>
  <c r="A390" i="2"/>
  <c r="C389" i="2"/>
  <c r="A389" i="2"/>
  <c r="C388" i="2"/>
  <c r="A388" i="2"/>
  <c r="C387" i="2"/>
  <c r="A387" i="2"/>
  <c r="C386" i="2"/>
  <c r="A386" i="2"/>
  <c r="C385" i="2"/>
  <c r="A385" i="2"/>
  <c r="C384" i="2"/>
  <c r="A384" i="2"/>
  <c r="C383" i="2"/>
  <c r="A383" i="2"/>
  <c r="C382" i="2"/>
  <c r="A382" i="2"/>
  <c r="C381" i="2"/>
  <c r="A381" i="2"/>
  <c r="C380" i="2"/>
  <c r="A380" i="2"/>
  <c r="C379" i="2"/>
  <c r="A379" i="2"/>
  <c r="C378" i="2"/>
  <c r="A378" i="2"/>
  <c r="C377" i="2"/>
  <c r="A377" i="2"/>
  <c r="C376" i="2"/>
  <c r="A376" i="2"/>
  <c r="C375" i="2"/>
  <c r="A375" i="2"/>
  <c r="C374" i="2"/>
  <c r="A374" i="2"/>
  <c r="C373" i="2"/>
  <c r="A373" i="2"/>
  <c r="C372" i="2"/>
  <c r="A372" i="2"/>
  <c r="C371" i="2"/>
  <c r="A371" i="2"/>
  <c r="C370" i="2"/>
  <c r="A370" i="2"/>
  <c r="C369" i="2"/>
  <c r="A369" i="2"/>
  <c r="C368" i="2"/>
  <c r="A368" i="2"/>
  <c r="C367" i="2"/>
  <c r="A367" i="2"/>
  <c r="C366" i="2"/>
  <c r="A366" i="2"/>
  <c r="C365" i="2"/>
  <c r="A365" i="2"/>
  <c r="C364" i="2"/>
  <c r="A364" i="2"/>
  <c r="C363" i="2"/>
  <c r="A363" i="2"/>
  <c r="C362" i="2"/>
  <c r="A362" i="2"/>
  <c r="C361" i="2"/>
  <c r="A361" i="2"/>
  <c r="C360" i="2"/>
  <c r="A360" i="2"/>
  <c r="C359" i="2"/>
  <c r="A359" i="2"/>
  <c r="C358" i="2"/>
  <c r="A358" i="2"/>
  <c r="C357" i="2"/>
  <c r="A357" i="2"/>
  <c r="C356" i="2"/>
  <c r="A356" i="2"/>
  <c r="C355" i="2"/>
  <c r="A355" i="2"/>
  <c r="C354" i="2"/>
  <c r="A354" i="2"/>
  <c r="C353" i="2"/>
  <c r="A353" i="2"/>
  <c r="C352" i="2"/>
  <c r="A352" i="2"/>
  <c r="C351" i="2"/>
  <c r="A351" i="2"/>
  <c r="C350" i="2"/>
  <c r="A350" i="2"/>
  <c r="C349" i="2"/>
  <c r="A349" i="2"/>
  <c r="C348" i="2"/>
  <c r="A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C275" i="2"/>
  <c r="A275" i="2"/>
  <c r="C274" i="2"/>
  <c r="A274" i="2"/>
  <c r="C273" i="2"/>
  <c r="A273" i="2"/>
  <c r="C272" i="2"/>
  <c r="A272" i="2"/>
  <c r="C271" i="2"/>
  <c r="A271" i="2"/>
  <c r="C270" i="2"/>
  <c r="A270" i="2"/>
  <c r="C269" i="2"/>
  <c r="A269" i="2"/>
  <c r="C268" i="2"/>
  <c r="A268" i="2"/>
  <c r="C267" i="2"/>
  <c r="A267" i="2"/>
  <c r="C266" i="2"/>
  <c r="A266" i="2"/>
  <c r="C265" i="2"/>
  <c r="A265" i="2"/>
  <c r="C264" i="2"/>
  <c r="A264" i="2"/>
  <c r="C263" i="2"/>
  <c r="A263" i="2"/>
  <c r="C262" i="2"/>
  <c r="A262" i="2"/>
  <c r="C261" i="2"/>
  <c r="A261" i="2"/>
  <c r="C260" i="2"/>
  <c r="A260" i="2"/>
  <c r="C259" i="2"/>
  <c r="A259" i="2"/>
  <c r="C258" i="2"/>
  <c r="A258" i="2"/>
  <c r="C257" i="2"/>
  <c r="A257" i="2"/>
  <c r="C256" i="2"/>
  <c r="A256" i="2"/>
  <c r="C255" i="2"/>
  <c r="A255" i="2"/>
  <c r="C254" i="2"/>
  <c r="A254" i="2"/>
  <c r="C253" i="2"/>
  <c r="A253" i="2"/>
  <c r="C252" i="2"/>
  <c r="A252" i="2"/>
  <c r="C251" i="2"/>
  <c r="A251" i="2"/>
  <c r="C250" i="2"/>
  <c r="A250" i="2"/>
  <c r="C249" i="2"/>
  <c r="A249" i="2"/>
  <c r="C248" i="2"/>
  <c r="A248" i="2"/>
  <c r="C247" i="2"/>
  <c r="A247" i="2"/>
  <c r="C246" i="2"/>
  <c r="A246" i="2"/>
  <c r="C245" i="2"/>
  <c r="A245" i="2"/>
  <c r="C244" i="2"/>
  <c r="A244" i="2"/>
  <c r="C243" i="2"/>
  <c r="A243" i="2"/>
  <c r="C242" i="2"/>
  <c r="A242" i="2"/>
  <c r="C241" i="2"/>
  <c r="A241" i="2"/>
  <c r="C240" i="2"/>
  <c r="A240" i="2"/>
  <c r="C239" i="2"/>
  <c r="A239" i="2"/>
  <c r="C238" i="2"/>
  <c r="A238" i="2"/>
  <c r="C237" i="2"/>
  <c r="A237" i="2"/>
  <c r="C236" i="2"/>
  <c r="A236" i="2"/>
  <c r="C235" i="2"/>
  <c r="A235" i="2"/>
  <c r="C234" i="2"/>
  <c r="A234" i="2"/>
  <c r="C233" i="2"/>
  <c r="A23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C222" i="2"/>
  <c r="A222" i="2"/>
  <c r="C221" i="2"/>
  <c r="A221" i="2"/>
  <c r="C220" i="2"/>
  <c r="A220" i="2"/>
  <c r="C219" i="2"/>
  <c r="A219" i="2"/>
  <c r="C218" i="2"/>
  <c r="A218" i="2"/>
  <c r="C217" i="2"/>
  <c r="A217" i="2"/>
  <c r="C216" i="2"/>
  <c r="A216" i="2"/>
  <c r="C215" i="2"/>
  <c r="A215" i="2"/>
  <c r="C214" i="2"/>
  <c r="A214" i="2"/>
  <c r="C213" i="2"/>
  <c r="A213" i="2"/>
  <c r="C212" i="2"/>
  <c r="A212" i="2"/>
  <c r="C211" i="2"/>
  <c r="A211" i="2"/>
  <c r="C210" i="2"/>
  <c r="A210" i="2"/>
  <c r="C209" i="2"/>
  <c r="A209" i="2"/>
  <c r="C208" i="2"/>
  <c r="A208" i="2"/>
  <c r="C207" i="2"/>
  <c r="A207" i="2"/>
  <c r="C206" i="2"/>
  <c r="A206" i="2"/>
  <c r="C205" i="2"/>
  <c r="A205" i="2"/>
  <c r="C204" i="2"/>
  <c r="A204" i="2"/>
  <c r="C203" i="2"/>
  <c r="A203" i="2"/>
  <c r="C202" i="2"/>
  <c r="A202" i="2"/>
  <c r="C201" i="2"/>
  <c r="A201" i="2"/>
  <c r="C200" i="2"/>
  <c r="A200" i="2"/>
  <c r="C199" i="2"/>
  <c r="A199" i="2"/>
  <c r="C198" i="2"/>
  <c r="A198" i="2"/>
  <c r="C197" i="2"/>
  <c r="A197" i="2"/>
  <c r="C196" i="2"/>
  <c r="A196" i="2"/>
  <c r="C195" i="2"/>
  <c r="A195" i="2"/>
  <c r="C194" i="2"/>
  <c r="A194" i="2"/>
  <c r="C193" i="2"/>
  <c r="A193" i="2"/>
  <c r="C192" i="2"/>
  <c r="A192" i="2"/>
  <c r="C191" i="2"/>
  <c r="A191" i="2"/>
  <c r="C190" i="2"/>
  <c r="A190" i="2"/>
  <c r="C189" i="2"/>
  <c r="A189" i="2"/>
  <c r="C188" i="2"/>
  <c r="A188" i="2"/>
  <c r="C187" i="2"/>
  <c r="A187" i="2"/>
  <c r="C186" i="2"/>
  <c r="A186" i="2"/>
  <c r="C185" i="2"/>
  <c r="A185" i="2"/>
  <c r="C184" i="2"/>
  <c r="A184" i="2"/>
  <c r="C183" i="2"/>
  <c r="A183" i="2"/>
  <c r="C182" i="2"/>
  <c r="A182" i="2"/>
  <c r="C181" i="2"/>
  <c r="A181" i="2"/>
  <c r="C180" i="2"/>
  <c r="A180" i="2"/>
  <c r="C179" i="2"/>
  <c r="A179" i="2"/>
  <c r="C178" i="2"/>
  <c r="A178" i="2"/>
  <c r="C177" i="2"/>
  <c r="A177" i="2"/>
  <c r="C176" i="2"/>
  <c r="A176" i="2"/>
  <c r="C175" i="2"/>
  <c r="A175" i="2"/>
  <c r="C174" i="2"/>
  <c r="A174" i="2"/>
  <c r="C173" i="2"/>
  <c r="A173" i="2"/>
  <c r="C172" i="2"/>
  <c r="A172" i="2"/>
  <c r="C171" i="2"/>
  <c r="A171" i="2"/>
  <c r="C170" i="2"/>
  <c r="A170" i="2"/>
  <c r="C169" i="2"/>
  <c r="A169" i="2"/>
  <c r="C168" i="2"/>
  <c r="A168" i="2"/>
  <c r="C167" i="2"/>
  <c r="A167" i="2"/>
  <c r="C166" i="2"/>
  <c r="A166" i="2"/>
  <c r="C165" i="2"/>
  <c r="A165" i="2"/>
  <c r="C164" i="2"/>
  <c r="A164" i="2"/>
  <c r="C163" i="2"/>
  <c r="A163" i="2"/>
  <c r="C162" i="2"/>
  <c r="A162" i="2"/>
  <c r="C161" i="2"/>
  <c r="A161" i="2"/>
  <c r="C160" i="2"/>
  <c r="A160" i="2"/>
  <c r="C159" i="2"/>
  <c r="A159" i="2"/>
  <c r="C158" i="2"/>
  <c r="A158" i="2"/>
  <c r="C157" i="2"/>
  <c r="A157" i="2"/>
  <c r="C156" i="2"/>
  <c r="A156" i="2"/>
  <c r="C155" i="2"/>
  <c r="A155" i="2"/>
  <c r="C154" i="2"/>
  <c r="A154" i="2"/>
  <c r="C153" i="2"/>
  <c r="A153" i="2"/>
  <c r="C152" i="2"/>
  <c r="A152" i="2"/>
  <c r="C151" i="2"/>
  <c r="A151" i="2"/>
  <c r="C150" i="2"/>
  <c r="A150" i="2"/>
  <c r="C149" i="2"/>
  <c r="A149" i="2"/>
  <c r="C148" i="2"/>
  <c r="A148" i="2"/>
  <c r="C147" i="2"/>
  <c r="A147" i="2"/>
  <c r="C146" i="2"/>
  <c r="A146" i="2"/>
  <c r="C145" i="2"/>
  <c r="A145" i="2"/>
  <c r="C144" i="2"/>
  <c r="A144" i="2"/>
  <c r="C143" i="2"/>
  <c r="A143" i="2"/>
  <c r="C142" i="2"/>
  <c r="A142" i="2"/>
  <c r="C141" i="2"/>
  <c r="A141" i="2"/>
  <c r="C140" i="2"/>
  <c r="A140" i="2"/>
  <c r="C139" i="2"/>
  <c r="A139" i="2"/>
  <c r="C138" i="2"/>
  <c r="A138" i="2"/>
  <c r="C137" i="2"/>
  <c r="A137" i="2"/>
  <c r="C136" i="2"/>
  <c r="A136" i="2"/>
  <c r="C135" i="2"/>
  <c r="A135" i="2"/>
  <c r="C134" i="2"/>
  <c r="A134" i="2"/>
  <c r="C133" i="2"/>
  <c r="A133" i="2"/>
  <c r="C132" i="2"/>
  <c r="A132" i="2"/>
  <c r="C131" i="2"/>
  <c r="A131" i="2"/>
  <c r="C130" i="2"/>
  <c r="A130" i="2"/>
  <c r="C129" i="2"/>
  <c r="A129" i="2"/>
  <c r="C128" i="2"/>
  <c r="A128" i="2"/>
  <c r="C127" i="2"/>
  <c r="A127" i="2"/>
  <c r="C126" i="2"/>
  <c r="A126" i="2"/>
  <c r="C125" i="2"/>
  <c r="A125" i="2"/>
  <c r="C124" i="2"/>
  <c r="A124" i="2"/>
  <c r="C123" i="2"/>
  <c r="A123" i="2"/>
  <c r="C122" i="2"/>
  <c r="A122" i="2"/>
  <c r="C121" i="2"/>
  <c r="A121" i="2"/>
  <c r="C120" i="2"/>
  <c r="A120" i="2"/>
  <c r="C119" i="2"/>
  <c r="A119" i="2"/>
  <c r="C118" i="2"/>
  <c r="A118" i="2"/>
  <c r="C117" i="2"/>
  <c r="A117" i="2"/>
  <c r="C116" i="2"/>
  <c r="A116" i="2"/>
  <c r="C115" i="2"/>
  <c r="A115" i="2"/>
  <c r="C114" i="2"/>
  <c r="A114" i="2"/>
  <c r="C113" i="2"/>
  <c r="A113" i="2"/>
  <c r="C112" i="2"/>
  <c r="A112" i="2"/>
  <c r="C111" i="2"/>
  <c r="A111" i="2"/>
  <c r="C110" i="2"/>
  <c r="A110" i="2"/>
  <c r="C109" i="2"/>
  <c r="A109" i="2"/>
  <c r="C108" i="2"/>
  <c r="A108" i="2"/>
  <c r="C107" i="2"/>
  <c r="A107" i="2"/>
  <c r="C106" i="2"/>
  <c r="A106" i="2"/>
  <c r="C105" i="2"/>
  <c r="A105" i="2"/>
  <c r="C104" i="2"/>
  <c r="A104" i="2"/>
  <c r="C103" i="2"/>
  <c r="A103" i="2"/>
  <c r="C102" i="2"/>
  <c r="A102" i="2"/>
  <c r="C101" i="2"/>
  <c r="A101" i="2"/>
  <c r="C100" i="2"/>
  <c r="A100" i="2"/>
  <c r="C99" i="2"/>
  <c r="A99" i="2"/>
  <c r="C98" i="2"/>
  <c r="A98" i="2"/>
  <c r="C97" i="2"/>
  <c r="A97" i="2"/>
  <c r="C96" i="2"/>
  <c r="A96" i="2"/>
  <c r="C95" i="2"/>
  <c r="A95" i="2"/>
  <c r="C94" i="2"/>
  <c r="A94" i="2"/>
  <c r="C93" i="2"/>
  <c r="A93" i="2"/>
  <c r="C92" i="2"/>
  <c r="A92" i="2"/>
  <c r="C91" i="2"/>
  <c r="A91" i="2"/>
  <c r="C90" i="2"/>
  <c r="A90" i="2"/>
  <c r="C89" i="2"/>
  <c r="A89" i="2"/>
  <c r="C88" i="2"/>
  <c r="A88" i="2"/>
  <c r="C87" i="2"/>
  <c r="A87" i="2"/>
  <c r="C86" i="2"/>
  <c r="A86" i="2"/>
  <c r="C85" i="2"/>
  <c r="A85" i="2"/>
  <c r="C84" i="2"/>
  <c r="A84" i="2"/>
  <c r="C83" i="2"/>
  <c r="A83" i="2"/>
  <c r="C82" i="2"/>
  <c r="A82" i="2"/>
  <c r="C81" i="2"/>
  <c r="A81" i="2"/>
  <c r="C80" i="2"/>
  <c r="A80" i="2"/>
  <c r="C79" i="2"/>
  <c r="A79" i="2"/>
  <c r="C78" i="2"/>
  <c r="A78" i="2"/>
  <c r="C77" i="2"/>
  <c r="A77" i="2"/>
  <c r="C76" i="2"/>
  <c r="A76" i="2"/>
  <c r="C75" i="2"/>
  <c r="A75" i="2"/>
  <c r="C74" i="2"/>
  <c r="A74" i="2"/>
  <c r="C73" i="2"/>
  <c r="A73" i="2"/>
  <c r="C72" i="2"/>
  <c r="A72" i="2"/>
  <c r="C71" i="2"/>
  <c r="A71" i="2"/>
  <c r="C70" i="2"/>
  <c r="A70" i="2"/>
  <c r="C69" i="2"/>
  <c r="A69" i="2"/>
  <c r="C68" i="2"/>
  <c r="A68" i="2"/>
  <c r="C67" i="2"/>
  <c r="A67" i="2"/>
  <c r="C66" i="2"/>
  <c r="A66" i="2"/>
  <c r="C65" i="2"/>
  <c r="A65" i="2"/>
  <c r="C64" i="2"/>
  <c r="A64" i="2"/>
  <c r="C63" i="2"/>
  <c r="A63" i="2"/>
  <c r="C62" i="2"/>
  <c r="A62" i="2"/>
  <c r="C61" i="2"/>
  <c r="A61" i="2"/>
  <c r="C60" i="2"/>
  <c r="A60" i="2"/>
  <c r="C59" i="2"/>
  <c r="A59" i="2"/>
  <c r="C58" i="2"/>
  <c r="A58" i="2"/>
  <c r="C57" i="2"/>
  <c r="A57" i="2"/>
  <c r="C56" i="2"/>
  <c r="A56" i="2"/>
  <c r="C55" i="2"/>
  <c r="A55" i="2"/>
  <c r="C54" i="2"/>
  <c r="A54" i="2"/>
  <c r="C53" i="2"/>
  <c r="A53" i="2"/>
  <c r="C52" i="2"/>
  <c r="A52" i="2"/>
  <c r="C51" i="2"/>
  <c r="A51" i="2"/>
  <c r="C50" i="2"/>
  <c r="A50" i="2"/>
  <c r="C49" i="2"/>
  <c r="A49" i="2"/>
  <c r="C48" i="2"/>
  <c r="A48" i="2"/>
  <c r="C47" i="2"/>
  <c r="A47" i="2"/>
  <c r="C46" i="2"/>
  <c r="A46" i="2"/>
  <c r="C45" i="2"/>
  <c r="A45" i="2"/>
  <c r="C44" i="2"/>
  <c r="A44" i="2"/>
  <c r="C43" i="2"/>
  <c r="A43" i="2"/>
  <c r="C42" i="2"/>
  <c r="A42" i="2"/>
  <c r="C41" i="2"/>
  <c r="A41" i="2"/>
  <c r="C40" i="2"/>
  <c r="A40" i="2"/>
  <c r="C39" i="2"/>
  <c r="A39" i="2"/>
  <c r="C38" i="2"/>
  <c r="A38" i="2"/>
  <c r="C37" i="2"/>
  <c r="A37" i="2"/>
  <c r="C36" i="2"/>
  <c r="A36" i="2"/>
  <c r="C35" i="2"/>
  <c r="A35" i="2"/>
  <c r="C34" i="2"/>
  <c r="A34" i="2"/>
  <c r="C33" i="2"/>
  <c r="A33" i="2"/>
  <c r="C32" i="2"/>
  <c r="A32" i="2"/>
  <c r="C31" i="2"/>
  <c r="A31" i="2"/>
  <c r="C30" i="2"/>
  <c r="A30" i="2"/>
  <c r="C29" i="2"/>
  <c r="A29" i="2"/>
  <c r="C28" i="2"/>
  <c r="A28" i="2"/>
  <c r="C27" i="2"/>
  <c r="A27" i="2"/>
  <c r="C26" i="2"/>
  <c r="A26" i="2"/>
  <c r="C25" i="2"/>
  <c r="A25" i="2"/>
  <c r="C24" i="2"/>
  <c r="A24" i="2"/>
  <c r="C23" i="2"/>
  <c r="A23" i="2"/>
  <c r="C22" i="2"/>
  <c r="A22" i="2"/>
  <c r="C21" i="2"/>
  <c r="A21" i="2"/>
  <c r="C20" i="2"/>
  <c r="A20" i="2"/>
  <c r="C19" i="2"/>
  <c r="A19" i="2"/>
  <c r="C18" i="2"/>
  <c r="A18" i="2"/>
  <c r="C17" i="2"/>
  <c r="A17" i="2"/>
  <c r="C16" i="2"/>
  <c r="A16" i="2"/>
  <c r="C15" i="2"/>
  <c r="A15" i="2"/>
  <c r="C14" i="2"/>
  <c r="A14" i="2"/>
  <c r="C13" i="2"/>
  <c r="A13" i="2"/>
  <c r="C12" i="2"/>
  <c r="A12" i="2"/>
  <c r="C11" i="2"/>
  <c r="A11" i="2"/>
  <c r="C10" i="2"/>
  <c r="A10" i="2"/>
  <c r="C9" i="2"/>
  <c r="A9" i="2"/>
  <c r="C8" i="2"/>
  <c r="A8" i="2"/>
  <c r="C7" i="2"/>
  <c r="A7" i="2"/>
  <c r="C6" i="2"/>
  <c r="A6" i="2"/>
  <c r="C5" i="2"/>
  <c r="A5" i="2"/>
  <c r="C4" i="2"/>
  <c r="A4" i="2"/>
  <c r="C3" i="2"/>
  <c r="A3" i="2"/>
  <c r="D1" i="2"/>
  <c r="G19" i="9" l="1"/>
  <c r="G19" i="4"/>
  <c r="I2" i="4" s="1"/>
  <c r="D24" i="4"/>
  <c r="K1" i="7"/>
  <c r="U1" i="8"/>
  <c r="L1" i="7"/>
</calcChain>
</file>

<file path=xl/sharedStrings.xml><?xml version="1.0" encoding="utf-8"?>
<sst xmlns="http://schemas.openxmlformats.org/spreadsheetml/2006/main" count="174" uniqueCount="88">
  <si>
    <t>Subcontract Change Order</t>
  </si>
  <si>
    <t>Project:</t>
  </si>
  <si>
    <t>Owner:</t>
  </si>
  <si>
    <t>Owner's Change Order No.</t>
  </si>
  <si>
    <t>Subcontract Number:</t>
  </si>
  <si>
    <t>Subcontractor:</t>
  </si>
  <si>
    <t>Change Order Number:</t>
  </si>
  <si>
    <t>Phase Number:</t>
  </si>
  <si>
    <t>You are hereby authorized to make the following additions and/or deductions to your contract</t>
  </si>
  <si>
    <t>Previous Contract</t>
  </si>
  <si>
    <t>Increase</t>
  </si>
  <si>
    <t>Decrease</t>
  </si>
  <si>
    <t>Net Change</t>
  </si>
  <si>
    <t>Revised Contract</t>
  </si>
  <si>
    <t>Amount</t>
  </si>
  <si>
    <t>Please return 2 copies of this change order to:</t>
  </si>
  <si>
    <t>Description of Change:</t>
  </si>
  <si>
    <t>Add</t>
  </si>
  <si>
    <t>Deduct</t>
  </si>
  <si>
    <t>Totals</t>
  </si>
  <si>
    <t>ACCEPTED:</t>
  </si>
  <si>
    <t>APPROVED:</t>
  </si>
  <si>
    <t>Your Company Name</t>
  </si>
  <si>
    <t>Sub-Contractor</t>
  </si>
  <si>
    <t>By:</t>
  </si>
  <si>
    <t>John Smith</t>
  </si>
  <si>
    <t>Title:</t>
  </si>
  <si>
    <t>Date:</t>
  </si>
  <si>
    <t xml:space="preserve">Title: </t>
  </si>
  <si>
    <t>Log 11</t>
  </si>
  <si>
    <t>Log 12</t>
  </si>
  <si>
    <t>Update 1</t>
  </si>
  <si>
    <t>Update 2</t>
  </si>
  <si>
    <t>Update 3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</si>
  <si>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</si>
  <si>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</si>
  <si>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</si>
  <si>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</si>
  <si>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</si>
  <si>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</si>
  <si>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</si>
  <si>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</si>
  <si>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</si>
  <si>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</si>
  <si>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</si>
  <si>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</si>
  <si>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</si>
  <si>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</si>
  <si>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Email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</si>
  <si>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</si>
  <si>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</si>
  <si>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</si>
  <si>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</si>
  <si>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</si>
  <si>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</si>
  <si>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</si>
  <si>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 xml:space="preserve"> Project Name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</si>
  <si>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</si>
  <si>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</si>
  <si>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</si>
  <si>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</si>
  <si>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</si>
  <si>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</si>
  <si>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</si>
  <si>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</si>
  <si>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</si>
  <si>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</si>
  <si>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</si>
  <si>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</si>
  <si>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</si>
  <si>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</si>
  <si>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</si>
  <si>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</si>
  <si>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</si>
  <si>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</si>
  <si>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</si>
  <si>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</si>
  <si>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</si>
  <si>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</si>
  <si>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Example Supplier/Vendor</t>
  </si>
  <si>
    <t>(555) 555-1733</t>
  </si>
  <si>
    <t>(555) 555-9790</t>
  </si>
  <si>
    <t>440 North Industrial Drive</t>
  </si>
  <si>
    <t>mjordan@examplesupplier.com</t>
  </si>
  <si>
    <t>Subcontractor Change Order Log</t>
  </si>
  <si>
    <t>JOB</t>
  </si>
  <si>
    <t>A/E: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</si>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</sst>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;@"/>
  </numFmts>
  <fonts count="28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6"/>
      <name val="Monotype Corsiva"/>
      <family val="4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  <font>
      <b/>
      <sz val="18"/>
      <name val="Arial"/>
      <family val="2"/>
    </font>
    <font>
      <u/>
      <sz val="11"/>
      <color theme="10"/>
      <name val="Aptos Narrow"/>
      <family val="2"/>
      <scheme val="minor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sz val="8"/>
      <name val="Arial"/>
      <family val="2"/>
    </font>
    <font>
      <b/>
      <u/>
      <sz val="12"/>
      <color rgb="FF0066CC"/>
      <name val="Aptos Narrow"/>
      <family val="2"/>
      <scheme val="minor"/>
    </font>
    <font>
      <b/>
      <u/>
      <sz val="10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7">
    <xf numFmtId="0" fontId="0" fillId="0" borderId="0" xfId="0"/>
    <xf numFmtId="164" fontId="2" fillId="0" borderId="0" xfId="0" applyNumberFormat="1" applyFon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5" fillId="0" borderId="0" xfId="0" applyNumberFormat="1" applyFont="1"/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0" xfId="0" applyNumberFormat="1" applyFont="1" applyAlignment="1">
      <alignment horizontal="left"/>
    </xf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6" fillId="0" borderId="0" xfId="0" applyNumberFormat="1" applyFont="1"/>
    <xf numFmtId="164" fontId="0" fillId="0" borderId="1" xfId="0" applyNumberFormat="1" applyBorder="1"/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Protection="1">
      <protection locked="0"/>
    </xf>
    <xf numFmtId="164" fontId="2" fillId="0" borderId="1" xfId="0" applyNumberFormat="1" applyFont="1" applyBorder="1"/>
    <xf numFmtId="164" fontId="0" fillId="0" borderId="1" xfId="0" applyNumberFormat="1" applyBorder="1" applyAlignment="1">
      <alignment horizontal="right"/>
    </xf>
    <xf numFmtId="164" fontId="0" fillId="2" borderId="19" xfId="0" applyNumberFormat="1" applyFill="1" applyBorder="1"/>
    <xf numFmtId="164" fontId="0" fillId="2" borderId="18" xfId="0" applyNumberFormat="1" applyFill="1" applyBorder="1"/>
    <xf numFmtId="164" fontId="0" fillId="2" borderId="20" xfId="0" applyNumberFormat="1" applyFill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18" xfId="0" applyNumberFormat="1" applyBorder="1"/>
    <xf numFmtId="164" fontId="8" fillId="0" borderId="24" xfId="0" applyNumberFormat="1" applyFont="1" applyBorder="1" applyAlignment="1">
      <alignment horizontal="center" vertical="center" wrapText="1"/>
    </xf>
    <xf numFmtId="164" fontId="9" fillId="0" borderId="24" xfId="0" applyNumberFormat="1" applyFont="1" applyBorder="1" applyAlignment="1">
      <alignment horizontal="center" vertical="center" wrapText="1"/>
    </xf>
    <xf numFmtId="164" fontId="11" fillId="0" borderId="25" xfId="0" applyNumberFormat="1" applyFont="1" applyBorder="1" applyAlignment="1">
      <alignment horizontal="left" vertical="center"/>
    </xf>
    <xf numFmtId="164" fontId="8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4" fontId="10" fillId="0" borderId="19" xfId="0" applyNumberFormat="1" applyFont="1" applyBorder="1" applyAlignment="1">
      <alignment horizontal="left" vertical="center"/>
    </xf>
    <xf numFmtId="164" fontId="11" fillId="0" borderId="19" xfId="0" applyNumberFormat="1" applyFont="1" applyBorder="1" applyAlignment="1">
      <alignment horizontal="left" vertical="center"/>
    </xf>
    <xf numFmtId="164" fontId="12" fillId="0" borderId="0" xfId="0" applyNumberFormat="1" applyFont="1"/>
    <xf numFmtId="164" fontId="1" fillId="0" borderId="0" xfId="0" applyNumberFormat="1" applyFont="1"/>
    <xf numFmtId="164" fontId="13" fillId="0" borderId="0" xfId="0" applyNumberFormat="1" applyFont="1"/>
    <xf numFmtId="164" fontId="14" fillId="0" borderId="19" xfId="0" applyNumberFormat="1" applyFont="1" applyBorder="1"/>
    <xf numFmtId="164" fontId="15" fillId="0" borderId="19" xfId="0" applyNumberFormat="1" applyFont="1" applyBorder="1"/>
    <xf numFmtId="164" fontId="16" fillId="0" borderId="19" xfId="0" applyNumberFormat="1" applyFont="1" applyBorder="1"/>
    <xf numFmtId="164" fontId="16" fillId="0" borderId="25" xfId="0" applyNumberFormat="1" applyFont="1" applyBorder="1"/>
    <xf numFmtId="164" fontId="0" fillId="0" borderId="19" xfId="0" applyNumberFormat="1" applyBorder="1"/>
    <xf numFmtId="164" fontId="0" fillId="0" borderId="20" xfId="0" applyNumberFormat="1" applyBorder="1"/>
    <xf numFmtId="164" fontId="13" fillId="0" borderId="2" xfId="0" applyNumberFormat="1" applyFon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2" borderId="0" xfId="0" applyFill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8" xfId="0" applyBorder="1"/>
    <xf numFmtId="0" fontId="0" fillId="0" borderId="20" xfId="0" applyBorder="1"/>
    <xf numFmtId="0" fontId="0" fillId="0" borderId="32" xfId="0" applyBorder="1"/>
    <xf numFmtId="0" fontId="0" fillId="4" borderId="0" xfId="0" applyFill="1"/>
    <xf numFmtId="0" fontId="0" fillId="4" borderId="15" xfId="0" applyFill="1" applyBorder="1"/>
    <xf numFmtId="0" fontId="0" fillId="0" borderId="16" xfId="0" applyBorder="1"/>
    <xf numFmtId="0" fontId="0" fillId="4" borderId="16" xfId="0" applyFill="1" applyBorder="1"/>
    <xf numFmtId="0" fontId="0" fillId="4" borderId="17" xfId="0" applyFill="1" applyBorder="1"/>
    <xf numFmtId="164" fontId="20" fillId="0" borderId="0" xfId="1" applyNumberFormat="1" applyFont="1" applyAlignment="1" applyProtection="1">
      <alignment horizontal="left"/>
    </xf>
    <xf numFmtId="164" fontId="0" fillId="0" borderId="0" xfId="0" applyNumberFormat="1" applyAlignment="1">
      <alignment horizontal="right"/>
    </xf>
    <xf numFmtId="164" fontId="21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right"/>
    </xf>
    <xf numFmtId="14" fontId="0" fillId="0" borderId="1" xfId="0" quotePrefix="1" applyNumberFormat="1" applyBorder="1" applyAlignment="1">
      <alignment horizontal="right"/>
    </xf>
    <xf numFmtId="164" fontId="27" fillId="0" borderId="24" xfId="1" applyNumberFormat="1" applyFont="1" applyBorder="1" applyAlignment="1">
      <alignment horizontal="center" vertical="center" wrapText="1"/>
    </xf>
    <xf numFmtId="164" fontId="10" fillId="0" borderId="25" xfId="0" applyNumberFormat="1" applyFont="1" applyBorder="1" applyAlignment="1">
      <alignment horizontal="left" vertical="center"/>
    </xf>
    <xf numFmtId="164" fontId="3" fillId="0" borderId="0" xfId="0" applyNumberFormat="1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Border="1"/>
    <xf numFmtId="0" fontId="0" fillId="0" borderId="1" xfId="0" applyBorder="1"/>
    <xf numFmtId="164" fontId="0" fillId="0" borderId="0" xfId="0" applyNumberFormat="1" applyProtection="1">
      <protection locked="0"/>
    </xf>
    <xf numFmtId="0" fontId="0" fillId="0" borderId="2" xfId="0" applyBorder="1"/>
    <xf numFmtId="164" fontId="0" fillId="0" borderId="3" xfId="0" applyNumberFormat="1" applyBorder="1" applyAlignment="1" applyProtection="1">
      <alignment horizontal="center"/>
      <protection locked="0"/>
    </xf>
    <xf numFmtId="164" fontId="5" fillId="0" borderId="3" xfId="0" applyNumberFormat="1" applyFont="1" applyBorder="1" applyProtection="1">
      <protection locked="0"/>
    </xf>
    <xf numFmtId="16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5" fillId="0" borderId="0" xfId="0" applyNumberFormat="1" applyFont="1"/>
    <xf numFmtId="0" fontId="0" fillId="0" borderId="0" xfId="0"/>
    <xf numFmtId="164" fontId="0" fillId="0" borderId="0" xfId="0" applyNumberFormat="1"/>
    <xf numFmtId="164" fontId="0" fillId="0" borderId="0" xfId="0" applyNumberFormat="1" applyAlignment="1" applyProtection="1">
      <alignment vertical="top" wrapText="1"/>
      <protection locked="0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164" fontId="0" fillId="0" borderId="14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3" xfId="0" applyNumberFormat="1" applyBorder="1" applyProtection="1">
      <protection locked="0"/>
    </xf>
    <xf numFmtId="164" fontId="5" fillId="0" borderId="1" xfId="0" applyNumberFormat="1" applyFont="1" applyBorder="1" applyAlignment="1">
      <alignment horizontal="left"/>
    </xf>
    <xf numFmtId="164" fontId="7" fillId="0" borderId="1" xfId="0" applyNumberFormat="1" applyFont="1" applyBorder="1"/>
    <xf numFmtId="0" fontId="0" fillId="3" borderId="22" xfId="0" applyFill="1" applyBorder="1"/>
    <xf numFmtId="0" fontId="26" fillId="0" borderId="0" xfId="1" applyFont="1" applyFill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2" fillId="0" borderId="0" xfId="0" applyNumberFormat="1" applyFont="1" applyAlignment="1">
      <alignment horizontal="left"/>
    </xf>
    <xf numFmtId="164" fontId="2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4" fillId="0" borderId="1" xfId="0" applyNumberFormat="1" applyFont="1" applyBorder="1" applyAlignment="1">
      <alignment horizontal="left"/>
    </xf>
    <xf numFmtId="164" fontId="0" fillId="0" borderId="0" xfId="0" applyNumberForma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0101D78D-43E4-4218-88A5-71693E846AF0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76ADC158-8203-43BA-8752-1B5BC10FC11E}"/>
            </a:ext>
          </a:extLst>
        </xdr:cNvPr>
        <xdr:cNvSpPr/>
      </xdr:nvSpPr>
      <xdr:spPr bwMode="auto">
        <a:xfrm>
          <a:off x="211667" y="205987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223D23-D74E-4EC5-BF46-5029D6D1D5B5}" name="Table1" displayName="Table1" ref="A9:O10" insertRow="1" totalsRowShown="0">
  <autoFilter ref="A9:O10" xr:uid="{95223D23-D74E-4EC5-BF46-5029D6D1D5B5}"/>
  <tableColumns count="15">
    <tableColumn id="1" xr3:uid="{AB733DFB-9D12-4C52-8CDE-3B5108C4970C}" name="Change Order Number:">
      <calculatedColumnFormula>Data!#REF!</calculatedColumnFormula>
    </tableColumn>
    <tableColumn id="2" xr3:uid="{6499C48F-D63B-46B7-A756-87F4D4A41F64}" name="Owner's Change Order No.">
      <calculatedColumnFormula>Data!#REF!</calculatedColumnFormula>
    </tableColumn>
    <tableColumn id="3" xr3:uid="{766C375A-ADC6-4B2D-86C5-90179FB76988}" name="Subcontractor:">
      <calculatedColumnFormula>Data!#REF!</calculatedColumnFormula>
    </tableColumn>
    <tableColumn id="4" xr3:uid="{FF5A60FE-3AE6-4DB0-BB7E-65B219C1F0FD}" name="Subcontract Number:">
      <calculatedColumnFormula>Data!#REF!</calculatedColumnFormula>
    </tableColumn>
    <tableColumn id="5" xr3:uid="{709DE937-9B27-4E13-9DBC-3DC6F6FF77E0}" name="Previous Contract">
      <calculatedColumnFormula>Data!#REF!</calculatedColumnFormula>
    </tableColumn>
    <tableColumn id="6" xr3:uid="{C608BB80-8A8F-4524-ACD2-93C3171A3581}" name="Increase">
      <calculatedColumnFormula>Data!#REF!</calculatedColumnFormula>
    </tableColumn>
    <tableColumn id="7" xr3:uid="{31491981-4F9E-4033-A36D-D26C83024339}" name="Decrease">
      <calculatedColumnFormula>Data!#REF!</calculatedColumnFormula>
    </tableColumn>
    <tableColumn id="8" xr3:uid="{ECFE597E-1116-4331-9762-061F620A9380}" name="Net Change">
      <calculatedColumnFormula>Data!#REF!</calculatedColumnFormula>
    </tableColumn>
    <tableColumn id="9" xr3:uid="{6C4F8E77-FE7C-49A1-97B6-7B01EB5CA512}" name="Revised Contract">
      <calculatedColumnFormula>Data!#REF!</calculatedColumnFormula>
    </tableColumn>
    <tableColumn id="10" xr3:uid="{85FB9D3B-B935-493C-BE62-E6EB2A7CCBEF}" name="Date:">
      <calculatedColumnFormula>Data!#REF!</calculatedColumnFormula>
    </tableColumn>
    <tableColumn id="11" xr3:uid="{4362E922-2B12-47BF-BDC1-E92D5403FE12}" name="Log 11">
      <calculatedColumnFormula>Data!#REF!</calculatedColumnFormula>
    </tableColumn>
    <tableColumn id="12" xr3:uid="{2E07544B-BBFB-44D7-B98C-9388F6427FFD}" name="Log 12">
      <calculatedColumnFormula>Data!#REF!</calculatedColumnFormula>
    </tableColumn>
    <tableColumn id="13" xr3:uid="{C68E9940-EF8A-4FB2-8BF3-19C60201D07E}" name="Update 1">
      <calculatedColumnFormula>Data!#REF!</calculatedColumnFormula>
    </tableColumn>
    <tableColumn id="14" xr3:uid="{EBC2F6A1-0642-416F-B2F1-8518889E5134}" name="Update 2">
      <calculatedColumnFormula>Data!#REF!</calculatedColumnFormula>
    </tableColumn>
    <tableColumn id="15" xr3:uid="{3B9C904B-510A-4E20-B1F1-23A5808F1197}" name="Update 3">
      <calculatedColumnFormula>Data!#REF!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10">
    <wetp:webextensionref xmlns:r="http://schemas.openxmlformats.org/officeDocument/2006/relationships" r:id="rId1"/>
  </wetp:taskpane>
  <wetp:taskpane dockstate="right" visibility="0" width="525" row="9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2D253FD-B40F-4275-BC68-32068BDD8447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63EDF23E-9C82-44AD-BD84-E937E1D6B053}">
  <we:reference id="wa200001095" version="1.0.0.4" store="en-US" storeType="OMEX"/>
  <we:alternateReferences>
    <we:reference id="WA200001095" version="1.0.0.4" store="" storeType="OMEX"/>
  </we:alternateReferences>
  <we:properties>
    <we:property name="Office.AutoShowTaskpaneWithDocument" value="false"/>
    <we:property name="gantt_start" value="&quot;2024-12-14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8D47-5425-40EE-A5CC-49DA94F37273}">
  <dimension ref="A1:R2001"/>
  <sheetViews>
    <sheetView showZeros="0" workbookViewId="0">
      <selection activeCell="B1" sqref="B1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25"/>
      <c r="B1" s="67" t="str">
        <f>HYPERLINK("https://datamateapp.github.io/Outlook.html", "Help")</f>
        <v>Help</v>
      </c>
      <c r="C1" s="26"/>
      <c r="D1" s="68" t="str">
        <f>F5</f>
        <v xml:space="preserve"> Project Name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27"/>
      <c r="P1" s="27"/>
      <c r="Q1" s="27"/>
      <c r="R1" s="27"/>
    </row>
    <row r="2" spans="1:18" ht="45.5" thickTop="1" x14ac:dyDescent="0.35">
      <c r="A2" s="28"/>
      <c r="B2" s="29"/>
      <c r="C2" s="29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  <c r="P2" s="31"/>
      <c r="Q2" s="31"/>
      <c r="R2" s="27"/>
    </row>
    <row r="3" spans="1:18" x14ac:dyDescent="0.35">
      <c r="A3" s="32" t="str">
        <f>F3</f>
        <v>Company</v>
      </c>
      <c r="B3" s="33"/>
      <c r="C3" s="34" t="str">
        <f>F3</f>
        <v>Company</v>
      </c>
      <c r="D3" s="35" t="s">
        <v>34</v>
      </c>
      <c r="E3" s="36" t="s">
        <v>35</v>
      </c>
      <c r="F3" s="35" t="s">
        <v>36</v>
      </c>
      <c r="G3" s="36" t="s">
        <v>37</v>
      </c>
      <c r="H3" s="37" t="s">
        <v>38</v>
      </c>
      <c r="I3" s="36" t="s">
        <v>39</v>
      </c>
      <c r="J3" s="37" t="s">
        <v>40</v>
      </c>
      <c r="K3" s="37" t="s">
        <v>41</v>
      </c>
      <c r="L3" s="36" t="s">
        <v>42</v>
      </c>
      <c r="M3" s="37" t="s">
        <v>43</v>
      </c>
      <c r="N3" s="37" t="s">
        <v>44</v>
      </c>
      <c r="O3" s="37" t="s">
        <v>45</v>
      </c>
      <c r="P3" s="37" t="s">
        <v>46</v>
      </c>
      <c r="Q3" s="37" t="s">
        <v>47</v>
      </c>
      <c r="R3" s="38" t="s">
        <v>48</v>
      </c>
    </row>
    <row r="4" spans="1:18" x14ac:dyDescent="0.35">
      <c r="A4" s="32" t="str">
        <f t="shared" ref="A4:A67" si="0">F4</f>
        <v>Your Company Name</v>
      </c>
      <c r="B4" s="33"/>
      <c r="C4" s="34" t="str">
        <f t="shared" ref="C4:C67" si="1">F4</f>
        <v>Your Company Name</v>
      </c>
      <c r="D4" s="39" t="s">
        <v>49</v>
      </c>
      <c r="E4" s="24"/>
      <c r="F4" s="24" t="s">
        <v>22</v>
      </c>
      <c r="G4" s="24"/>
      <c r="H4" s="24"/>
      <c r="I4" s="24"/>
      <c r="J4" s="24" t="s">
        <v>50</v>
      </c>
      <c r="K4" s="24" t="s">
        <v>51</v>
      </c>
      <c r="L4" s="24" t="s">
        <v>52</v>
      </c>
      <c r="M4" s="24" t="s">
        <v>53</v>
      </c>
      <c r="N4" s="24" t="s">
        <v>54</v>
      </c>
      <c r="O4" s="24">
        <v>62523</v>
      </c>
      <c r="P4" s="24"/>
      <c r="Q4" s="24"/>
      <c r="R4" s="40" t="s">
        <v>55</v>
      </c>
    </row>
    <row r="5" spans="1:18" x14ac:dyDescent="0.35">
      <c r="A5" s="32" t="str">
        <f t="shared" si="0"/>
        <v xml:space="preserve"> Project Name</v>
      </c>
      <c r="B5" s="33"/>
      <c r="C5" s="41" t="str">
        <f t="shared" si="1"/>
        <v xml:space="preserve"> Project Name</v>
      </c>
      <c r="D5" s="42"/>
      <c r="E5" s="43"/>
      <c r="F5" s="43" t="s">
        <v>56</v>
      </c>
      <c r="G5" s="43"/>
      <c r="H5" s="43"/>
      <c r="I5" s="43"/>
      <c r="J5" s="43"/>
      <c r="K5" s="43"/>
      <c r="L5" s="43" t="s">
        <v>57</v>
      </c>
      <c r="M5" s="43" t="s">
        <v>53</v>
      </c>
      <c r="N5" s="43" t="s">
        <v>58</v>
      </c>
      <c r="O5" s="43">
        <v>62523</v>
      </c>
      <c r="P5" s="43"/>
      <c r="Q5" s="43"/>
      <c r="R5" s="44"/>
    </row>
    <row r="6" spans="1:18" x14ac:dyDescent="0.35">
      <c r="A6" s="32" t="str">
        <f t="shared" si="0"/>
        <v xml:space="preserve"> A/E / Developer</v>
      </c>
      <c r="B6" s="33"/>
      <c r="C6" s="34" t="str">
        <f t="shared" si="1"/>
        <v xml:space="preserve"> A/E / Developer</v>
      </c>
      <c r="D6" s="42" t="s">
        <v>59</v>
      </c>
      <c r="E6" s="43" t="s">
        <v>60</v>
      </c>
      <c r="F6" s="43" t="s">
        <v>61</v>
      </c>
      <c r="G6" s="43" t="s">
        <v>60</v>
      </c>
      <c r="H6" s="43" t="s">
        <v>60</v>
      </c>
      <c r="I6" s="43" t="s">
        <v>60</v>
      </c>
      <c r="J6" s="43" t="s">
        <v>62</v>
      </c>
      <c r="K6" s="43" t="s">
        <v>63</v>
      </c>
      <c r="L6" s="43" t="s">
        <v>64</v>
      </c>
      <c r="M6" s="43" t="s">
        <v>53</v>
      </c>
      <c r="N6" s="43" t="s">
        <v>54</v>
      </c>
      <c r="O6" s="43">
        <v>62523</v>
      </c>
      <c r="P6" s="43" t="s">
        <v>60</v>
      </c>
      <c r="Q6" s="43" t="s">
        <v>60</v>
      </c>
      <c r="R6" s="44" t="s">
        <v>65</v>
      </c>
    </row>
    <row r="7" spans="1:18" x14ac:dyDescent="0.35">
      <c r="A7" s="32" t="str">
        <f t="shared" si="0"/>
        <v xml:space="preserve"> Owner</v>
      </c>
      <c r="B7" s="33"/>
      <c r="C7" s="34" t="str">
        <f t="shared" si="1"/>
        <v xml:space="preserve"> Owner</v>
      </c>
      <c r="D7" s="42" t="s">
        <v>66</v>
      </c>
      <c r="E7" s="43" t="s">
        <v>60</v>
      </c>
      <c r="F7" s="43" t="s">
        <v>67</v>
      </c>
      <c r="G7" s="43" t="s">
        <v>60</v>
      </c>
      <c r="H7" s="43" t="s">
        <v>60</v>
      </c>
      <c r="I7" s="43" t="s">
        <v>60</v>
      </c>
      <c r="J7" s="43" t="s">
        <v>68</v>
      </c>
      <c r="K7" s="43" t="s">
        <v>69</v>
      </c>
      <c r="L7" s="43" t="s">
        <v>70</v>
      </c>
      <c r="M7" s="43" t="s">
        <v>53</v>
      </c>
      <c r="N7" s="43" t="s">
        <v>54</v>
      </c>
      <c r="O7" s="43">
        <v>62523</v>
      </c>
      <c r="P7" s="43" t="s">
        <v>60</v>
      </c>
      <c r="Q7" s="43" t="s">
        <v>60</v>
      </c>
      <c r="R7" s="44" t="s">
        <v>71</v>
      </c>
    </row>
    <row r="8" spans="1:18" x14ac:dyDescent="0.35">
      <c r="A8" s="32" t="str">
        <f t="shared" si="0"/>
        <v>Example Subcontractor</v>
      </c>
      <c r="B8" s="33"/>
      <c r="C8" s="34" t="str">
        <f t="shared" si="1"/>
        <v>Example Subcontractor</v>
      </c>
      <c r="D8" s="42" t="s">
        <v>72</v>
      </c>
      <c r="E8" s="43" t="s">
        <v>60</v>
      </c>
      <c r="F8" s="43" t="s">
        <v>73</v>
      </c>
      <c r="G8" s="43" t="s">
        <v>60</v>
      </c>
      <c r="H8" s="43" t="s">
        <v>60</v>
      </c>
      <c r="I8" s="43" t="s">
        <v>60</v>
      </c>
      <c r="J8" s="43" t="s">
        <v>74</v>
      </c>
      <c r="K8" s="43" t="s">
        <v>75</v>
      </c>
      <c r="L8" s="43" t="s">
        <v>76</v>
      </c>
      <c r="M8" s="43" t="s">
        <v>53</v>
      </c>
      <c r="N8" s="43" t="s">
        <v>54</v>
      </c>
      <c r="O8" s="43">
        <v>62523</v>
      </c>
      <c r="P8" s="43" t="s">
        <v>60</v>
      </c>
      <c r="Q8" s="43" t="s">
        <v>60</v>
      </c>
      <c r="R8" s="44" t="s">
        <v>77</v>
      </c>
    </row>
    <row r="9" spans="1:18" x14ac:dyDescent="0.35">
      <c r="A9" s="32" t="str">
        <f t="shared" si="0"/>
        <v>Example Supplier/Vendor</v>
      </c>
      <c r="B9" s="33"/>
      <c r="C9" s="34" t="str">
        <f t="shared" si="1"/>
        <v>Example Supplier/Vendor</v>
      </c>
      <c r="D9" s="42" t="s">
        <v>78</v>
      </c>
      <c r="E9" s="43" t="s">
        <v>60</v>
      </c>
      <c r="F9" s="43" t="s">
        <v>79</v>
      </c>
      <c r="G9" s="43" t="s">
        <v>60</v>
      </c>
      <c r="H9" s="43" t="s">
        <v>60</v>
      </c>
      <c r="I9" s="43" t="s">
        <v>60</v>
      </c>
      <c r="J9" s="43" t="s">
        <v>80</v>
      </c>
      <c r="K9" s="43" t="s">
        <v>81</v>
      </c>
      <c r="L9" s="43" t="s">
        <v>82</v>
      </c>
      <c r="M9" s="43" t="s">
        <v>53</v>
      </c>
      <c r="N9" s="43" t="s">
        <v>54</v>
      </c>
      <c r="O9" s="43">
        <v>62523</v>
      </c>
      <c r="P9" s="43" t="s">
        <v>60</v>
      </c>
      <c r="Q9" s="43" t="s">
        <v>60</v>
      </c>
      <c r="R9" s="44" t="s">
        <v>83</v>
      </c>
    </row>
    <row r="10" spans="1:18" x14ac:dyDescent="0.35">
      <c r="A10" s="32">
        <f t="shared" si="0"/>
        <v>0</v>
      </c>
      <c r="B10" s="33"/>
      <c r="C10" s="34">
        <f t="shared" si="1"/>
        <v>0</v>
      </c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4"/>
    </row>
    <row r="11" spans="1:18" x14ac:dyDescent="0.35">
      <c r="A11" s="32">
        <f t="shared" si="0"/>
        <v>0</v>
      </c>
      <c r="B11" s="33"/>
      <c r="C11" s="34">
        <f t="shared" si="1"/>
        <v>0</v>
      </c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4"/>
    </row>
    <row r="12" spans="1:18" x14ac:dyDescent="0.35">
      <c r="A12" s="32">
        <f t="shared" si="0"/>
        <v>0</v>
      </c>
      <c r="B12" s="33"/>
      <c r="C12" s="34">
        <f t="shared" si="1"/>
        <v>0</v>
      </c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4"/>
    </row>
    <row r="13" spans="1:18" x14ac:dyDescent="0.35">
      <c r="A13" s="32">
        <f t="shared" si="0"/>
        <v>0</v>
      </c>
      <c r="B13" s="33"/>
      <c r="C13" s="34">
        <f t="shared" si="1"/>
        <v>0</v>
      </c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4"/>
    </row>
    <row r="14" spans="1:18" x14ac:dyDescent="0.35">
      <c r="A14" s="32">
        <f t="shared" si="0"/>
        <v>0</v>
      </c>
      <c r="B14" s="33"/>
      <c r="C14" s="34">
        <f t="shared" si="1"/>
        <v>0</v>
      </c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4"/>
    </row>
    <row r="15" spans="1:18" x14ac:dyDescent="0.35">
      <c r="A15" s="32">
        <f t="shared" si="0"/>
        <v>0</v>
      </c>
      <c r="B15" s="33"/>
      <c r="C15" s="34">
        <f t="shared" si="1"/>
        <v>0</v>
      </c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</row>
    <row r="16" spans="1:18" x14ac:dyDescent="0.35">
      <c r="A16" s="32">
        <f t="shared" si="0"/>
        <v>0</v>
      </c>
      <c r="B16" s="33"/>
      <c r="C16" s="34">
        <f t="shared" si="1"/>
        <v>0</v>
      </c>
      <c r="D16" s="42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4"/>
    </row>
    <row r="17" spans="1:18" x14ac:dyDescent="0.35">
      <c r="A17" s="32">
        <f t="shared" si="0"/>
        <v>0</v>
      </c>
      <c r="B17" s="33"/>
      <c r="C17" s="34">
        <f t="shared" si="1"/>
        <v>0</v>
      </c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4"/>
    </row>
    <row r="18" spans="1:18" x14ac:dyDescent="0.35">
      <c r="A18" s="32">
        <f t="shared" si="0"/>
        <v>0</v>
      </c>
      <c r="B18" s="33"/>
      <c r="C18" s="34">
        <f t="shared" si="1"/>
        <v>0</v>
      </c>
      <c r="D18" s="42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4"/>
    </row>
    <row r="19" spans="1:18" x14ac:dyDescent="0.35">
      <c r="A19" s="32">
        <f t="shared" si="0"/>
        <v>0</v>
      </c>
      <c r="B19" s="33"/>
      <c r="C19" s="34">
        <f t="shared" si="1"/>
        <v>0</v>
      </c>
      <c r="D19" s="42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35">
      <c r="A20" s="32">
        <f t="shared" si="0"/>
        <v>0</v>
      </c>
      <c r="B20" s="33"/>
      <c r="C20" s="34">
        <f t="shared" si="1"/>
        <v>0</v>
      </c>
      <c r="D20" s="42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4"/>
    </row>
    <row r="21" spans="1:18" x14ac:dyDescent="0.35">
      <c r="A21" s="32">
        <f t="shared" si="0"/>
        <v>0</v>
      </c>
      <c r="B21" s="33"/>
      <c r="C21" s="34">
        <f t="shared" si="1"/>
        <v>0</v>
      </c>
      <c r="D21" s="42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</row>
    <row r="22" spans="1:18" x14ac:dyDescent="0.35">
      <c r="A22" s="32">
        <f t="shared" si="0"/>
        <v>0</v>
      </c>
      <c r="B22" s="33"/>
      <c r="C22" s="34">
        <f t="shared" si="1"/>
        <v>0</v>
      </c>
      <c r="D22" s="42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4"/>
    </row>
    <row r="23" spans="1:18" x14ac:dyDescent="0.35">
      <c r="A23" s="32">
        <f t="shared" si="0"/>
        <v>0</v>
      </c>
      <c r="B23" s="33"/>
      <c r="C23" s="34">
        <f t="shared" si="1"/>
        <v>0</v>
      </c>
      <c r="D23" s="42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</row>
    <row r="24" spans="1:18" x14ac:dyDescent="0.35">
      <c r="A24" s="32">
        <f t="shared" si="0"/>
        <v>0</v>
      </c>
      <c r="B24" s="33"/>
      <c r="C24" s="34">
        <f t="shared" si="1"/>
        <v>0</v>
      </c>
      <c r="D24" s="42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</row>
    <row r="25" spans="1:18" x14ac:dyDescent="0.35">
      <c r="A25" s="32">
        <f t="shared" si="0"/>
        <v>0</v>
      </c>
      <c r="B25" s="33"/>
      <c r="C25" s="34">
        <f t="shared" si="1"/>
        <v>0</v>
      </c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</row>
    <row r="26" spans="1:18" x14ac:dyDescent="0.35">
      <c r="A26" s="32">
        <f t="shared" si="0"/>
        <v>0</v>
      </c>
      <c r="B26" s="33"/>
      <c r="C26" s="34">
        <f t="shared" si="1"/>
        <v>0</v>
      </c>
      <c r="D26" s="42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</row>
    <row r="27" spans="1:18" x14ac:dyDescent="0.35">
      <c r="A27" s="32">
        <f t="shared" si="0"/>
        <v>0</v>
      </c>
      <c r="B27" s="33"/>
      <c r="C27" s="34">
        <f t="shared" si="1"/>
        <v>0</v>
      </c>
      <c r="D27" s="42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35">
      <c r="A28" s="32">
        <f t="shared" si="0"/>
        <v>0</v>
      </c>
      <c r="B28" s="33"/>
      <c r="C28" s="34">
        <f t="shared" si="1"/>
        <v>0</v>
      </c>
      <c r="D28" s="42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4"/>
    </row>
    <row r="29" spans="1:18" x14ac:dyDescent="0.35">
      <c r="A29" s="32">
        <f t="shared" si="0"/>
        <v>0</v>
      </c>
      <c r="B29" s="33"/>
      <c r="C29" s="34">
        <f t="shared" si="1"/>
        <v>0</v>
      </c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4"/>
    </row>
    <row r="30" spans="1:18" x14ac:dyDescent="0.35">
      <c r="A30" s="32">
        <f t="shared" si="0"/>
        <v>0</v>
      </c>
      <c r="B30" s="33"/>
      <c r="C30" s="34">
        <f t="shared" si="1"/>
        <v>0</v>
      </c>
      <c r="D30" s="42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4"/>
    </row>
    <row r="31" spans="1:18" x14ac:dyDescent="0.35">
      <c r="A31" s="32">
        <f t="shared" si="0"/>
        <v>0</v>
      </c>
      <c r="B31" s="33"/>
      <c r="C31" s="34">
        <f t="shared" si="1"/>
        <v>0</v>
      </c>
      <c r="D31" s="42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4"/>
    </row>
    <row r="32" spans="1:18" x14ac:dyDescent="0.35">
      <c r="A32" s="32">
        <f t="shared" si="0"/>
        <v>0</v>
      </c>
      <c r="B32" s="33"/>
      <c r="C32" s="34">
        <f t="shared" si="1"/>
        <v>0</v>
      </c>
      <c r="D32" s="42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4"/>
    </row>
    <row r="33" spans="1:18" x14ac:dyDescent="0.35">
      <c r="A33" s="32">
        <f t="shared" si="0"/>
        <v>0</v>
      </c>
      <c r="B33" s="33"/>
      <c r="C33" s="34">
        <f t="shared" si="1"/>
        <v>0</v>
      </c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4"/>
    </row>
    <row r="34" spans="1:18" x14ac:dyDescent="0.35">
      <c r="A34" s="32">
        <f t="shared" si="0"/>
        <v>0</v>
      </c>
      <c r="B34" s="33"/>
      <c r="C34" s="34">
        <f t="shared" si="1"/>
        <v>0</v>
      </c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35">
      <c r="A35" s="32">
        <f t="shared" si="0"/>
        <v>0</v>
      </c>
      <c r="B35" s="33"/>
      <c r="C35" s="34">
        <f t="shared" si="1"/>
        <v>0</v>
      </c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</row>
    <row r="36" spans="1:18" x14ac:dyDescent="0.35">
      <c r="A36" s="32">
        <f t="shared" si="0"/>
        <v>0</v>
      </c>
      <c r="B36" s="33"/>
      <c r="C36" s="34">
        <f t="shared" si="1"/>
        <v>0</v>
      </c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4"/>
    </row>
    <row r="37" spans="1:18" x14ac:dyDescent="0.35">
      <c r="A37" s="32">
        <f t="shared" si="0"/>
        <v>0</v>
      </c>
      <c r="B37" s="33"/>
      <c r="C37" s="34">
        <f t="shared" si="1"/>
        <v>0</v>
      </c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4"/>
    </row>
    <row r="38" spans="1:18" x14ac:dyDescent="0.35">
      <c r="A38" s="32">
        <f t="shared" si="0"/>
        <v>0</v>
      </c>
      <c r="B38" s="33"/>
      <c r="C38" s="34">
        <f t="shared" si="1"/>
        <v>0</v>
      </c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4"/>
    </row>
    <row r="39" spans="1:18" x14ac:dyDescent="0.35">
      <c r="A39" s="32">
        <f t="shared" si="0"/>
        <v>0</v>
      </c>
      <c r="B39" s="33"/>
      <c r="C39" s="34">
        <f t="shared" si="1"/>
        <v>0</v>
      </c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4"/>
    </row>
    <row r="40" spans="1:18" x14ac:dyDescent="0.35">
      <c r="A40" s="32">
        <f t="shared" si="0"/>
        <v>0</v>
      </c>
      <c r="B40" s="33"/>
      <c r="C40" s="34">
        <f t="shared" si="1"/>
        <v>0</v>
      </c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4"/>
    </row>
    <row r="41" spans="1:18" x14ac:dyDescent="0.35">
      <c r="A41" s="32">
        <f t="shared" si="0"/>
        <v>0</v>
      </c>
      <c r="B41" s="33"/>
      <c r="C41" s="34">
        <f t="shared" si="1"/>
        <v>0</v>
      </c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4"/>
    </row>
    <row r="42" spans="1:18" x14ac:dyDescent="0.35">
      <c r="A42" s="32">
        <f t="shared" si="0"/>
        <v>0</v>
      </c>
      <c r="B42" s="33"/>
      <c r="C42" s="34">
        <f t="shared" si="1"/>
        <v>0</v>
      </c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4"/>
    </row>
    <row r="43" spans="1:18" x14ac:dyDescent="0.35">
      <c r="A43" s="32">
        <f t="shared" si="0"/>
        <v>0</v>
      </c>
      <c r="B43" s="33"/>
      <c r="C43" s="34">
        <f t="shared" si="1"/>
        <v>0</v>
      </c>
      <c r="D43" s="42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35">
      <c r="A44" s="32">
        <f t="shared" si="0"/>
        <v>0</v>
      </c>
      <c r="B44" s="33"/>
      <c r="C44" s="34">
        <f t="shared" si="1"/>
        <v>0</v>
      </c>
      <c r="D44" s="42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4"/>
    </row>
    <row r="45" spans="1:18" x14ac:dyDescent="0.35">
      <c r="A45" s="32">
        <f t="shared" si="0"/>
        <v>0</v>
      </c>
      <c r="B45" s="33"/>
      <c r="C45" s="34">
        <f t="shared" si="1"/>
        <v>0</v>
      </c>
      <c r="D45" s="42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4"/>
    </row>
    <row r="46" spans="1:18" x14ac:dyDescent="0.35">
      <c r="A46" s="32">
        <f t="shared" si="0"/>
        <v>0</v>
      </c>
      <c r="B46" s="33"/>
      <c r="C46" s="34">
        <f t="shared" si="1"/>
        <v>0</v>
      </c>
      <c r="D46" s="42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4"/>
    </row>
    <row r="47" spans="1:18" x14ac:dyDescent="0.35">
      <c r="A47" s="32">
        <f t="shared" si="0"/>
        <v>0</v>
      </c>
      <c r="B47" s="33"/>
      <c r="C47" s="34">
        <f t="shared" si="1"/>
        <v>0</v>
      </c>
      <c r="D47" s="42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4"/>
    </row>
    <row r="48" spans="1:18" x14ac:dyDescent="0.35">
      <c r="A48" s="32">
        <f t="shared" si="0"/>
        <v>0</v>
      </c>
      <c r="B48" s="33"/>
      <c r="C48" s="34">
        <f t="shared" si="1"/>
        <v>0</v>
      </c>
      <c r="D48" s="42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4"/>
    </row>
    <row r="49" spans="1:18" x14ac:dyDescent="0.35">
      <c r="A49" s="32">
        <f t="shared" si="0"/>
        <v>0</v>
      </c>
      <c r="B49" s="33"/>
      <c r="C49" s="34">
        <f t="shared" si="1"/>
        <v>0</v>
      </c>
      <c r="D49" s="42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4"/>
    </row>
    <row r="50" spans="1:18" x14ac:dyDescent="0.35">
      <c r="A50" s="32">
        <f t="shared" si="0"/>
        <v>0</v>
      </c>
      <c r="B50" s="33"/>
      <c r="C50" s="34">
        <f t="shared" si="1"/>
        <v>0</v>
      </c>
      <c r="D50" s="42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4"/>
    </row>
    <row r="51" spans="1:18" x14ac:dyDescent="0.35">
      <c r="A51" s="32">
        <f t="shared" si="0"/>
        <v>0</v>
      </c>
      <c r="B51" s="33"/>
      <c r="C51" s="34">
        <f t="shared" si="1"/>
        <v>0</v>
      </c>
      <c r="D51" s="42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4"/>
    </row>
    <row r="52" spans="1:18" x14ac:dyDescent="0.35">
      <c r="A52" s="32">
        <f t="shared" si="0"/>
        <v>0</v>
      </c>
      <c r="B52" s="33"/>
      <c r="C52" s="34">
        <f t="shared" si="1"/>
        <v>0</v>
      </c>
      <c r="D52" s="42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35">
      <c r="A53" s="32">
        <f t="shared" si="0"/>
        <v>0</v>
      </c>
      <c r="B53" s="33"/>
      <c r="C53" s="34">
        <f t="shared" si="1"/>
        <v>0</v>
      </c>
      <c r="D53" s="42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4"/>
    </row>
    <row r="54" spans="1:18" x14ac:dyDescent="0.35">
      <c r="A54" s="32">
        <f t="shared" si="0"/>
        <v>0</v>
      </c>
      <c r="B54" s="33"/>
      <c r="C54" s="34">
        <f t="shared" si="1"/>
        <v>0</v>
      </c>
      <c r="D54" s="42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4"/>
    </row>
    <row r="55" spans="1:18" x14ac:dyDescent="0.35">
      <c r="A55" s="32">
        <f t="shared" si="0"/>
        <v>0</v>
      </c>
      <c r="B55" s="33"/>
      <c r="C55" s="34">
        <f t="shared" si="1"/>
        <v>0</v>
      </c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4"/>
    </row>
    <row r="56" spans="1:18" x14ac:dyDescent="0.35">
      <c r="A56" s="32">
        <f t="shared" si="0"/>
        <v>0</v>
      </c>
      <c r="B56" s="33"/>
      <c r="C56" s="34">
        <f t="shared" si="1"/>
        <v>0</v>
      </c>
      <c r="D56" s="42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4"/>
    </row>
    <row r="57" spans="1:18" x14ac:dyDescent="0.35">
      <c r="A57" s="32">
        <f t="shared" si="0"/>
        <v>0</v>
      </c>
      <c r="B57" s="33"/>
      <c r="C57" s="34">
        <f t="shared" si="1"/>
        <v>0</v>
      </c>
      <c r="D57" s="42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4"/>
    </row>
    <row r="58" spans="1:18" x14ac:dyDescent="0.35">
      <c r="A58" s="32">
        <f t="shared" si="0"/>
        <v>0</v>
      </c>
      <c r="B58" s="33"/>
      <c r="C58" s="34">
        <f t="shared" si="1"/>
        <v>0</v>
      </c>
      <c r="D58" s="42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4"/>
    </row>
    <row r="59" spans="1:18" x14ac:dyDescent="0.35">
      <c r="A59" s="32">
        <f t="shared" si="0"/>
        <v>0</v>
      </c>
      <c r="B59" s="33"/>
      <c r="C59" s="34">
        <f t="shared" si="1"/>
        <v>0</v>
      </c>
      <c r="D59" s="42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4"/>
    </row>
    <row r="60" spans="1:18" x14ac:dyDescent="0.35">
      <c r="A60" s="32">
        <f t="shared" si="0"/>
        <v>0</v>
      </c>
      <c r="B60" s="33"/>
      <c r="C60" s="34">
        <f t="shared" si="1"/>
        <v>0</v>
      </c>
      <c r="D60" s="42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4"/>
    </row>
    <row r="61" spans="1:18" x14ac:dyDescent="0.35">
      <c r="A61" s="32">
        <f t="shared" si="0"/>
        <v>0</v>
      </c>
      <c r="B61" s="33"/>
      <c r="C61" s="34">
        <f t="shared" si="1"/>
        <v>0</v>
      </c>
      <c r="D61" s="42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4"/>
    </row>
    <row r="62" spans="1:18" x14ac:dyDescent="0.35">
      <c r="A62" s="32">
        <f t="shared" si="0"/>
        <v>0</v>
      </c>
      <c r="B62" s="33"/>
      <c r="C62" s="34">
        <f t="shared" si="1"/>
        <v>0</v>
      </c>
      <c r="D62" s="42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4"/>
    </row>
    <row r="63" spans="1:18" x14ac:dyDescent="0.35">
      <c r="A63" s="32">
        <f t="shared" si="0"/>
        <v>0</v>
      </c>
      <c r="B63" s="33"/>
      <c r="C63" s="34">
        <f t="shared" si="1"/>
        <v>0</v>
      </c>
      <c r="D63" s="42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4"/>
    </row>
    <row r="64" spans="1:18" x14ac:dyDescent="0.35">
      <c r="A64" s="32">
        <f t="shared" si="0"/>
        <v>0</v>
      </c>
      <c r="B64" s="33"/>
      <c r="C64" s="34">
        <f t="shared" si="1"/>
        <v>0</v>
      </c>
      <c r="D64" s="42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4"/>
    </row>
    <row r="65" spans="1:18" x14ac:dyDescent="0.35">
      <c r="A65" s="32">
        <f t="shared" si="0"/>
        <v>0</v>
      </c>
      <c r="B65" s="33"/>
      <c r="C65" s="34">
        <f t="shared" si="1"/>
        <v>0</v>
      </c>
      <c r="D65" s="42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4"/>
    </row>
    <row r="66" spans="1:18" x14ac:dyDescent="0.35">
      <c r="A66" s="32">
        <f t="shared" si="0"/>
        <v>0</v>
      </c>
      <c r="B66" s="33"/>
      <c r="C66" s="34">
        <f t="shared" si="1"/>
        <v>0</v>
      </c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4"/>
    </row>
    <row r="67" spans="1:18" x14ac:dyDescent="0.35">
      <c r="A67" s="32">
        <f t="shared" si="0"/>
        <v>0</v>
      </c>
      <c r="B67" s="33"/>
      <c r="C67" s="34">
        <f t="shared" si="1"/>
        <v>0</v>
      </c>
      <c r="D67" s="42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4"/>
    </row>
    <row r="68" spans="1:18" x14ac:dyDescent="0.35">
      <c r="A68" s="32">
        <f t="shared" ref="A68:A131" si="2">F68</f>
        <v>0</v>
      </c>
      <c r="B68" s="33"/>
      <c r="C68" s="34">
        <f t="shared" ref="C68:C131" si="3">F68</f>
        <v>0</v>
      </c>
      <c r="D68" s="42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4"/>
    </row>
    <row r="69" spans="1:18" x14ac:dyDescent="0.35">
      <c r="A69" s="32">
        <f t="shared" si="2"/>
        <v>0</v>
      </c>
      <c r="B69" s="33"/>
      <c r="C69" s="34">
        <f t="shared" si="3"/>
        <v>0</v>
      </c>
      <c r="D69" s="42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4"/>
    </row>
    <row r="70" spans="1:18" x14ac:dyDescent="0.35">
      <c r="A70" s="32">
        <f t="shared" si="2"/>
        <v>0</v>
      </c>
      <c r="B70" s="33"/>
      <c r="C70" s="34">
        <f t="shared" si="3"/>
        <v>0</v>
      </c>
      <c r="D70" s="42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4"/>
    </row>
    <row r="71" spans="1:18" x14ac:dyDescent="0.35">
      <c r="A71" s="32">
        <f t="shared" si="2"/>
        <v>0</v>
      </c>
      <c r="B71" s="33"/>
      <c r="C71" s="34">
        <f t="shared" si="3"/>
        <v>0</v>
      </c>
      <c r="D71" s="42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4"/>
    </row>
    <row r="72" spans="1:18" x14ac:dyDescent="0.35">
      <c r="A72" s="32">
        <f t="shared" si="2"/>
        <v>0</v>
      </c>
      <c r="B72" s="33"/>
      <c r="C72" s="34">
        <f t="shared" si="3"/>
        <v>0</v>
      </c>
      <c r="D72" s="42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4"/>
    </row>
    <row r="73" spans="1:18" x14ac:dyDescent="0.35">
      <c r="A73" s="32">
        <f t="shared" si="2"/>
        <v>0</v>
      </c>
      <c r="B73" s="33"/>
      <c r="C73" s="34">
        <f t="shared" si="3"/>
        <v>0</v>
      </c>
      <c r="D73" s="42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4"/>
    </row>
    <row r="74" spans="1:18" x14ac:dyDescent="0.35">
      <c r="A74" s="32">
        <f t="shared" si="2"/>
        <v>0</v>
      </c>
      <c r="B74" s="33"/>
      <c r="C74" s="34">
        <f t="shared" si="3"/>
        <v>0</v>
      </c>
      <c r="D74" s="42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4"/>
    </row>
    <row r="75" spans="1:18" x14ac:dyDescent="0.35">
      <c r="A75" s="32">
        <f t="shared" si="2"/>
        <v>0</v>
      </c>
      <c r="B75" s="33"/>
      <c r="C75" s="34">
        <f t="shared" si="3"/>
        <v>0</v>
      </c>
      <c r="D75" s="42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4"/>
    </row>
    <row r="76" spans="1:18" x14ac:dyDescent="0.35">
      <c r="A76" s="32">
        <f t="shared" si="2"/>
        <v>0</v>
      </c>
      <c r="B76" s="33"/>
      <c r="C76" s="34">
        <f t="shared" si="3"/>
        <v>0</v>
      </c>
      <c r="D76" s="42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4"/>
    </row>
    <row r="77" spans="1:18" x14ac:dyDescent="0.35">
      <c r="A77" s="32">
        <f t="shared" si="2"/>
        <v>0</v>
      </c>
      <c r="B77" s="33"/>
      <c r="C77" s="34">
        <f t="shared" si="3"/>
        <v>0</v>
      </c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4"/>
    </row>
    <row r="78" spans="1:18" x14ac:dyDescent="0.35">
      <c r="A78" s="32">
        <f t="shared" si="2"/>
        <v>0</v>
      </c>
      <c r="B78" s="33"/>
      <c r="C78" s="34">
        <f t="shared" si="3"/>
        <v>0</v>
      </c>
      <c r="D78" s="42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4"/>
    </row>
    <row r="79" spans="1:18" x14ac:dyDescent="0.35">
      <c r="A79" s="32">
        <f t="shared" si="2"/>
        <v>0</v>
      </c>
      <c r="B79" s="33"/>
      <c r="C79" s="34">
        <f t="shared" si="3"/>
        <v>0</v>
      </c>
      <c r="D79" s="42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4"/>
    </row>
    <row r="80" spans="1:18" x14ac:dyDescent="0.35">
      <c r="A80" s="32">
        <f t="shared" si="2"/>
        <v>0</v>
      </c>
      <c r="B80" s="33"/>
      <c r="C80" s="34">
        <f t="shared" si="3"/>
        <v>0</v>
      </c>
      <c r="D80" s="42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4"/>
    </row>
    <row r="81" spans="1:18" x14ac:dyDescent="0.35">
      <c r="A81" s="32">
        <f t="shared" si="2"/>
        <v>0</v>
      </c>
      <c r="B81" s="33"/>
      <c r="C81" s="34">
        <f t="shared" si="3"/>
        <v>0</v>
      </c>
      <c r="D81" s="42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4"/>
    </row>
    <row r="82" spans="1:18" x14ac:dyDescent="0.35">
      <c r="A82" s="32">
        <f t="shared" si="2"/>
        <v>0</v>
      </c>
      <c r="B82" s="33"/>
      <c r="C82" s="34">
        <f t="shared" si="3"/>
        <v>0</v>
      </c>
      <c r="D82" s="42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4"/>
    </row>
    <row r="83" spans="1:18" x14ac:dyDescent="0.35">
      <c r="A83" s="32">
        <f t="shared" si="2"/>
        <v>0</v>
      </c>
      <c r="B83" s="33"/>
      <c r="C83" s="34">
        <f t="shared" si="3"/>
        <v>0</v>
      </c>
      <c r="D83" s="42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4"/>
    </row>
    <row r="84" spans="1:18" x14ac:dyDescent="0.35">
      <c r="A84" s="32">
        <f t="shared" si="2"/>
        <v>0</v>
      </c>
      <c r="B84" s="33"/>
      <c r="C84" s="34">
        <f t="shared" si="3"/>
        <v>0</v>
      </c>
      <c r="D84" s="42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4"/>
    </row>
    <row r="85" spans="1:18" x14ac:dyDescent="0.35">
      <c r="A85" s="32">
        <f t="shared" si="2"/>
        <v>0</v>
      </c>
      <c r="B85" s="33"/>
      <c r="C85" s="34">
        <f t="shared" si="3"/>
        <v>0</v>
      </c>
      <c r="D85" s="42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4"/>
    </row>
    <row r="86" spans="1:18" x14ac:dyDescent="0.35">
      <c r="A86" s="32">
        <f t="shared" si="2"/>
        <v>0</v>
      </c>
      <c r="B86" s="33"/>
      <c r="C86" s="34">
        <f t="shared" si="3"/>
        <v>0</v>
      </c>
      <c r="D86" s="42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4"/>
    </row>
    <row r="87" spans="1:18" x14ac:dyDescent="0.35">
      <c r="A87" s="32">
        <f t="shared" si="2"/>
        <v>0</v>
      </c>
      <c r="B87" s="33"/>
      <c r="C87" s="34">
        <f t="shared" si="3"/>
        <v>0</v>
      </c>
      <c r="D87" s="42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4"/>
    </row>
    <row r="88" spans="1:18" x14ac:dyDescent="0.35">
      <c r="A88" s="32">
        <f t="shared" si="2"/>
        <v>0</v>
      </c>
      <c r="B88" s="33"/>
      <c r="C88" s="34">
        <f t="shared" si="3"/>
        <v>0</v>
      </c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4"/>
    </row>
    <row r="89" spans="1:18" x14ac:dyDescent="0.35">
      <c r="A89" s="32">
        <f t="shared" si="2"/>
        <v>0</v>
      </c>
      <c r="B89" s="33"/>
      <c r="C89" s="34">
        <f t="shared" si="3"/>
        <v>0</v>
      </c>
      <c r="D89" s="42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4"/>
    </row>
    <row r="90" spans="1:18" x14ac:dyDescent="0.35">
      <c r="A90" s="32">
        <f t="shared" si="2"/>
        <v>0</v>
      </c>
      <c r="B90" s="33"/>
      <c r="C90" s="34">
        <f t="shared" si="3"/>
        <v>0</v>
      </c>
      <c r="D90" s="42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4"/>
    </row>
    <row r="91" spans="1:18" x14ac:dyDescent="0.35">
      <c r="A91" s="32">
        <f t="shared" si="2"/>
        <v>0</v>
      </c>
      <c r="B91" s="33"/>
      <c r="C91" s="34">
        <f t="shared" si="3"/>
        <v>0</v>
      </c>
      <c r="D91" s="42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4"/>
    </row>
    <row r="92" spans="1:18" x14ac:dyDescent="0.35">
      <c r="A92" s="32">
        <f t="shared" si="2"/>
        <v>0</v>
      </c>
      <c r="B92" s="33"/>
      <c r="C92" s="34">
        <f t="shared" si="3"/>
        <v>0</v>
      </c>
      <c r="D92" s="42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4"/>
    </row>
    <row r="93" spans="1:18" x14ac:dyDescent="0.35">
      <c r="A93" s="32">
        <f t="shared" si="2"/>
        <v>0</v>
      </c>
      <c r="B93" s="33"/>
      <c r="C93" s="34">
        <f t="shared" si="3"/>
        <v>0</v>
      </c>
      <c r="D93" s="42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4"/>
    </row>
    <row r="94" spans="1:18" x14ac:dyDescent="0.35">
      <c r="A94" s="32">
        <f t="shared" si="2"/>
        <v>0</v>
      </c>
      <c r="B94" s="33"/>
      <c r="C94" s="34">
        <f t="shared" si="3"/>
        <v>0</v>
      </c>
      <c r="D94" s="42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4"/>
    </row>
    <row r="95" spans="1:18" x14ac:dyDescent="0.35">
      <c r="A95" s="32">
        <f t="shared" si="2"/>
        <v>0</v>
      </c>
      <c r="B95" s="33"/>
      <c r="C95" s="34">
        <f t="shared" si="3"/>
        <v>0</v>
      </c>
      <c r="D95" s="42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4"/>
    </row>
    <row r="96" spans="1:18" x14ac:dyDescent="0.35">
      <c r="A96" s="32">
        <f t="shared" si="2"/>
        <v>0</v>
      </c>
      <c r="B96" s="33"/>
      <c r="C96" s="34">
        <f t="shared" si="3"/>
        <v>0</v>
      </c>
      <c r="D96" s="42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4"/>
    </row>
    <row r="97" spans="1:18" x14ac:dyDescent="0.35">
      <c r="A97" s="32">
        <f t="shared" si="2"/>
        <v>0</v>
      </c>
      <c r="B97" s="33"/>
      <c r="C97" s="34">
        <f t="shared" si="3"/>
        <v>0</v>
      </c>
      <c r="D97" s="42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4"/>
    </row>
    <row r="98" spans="1:18" x14ac:dyDescent="0.35">
      <c r="A98" s="32">
        <f t="shared" si="2"/>
        <v>0</v>
      </c>
      <c r="B98" s="33"/>
      <c r="C98" s="34">
        <f t="shared" si="3"/>
        <v>0</v>
      </c>
      <c r="D98" s="42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4"/>
    </row>
    <row r="99" spans="1:18" x14ac:dyDescent="0.35">
      <c r="A99" s="32">
        <f t="shared" si="2"/>
        <v>0</v>
      </c>
      <c r="B99" s="33"/>
      <c r="C99" s="34">
        <f t="shared" si="3"/>
        <v>0</v>
      </c>
      <c r="D99" s="42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4"/>
    </row>
    <row r="100" spans="1:18" x14ac:dyDescent="0.35">
      <c r="A100" s="32">
        <f t="shared" si="2"/>
        <v>0</v>
      </c>
      <c r="B100" s="33"/>
      <c r="C100" s="34">
        <f t="shared" si="3"/>
        <v>0</v>
      </c>
      <c r="D100" s="42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4"/>
    </row>
    <row r="101" spans="1:18" x14ac:dyDescent="0.35">
      <c r="A101" s="32">
        <f t="shared" si="2"/>
        <v>0</v>
      </c>
      <c r="B101" s="33"/>
      <c r="C101" s="34">
        <f t="shared" si="3"/>
        <v>0</v>
      </c>
      <c r="D101" s="42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4"/>
    </row>
    <row r="102" spans="1:18" x14ac:dyDescent="0.35">
      <c r="A102" s="32">
        <f t="shared" si="2"/>
        <v>0</v>
      </c>
      <c r="B102" s="33"/>
      <c r="C102" s="34">
        <f t="shared" si="3"/>
        <v>0</v>
      </c>
      <c r="D102" s="42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/>
    </row>
    <row r="103" spans="1:18" x14ac:dyDescent="0.35">
      <c r="A103" s="32">
        <f t="shared" si="2"/>
        <v>0</v>
      </c>
      <c r="B103" s="33"/>
      <c r="C103" s="34">
        <f t="shared" si="3"/>
        <v>0</v>
      </c>
      <c r="D103" s="42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4"/>
    </row>
    <row r="104" spans="1:18" x14ac:dyDescent="0.35">
      <c r="A104" s="32">
        <f t="shared" si="2"/>
        <v>0</v>
      </c>
      <c r="B104" s="33"/>
      <c r="C104" s="34">
        <f t="shared" si="3"/>
        <v>0</v>
      </c>
      <c r="D104" s="42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4"/>
    </row>
    <row r="105" spans="1:18" x14ac:dyDescent="0.35">
      <c r="A105" s="32">
        <f t="shared" si="2"/>
        <v>0</v>
      </c>
      <c r="B105" s="33"/>
      <c r="C105" s="34">
        <f t="shared" si="3"/>
        <v>0</v>
      </c>
      <c r="D105" s="42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4"/>
    </row>
    <row r="106" spans="1:18" x14ac:dyDescent="0.35">
      <c r="A106" s="32">
        <f t="shared" si="2"/>
        <v>0</v>
      </c>
      <c r="B106" s="33"/>
      <c r="C106" s="34">
        <f t="shared" si="3"/>
        <v>0</v>
      </c>
      <c r="D106" s="42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4"/>
    </row>
    <row r="107" spans="1:18" x14ac:dyDescent="0.35">
      <c r="A107" s="32">
        <f t="shared" si="2"/>
        <v>0</v>
      </c>
      <c r="B107" s="33"/>
      <c r="C107" s="34">
        <f t="shared" si="3"/>
        <v>0</v>
      </c>
      <c r="D107" s="42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4"/>
    </row>
    <row r="108" spans="1:18" x14ac:dyDescent="0.35">
      <c r="A108" s="32">
        <f t="shared" si="2"/>
        <v>0</v>
      </c>
      <c r="B108" s="33"/>
      <c r="C108" s="34">
        <f t="shared" si="3"/>
        <v>0</v>
      </c>
      <c r="D108" s="42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4"/>
    </row>
    <row r="109" spans="1:18" x14ac:dyDescent="0.35">
      <c r="A109" s="32">
        <f t="shared" si="2"/>
        <v>0</v>
      </c>
      <c r="B109" s="33"/>
      <c r="C109" s="34">
        <f t="shared" si="3"/>
        <v>0</v>
      </c>
      <c r="D109" s="42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4"/>
    </row>
    <row r="110" spans="1:18" x14ac:dyDescent="0.35">
      <c r="A110" s="32">
        <f t="shared" si="2"/>
        <v>0</v>
      </c>
      <c r="B110" s="33"/>
      <c r="C110" s="34">
        <f t="shared" si="3"/>
        <v>0</v>
      </c>
      <c r="D110" s="42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4"/>
    </row>
    <row r="111" spans="1:18" x14ac:dyDescent="0.35">
      <c r="A111" s="32">
        <f t="shared" si="2"/>
        <v>0</v>
      </c>
      <c r="B111" s="33"/>
      <c r="C111" s="34">
        <f t="shared" si="3"/>
        <v>0</v>
      </c>
      <c r="D111" s="42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4"/>
    </row>
    <row r="112" spans="1:18" x14ac:dyDescent="0.35">
      <c r="A112" s="32">
        <f t="shared" si="2"/>
        <v>0</v>
      </c>
      <c r="B112" s="33"/>
      <c r="C112" s="34">
        <f t="shared" si="3"/>
        <v>0</v>
      </c>
      <c r="D112" s="42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4"/>
    </row>
    <row r="113" spans="1:18" x14ac:dyDescent="0.35">
      <c r="A113" s="32">
        <f t="shared" si="2"/>
        <v>0</v>
      </c>
      <c r="B113" s="33"/>
      <c r="C113" s="34">
        <f t="shared" si="3"/>
        <v>0</v>
      </c>
      <c r="D113" s="42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4"/>
    </row>
    <row r="114" spans="1:18" x14ac:dyDescent="0.35">
      <c r="A114" s="32">
        <f t="shared" si="2"/>
        <v>0</v>
      </c>
      <c r="B114" s="33"/>
      <c r="C114" s="34">
        <f t="shared" si="3"/>
        <v>0</v>
      </c>
      <c r="D114" s="42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4"/>
    </row>
    <row r="115" spans="1:18" x14ac:dyDescent="0.35">
      <c r="A115" s="32">
        <f t="shared" si="2"/>
        <v>0</v>
      </c>
      <c r="B115" s="33"/>
      <c r="C115" s="34">
        <f t="shared" si="3"/>
        <v>0</v>
      </c>
      <c r="D115" s="42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4"/>
    </row>
    <row r="116" spans="1:18" x14ac:dyDescent="0.35">
      <c r="A116" s="32">
        <f t="shared" si="2"/>
        <v>0</v>
      </c>
      <c r="B116" s="33"/>
      <c r="C116" s="34">
        <f t="shared" si="3"/>
        <v>0</v>
      </c>
      <c r="D116" s="42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4"/>
    </row>
    <row r="117" spans="1:18" x14ac:dyDescent="0.35">
      <c r="A117" s="32">
        <f t="shared" si="2"/>
        <v>0</v>
      </c>
      <c r="B117" s="33"/>
      <c r="C117" s="34">
        <f t="shared" si="3"/>
        <v>0</v>
      </c>
      <c r="D117" s="42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4"/>
    </row>
    <row r="118" spans="1:18" x14ac:dyDescent="0.35">
      <c r="A118" s="32">
        <f t="shared" si="2"/>
        <v>0</v>
      </c>
      <c r="B118" s="33"/>
      <c r="C118" s="34">
        <f t="shared" si="3"/>
        <v>0</v>
      </c>
      <c r="D118" s="42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4"/>
    </row>
    <row r="119" spans="1:18" x14ac:dyDescent="0.35">
      <c r="A119" s="32">
        <f t="shared" si="2"/>
        <v>0</v>
      </c>
      <c r="B119" s="33"/>
      <c r="C119" s="34">
        <f t="shared" si="3"/>
        <v>0</v>
      </c>
      <c r="D119" s="42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4"/>
    </row>
    <row r="120" spans="1:18" x14ac:dyDescent="0.35">
      <c r="A120" s="32">
        <f t="shared" si="2"/>
        <v>0</v>
      </c>
      <c r="B120" s="33"/>
      <c r="C120" s="34">
        <f t="shared" si="3"/>
        <v>0</v>
      </c>
      <c r="D120" s="42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4"/>
    </row>
    <row r="121" spans="1:18" x14ac:dyDescent="0.35">
      <c r="A121" s="32">
        <f t="shared" si="2"/>
        <v>0</v>
      </c>
      <c r="B121" s="33"/>
      <c r="C121" s="34">
        <f t="shared" si="3"/>
        <v>0</v>
      </c>
      <c r="D121" s="42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4"/>
    </row>
    <row r="122" spans="1:18" x14ac:dyDescent="0.35">
      <c r="A122" s="32">
        <f t="shared" si="2"/>
        <v>0</v>
      </c>
      <c r="B122" s="33"/>
      <c r="C122" s="34">
        <f t="shared" si="3"/>
        <v>0</v>
      </c>
      <c r="D122" s="42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4"/>
    </row>
    <row r="123" spans="1:18" x14ac:dyDescent="0.35">
      <c r="A123" s="32">
        <f t="shared" si="2"/>
        <v>0</v>
      </c>
      <c r="B123" s="33"/>
      <c r="C123" s="34">
        <f t="shared" si="3"/>
        <v>0</v>
      </c>
      <c r="D123" s="42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4"/>
    </row>
    <row r="124" spans="1:18" x14ac:dyDescent="0.35">
      <c r="A124" s="32">
        <f t="shared" si="2"/>
        <v>0</v>
      </c>
      <c r="B124" s="33"/>
      <c r="C124" s="34">
        <f t="shared" si="3"/>
        <v>0</v>
      </c>
      <c r="D124" s="42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4"/>
    </row>
    <row r="125" spans="1:18" x14ac:dyDescent="0.35">
      <c r="A125" s="32">
        <f t="shared" si="2"/>
        <v>0</v>
      </c>
      <c r="B125" s="33"/>
      <c r="C125" s="34">
        <f t="shared" si="3"/>
        <v>0</v>
      </c>
      <c r="D125" s="42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4"/>
    </row>
    <row r="126" spans="1:18" x14ac:dyDescent="0.35">
      <c r="A126" s="32">
        <f t="shared" si="2"/>
        <v>0</v>
      </c>
      <c r="B126" s="33"/>
      <c r="C126" s="34">
        <f t="shared" si="3"/>
        <v>0</v>
      </c>
      <c r="D126" s="42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4"/>
    </row>
    <row r="127" spans="1:18" x14ac:dyDescent="0.35">
      <c r="A127" s="32">
        <f t="shared" si="2"/>
        <v>0</v>
      </c>
      <c r="B127" s="33"/>
      <c r="C127" s="34">
        <f t="shared" si="3"/>
        <v>0</v>
      </c>
      <c r="D127" s="42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4"/>
    </row>
    <row r="128" spans="1:18" x14ac:dyDescent="0.35">
      <c r="A128" s="32">
        <f t="shared" si="2"/>
        <v>0</v>
      </c>
      <c r="B128" s="33"/>
      <c r="C128" s="34">
        <f t="shared" si="3"/>
        <v>0</v>
      </c>
      <c r="D128" s="42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4"/>
    </row>
    <row r="129" spans="1:18" x14ac:dyDescent="0.35">
      <c r="A129" s="32">
        <f t="shared" si="2"/>
        <v>0</v>
      </c>
      <c r="B129" s="33"/>
      <c r="C129" s="34">
        <f t="shared" si="3"/>
        <v>0</v>
      </c>
      <c r="D129" s="42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4"/>
    </row>
    <row r="130" spans="1:18" x14ac:dyDescent="0.35">
      <c r="A130" s="32">
        <f t="shared" si="2"/>
        <v>0</v>
      </c>
      <c r="B130" s="33"/>
      <c r="C130" s="34">
        <f t="shared" si="3"/>
        <v>0</v>
      </c>
      <c r="D130" s="42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4"/>
    </row>
    <row r="131" spans="1:18" x14ac:dyDescent="0.35">
      <c r="A131" s="32">
        <f t="shared" si="2"/>
        <v>0</v>
      </c>
      <c r="B131" s="33"/>
      <c r="C131" s="34">
        <f t="shared" si="3"/>
        <v>0</v>
      </c>
      <c r="D131" s="42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1:18" x14ac:dyDescent="0.35">
      <c r="A132" s="32">
        <f t="shared" ref="A132:A195" si="4">F132</f>
        <v>0</v>
      </c>
      <c r="B132" s="33"/>
      <c r="C132" s="34">
        <f t="shared" ref="C132:C195" si="5">F132</f>
        <v>0</v>
      </c>
      <c r="D132" s="42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4"/>
    </row>
    <row r="133" spans="1:18" x14ac:dyDescent="0.35">
      <c r="A133" s="32">
        <f t="shared" si="4"/>
        <v>0</v>
      </c>
      <c r="B133" s="33"/>
      <c r="C133" s="34">
        <f t="shared" si="5"/>
        <v>0</v>
      </c>
      <c r="D133" s="42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4"/>
    </row>
    <row r="134" spans="1:18" x14ac:dyDescent="0.35">
      <c r="A134" s="32">
        <f t="shared" si="4"/>
        <v>0</v>
      </c>
      <c r="B134" s="33"/>
      <c r="C134" s="34">
        <f t="shared" si="5"/>
        <v>0</v>
      </c>
      <c r="D134" s="42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4"/>
    </row>
    <row r="135" spans="1:18" x14ac:dyDescent="0.35">
      <c r="A135" s="32">
        <f t="shared" si="4"/>
        <v>0</v>
      </c>
      <c r="B135" s="33"/>
      <c r="C135" s="34">
        <f t="shared" si="5"/>
        <v>0</v>
      </c>
      <c r="D135" s="42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4"/>
    </row>
    <row r="136" spans="1:18" x14ac:dyDescent="0.35">
      <c r="A136" s="32">
        <f t="shared" si="4"/>
        <v>0</v>
      </c>
      <c r="B136" s="33"/>
      <c r="C136" s="34">
        <f t="shared" si="5"/>
        <v>0</v>
      </c>
      <c r="D136" s="42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4"/>
    </row>
    <row r="137" spans="1:18" x14ac:dyDescent="0.35">
      <c r="A137" s="32">
        <f t="shared" si="4"/>
        <v>0</v>
      </c>
      <c r="B137" s="33"/>
      <c r="C137" s="34">
        <f t="shared" si="5"/>
        <v>0</v>
      </c>
      <c r="D137" s="42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1:18" x14ac:dyDescent="0.35">
      <c r="A138" s="32">
        <f t="shared" si="4"/>
        <v>0</v>
      </c>
      <c r="B138" s="33"/>
      <c r="C138" s="34">
        <f t="shared" si="5"/>
        <v>0</v>
      </c>
      <c r="D138" s="42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1:18" x14ac:dyDescent="0.35">
      <c r="A139" s="32">
        <f t="shared" si="4"/>
        <v>0</v>
      </c>
      <c r="B139" s="33"/>
      <c r="C139" s="34">
        <f t="shared" si="5"/>
        <v>0</v>
      </c>
      <c r="D139" s="42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1:18" x14ac:dyDescent="0.35">
      <c r="A140" s="32">
        <f t="shared" si="4"/>
        <v>0</v>
      </c>
      <c r="B140" s="33"/>
      <c r="C140" s="34">
        <f t="shared" si="5"/>
        <v>0</v>
      </c>
      <c r="D140" s="42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1:18" x14ac:dyDescent="0.35">
      <c r="A141" s="32">
        <f t="shared" si="4"/>
        <v>0</v>
      </c>
      <c r="B141" s="33"/>
      <c r="C141" s="34">
        <f t="shared" si="5"/>
        <v>0</v>
      </c>
      <c r="D141" s="42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1:18" x14ac:dyDescent="0.35">
      <c r="A142" s="32">
        <f t="shared" si="4"/>
        <v>0</v>
      </c>
      <c r="B142" s="33"/>
      <c r="C142" s="34">
        <f t="shared" si="5"/>
        <v>0</v>
      </c>
      <c r="D142" s="42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1:18" x14ac:dyDescent="0.35">
      <c r="A143" s="32">
        <f t="shared" si="4"/>
        <v>0</v>
      </c>
      <c r="B143" s="33"/>
      <c r="C143" s="34">
        <f t="shared" si="5"/>
        <v>0</v>
      </c>
      <c r="D143" s="42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1:18" x14ac:dyDescent="0.35">
      <c r="A144" s="32">
        <f t="shared" si="4"/>
        <v>0</v>
      </c>
      <c r="B144" s="33"/>
      <c r="C144" s="34">
        <f t="shared" si="5"/>
        <v>0</v>
      </c>
      <c r="D144" s="42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4"/>
    </row>
    <row r="145" spans="1:18" x14ac:dyDescent="0.35">
      <c r="A145" s="32">
        <f t="shared" si="4"/>
        <v>0</v>
      </c>
      <c r="B145" s="33"/>
      <c r="C145" s="34">
        <f t="shared" si="5"/>
        <v>0</v>
      </c>
      <c r="D145" s="42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4"/>
    </row>
    <row r="146" spans="1:18" x14ac:dyDescent="0.35">
      <c r="A146" s="32">
        <f t="shared" si="4"/>
        <v>0</v>
      </c>
      <c r="B146" s="33"/>
      <c r="C146" s="34">
        <f t="shared" si="5"/>
        <v>0</v>
      </c>
      <c r="D146" s="42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4"/>
    </row>
    <row r="147" spans="1:18" x14ac:dyDescent="0.35">
      <c r="A147" s="32">
        <f t="shared" si="4"/>
        <v>0</v>
      </c>
      <c r="B147" s="33"/>
      <c r="C147" s="34">
        <f t="shared" si="5"/>
        <v>0</v>
      </c>
      <c r="D147" s="42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4"/>
    </row>
    <row r="148" spans="1:18" x14ac:dyDescent="0.35">
      <c r="A148" s="32">
        <f t="shared" si="4"/>
        <v>0</v>
      </c>
      <c r="B148" s="33"/>
      <c r="C148" s="34">
        <f t="shared" si="5"/>
        <v>0</v>
      </c>
      <c r="D148" s="42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4"/>
    </row>
    <row r="149" spans="1:18" x14ac:dyDescent="0.35">
      <c r="A149" s="32">
        <f t="shared" si="4"/>
        <v>0</v>
      </c>
      <c r="B149" s="33"/>
      <c r="C149" s="34">
        <f t="shared" si="5"/>
        <v>0</v>
      </c>
      <c r="D149" s="42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4"/>
    </row>
    <row r="150" spans="1:18" x14ac:dyDescent="0.35">
      <c r="A150" s="32">
        <f t="shared" si="4"/>
        <v>0</v>
      </c>
      <c r="B150" s="33"/>
      <c r="C150" s="34">
        <f t="shared" si="5"/>
        <v>0</v>
      </c>
      <c r="D150" s="42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4"/>
    </row>
    <row r="151" spans="1:18" x14ac:dyDescent="0.35">
      <c r="A151" s="32">
        <f t="shared" si="4"/>
        <v>0</v>
      </c>
      <c r="B151" s="33"/>
      <c r="C151" s="34">
        <f t="shared" si="5"/>
        <v>0</v>
      </c>
      <c r="D151" s="42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4"/>
    </row>
    <row r="152" spans="1:18" x14ac:dyDescent="0.35">
      <c r="A152" s="32">
        <f t="shared" si="4"/>
        <v>0</v>
      </c>
      <c r="B152" s="33"/>
      <c r="C152" s="34">
        <f t="shared" si="5"/>
        <v>0</v>
      </c>
      <c r="D152" s="42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4"/>
    </row>
    <row r="153" spans="1:18" x14ac:dyDescent="0.35">
      <c r="A153" s="32">
        <f t="shared" si="4"/>
        <v>0</v>
      </c>
      <c r="B153" s="33"/>
      <c r="C153" s="34">
        <f t="shared" si="5"/>
        <v>0</v>
      </c>
      <c r="D153" s="42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4"/>
    </row>
    <row r="154" spans="1:18" x14ac:dyDescent="0.35">
      <c r="A154" s="32">
        <f t="shared" si="4"/>
        <v>0</v>
      </c>
      <c r="B154" s="33"/>
      <c r="C154" s="34">
        <f t="shared" si="5"/>
        <v>0</v>
      </c>
      <c r="D154" s="42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x14ac:dyDescent="0.35">
      <c r="A155" s="32">
        <f t="shared" si="4"/>
        <v>0</v>
      </c>
      <c r="B155" s="33"/>
      <c r="C155" s="34">
        <f t="shared" si="5"/>
        <v>0</v>
      </c>
      <c r="D155" s="42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4"/>
    </row>
    <row r="156" spans="1:18" x14ac:dyDescent="0.35">
      <c r="A156" s="32">
        <f t="shared" si="4"/>
        <v>0</v>
      </c>
      <c r="B156" s="33"/>
      <c r="C156" s="34">
        <f t="shared" si="5"/>
        <v>0</v>
      </c>
      <c r="D156" s="42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4"/>
    </row>
    <row r="157" spans="1:18" x14ac:dyDescent="0.35">
      <c r="A157" s="32">
        <f t="shared" si="4"/>
        <v>0</v>
      </c>
      <c r="B157" s="33"/>
      <c r="C157" s="34">
        <f t="shared" si="5"/>
        <v>0</v>
      </c>
      <c r="D157" s="42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4"/>
    </row>
    <row r="158" spans="1:18" x14ac:dyDescent="0.35">
      <c r="A158" s="32">
        <f t="shared" si="4"/>
        <v>0</v>
      </c>
      <c r="B158" s="33"/>
      <c r="C158" s="34">
        <f t="shared" si="5"/>
        <v>0</v>
      </c>
      <c r="D158" s="42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4"/>
    </row>
    <row r="159" spans="1:18" x14ac:dyDescent="0.35">
      <c r="A159" s="32">
        <f t="shared" si="4"/>
        <v>0</v>
      </c>
      <c r="B159" s="33"/>
      <c r="C159" s="34">
        <f t="shared" si="5"/>
        <v>0</v>
      </c>
      <c r="D159" s="42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x14ac:dyDescent="0.35">
      <c r="A160" s="32">
        <f t="shared" si="4"/>
        <v>0</v>
      </c>
      <c r="B160" s="33"/>
      <c r="C160" s="34">
        <f t="shared" si="5"/>
        <v>0</v>
      </c>
      <c r="D160" s="42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4"/>
    </row>
    <row r="161" spans="1:18" x14ac:dyDescent="0.35">
      <c r="A161" s="32">
        <f t="shared" si="4"/>
        <v>0</v>
      </c>
      <c r="B161" s="33"/>
      <c r="C161" s="34">
        <f t="shared" si="5"/>
        <v>0</v>
      </c>
      <c r="D161" s="42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 x14ac:dyDescent="0.35">
      <c r="A162" s="32">
        <f t="shared" si="4"/>
        <v>0</v>
      </c>
      <c r="B162" s="33"/>
      <c r="C162" s="34">
        <f t="shared" si="5"/>
        <v>0</v>
      </c>
      <c r="D162" s="42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4"/>
    </row>
    <row r="163" spans="1:18" x14ac:dyDescent="0.35">
      <c r="A163" s="32">
        <f t="shared" si="4"/>
        <v>0</v>
      </c>
      <c r="B163" s="33"/>
      <c r="C163" s="34">
        <f t="shared" si="5"/>
        <v>0</v>
      </c>
      <c r="D163" s="42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4"/>
    </row>
    <row r="164" spans="1:18" x14ac:dyDescent="0.35">
      <c r="A164" s="32">
        <f t="shared" si="4"/>
        <v>0</v>
      </c>
      <c r="B164" s="33"/>
      <c r="C164" s="34">
        <f t="shared" si="5"/>
        <v>0</v>
      </c>
      <c r="D164" s="42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4"/>
    </row>
    <row r="165" spans="1:18" x14ac:dyDescent="0.35">
      <c r="A165" s="32">
        <f t="shared" si="4"/>
        <v>0</v>
      </c>
      <c r="B165" s="33"/>
      <c r="C165" s="34">
        <f t="shared" si="5"/>
        <v>0</v>
      </c>
      <c r="D165" s="42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4"/>
    </row>
    <row r="166" spans="1:18" x14ac:dyDescent="0.35">
      <c r="A166" s="32">
        <f t="shared" si="4"/>
        <v>0</v>
      </c>
      <c r="B166" s="33"/>
      <c r="C166" s="34">
        <f t="shared" si="5"/>
        <v>0</v>
      </c>
      <c r="D166" s="42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4"/>
    </row>
    <row r="167" spans="1:18" x14ac:dyDescent="0.35">
      <c r="A167" s="32">
        <f t="shared" si="4"/>
        <v>0</v>
      </c>
      <c r="B167" s="33"/>
      <c r="C167" s="34">
        <f t="shared" si="5"/>
        <v>0</v>
      </c>
      <c r="D167" s="42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 x14ac:dyDescent="0.35">
      <c r="A168" s="32">
        <f t="shared" si="4"/>
        <v>0</v>
      </c>
      <c r="B168" s="33"/>
      <c r="C168" s="34">
        <f t="shared" si="5"/>
        <v>0</v>
      </c>
      <c r="D168" s="42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 x14ac:dyDescent="0.35">
      <c r="A169" s="32">
        <f t="shared" si="4"/>
        <v>0</v>
      </c>
      <c r="B169" s="33"/>
      <c r="C169" s="34">
        <f t="shared" si="5"/>
        <v>0</v>
      </c>
      <c r="D169" s="42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 x14ac:dyDescent="0.35">
      <c r="A170" s="32">
        <f t="shared" si="4"/>
        <v>0</v>
      </c>
      <c r="B170" s="33"/>
      <c r="C170" s="34">
        <f t="shared" si="5"/>
        <v>0</v>
      </c>
      <c r="D170" s="42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 x14ac:dyDescent="0.35">
      <c r="A171" s="32">
        <f t="shared" si="4"/>
        <v>0</v>
      </c>
      <c r="B171" s="33"/>
      <c r="C171" s="34">
        <f t="shared" si="5"/>
        <v>0</v>
      </c>
      <c r="D171" s="42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 x14ac:dyDescent="0.35">
      <c r="A172" s="32">
        <f t="shared" si="4"/>
        <v>0</v>
      </c>
      <c r="B172" s="33"/>
      <c r="C172" s="34">
        <f t="shared" si="5"/>
        <v>0</v>
      </c>
      <c r="D172" s="42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 x14ac:dyDescent="0.35">
      <c r="A173" s="32">
        <f t="shared" si="4"/>
        <v>0</v>
      </c>
      <c r="B173" s="33"/>
      <c r="C173" s="34">
        <f t="shared" si="5"/>
        <v>0</v>
      </c>
      <c r="D173" s="42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 x14ac:dyDescent="0.35">
      <c r="A174" s="32">
        <f t="shared" si="4"/>
        <v>0</v>
      </c>
      <c r="B174" s="33"/>
      <c r="C174" s="34">
        <f t="shared" si="5"/>
        <v>0</v>
      </c>
      <c r="D174" s="42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4"/>
    </row>
    <row r="175" spans="1:18" x14ac:dyDescent="0.35">
      <c r="A175" s="32">
        <f t="shared" si="4"/>
        <v>0</v>
      </c>
      <c r="B175" s="33"/>
      <c r="C175" s="34">
        <f t="shared" si="5"/>
        <v>0</v>
      </c>
      <c r="D175" s="42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4"/>
    </row>
    <row r="176" spans="1:18" x14ac:dyDescent="0.35">
      <c r="A176" s="32">
        <f t="shared" si="4"/>
        <v>0</v>
      </c>
      <c r="B176" s="33"/>
      <c r="C176" s="34">
        <f t="shared" si="5"/>
        <v>0</v>
      </c>
      <c r="D176" s="42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4"/>
    </row>
    <row r="177" spans="1:18" x14ac:dyDescent="0.35">
      <c r="A177" s="32">
        <f t="shared" si="4"/>
        <v>0</v>
      </c>
      <c r="B177" s="33"/>
      <c r="C177" s="34">
        <f t="shared" si="5"/>
        <v>0</v>
      </c>
      <c r="D177" s="42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4"/>
    </row>
    <row r="178" spans="1:18" x14ac:dyDescent="0.35">
      <c r="A178" s="32">
        <f t="shared" si="4"/>
        <v>0</v>
      </c>
      <c r="B178" s="33"/>
      <c r="C178" s="34">
        <f t="shared" si="5"/>
        <v>0</v>
      </c>
      <c r="D178" s="42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4"/>
    </row>
    <row r="179" spans="1:18" x14ac:dyDescent="0.35">
      <c r="A179" s="32">
        <f t="shared" si="4"/>
        <v>0</v>
      </c>
      <c r="B179" s="33"/>
      <c r="C179" s="34">
        <f t="shared" si="5"/>
        <v>0</v>
      </c>
      <c r="D179" s="42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4"/>
    </row>
    <row r="180" spans="1:18" x14ac:dyDescent="0.35">
      <c r="A180" s="32">
        <f t="shared" si="4"/>
        <v>0</v>
      </c>
      <c r="B180" s="33"/>
      <c r="C180" s="34">
        <f t="shared" si="5"/>
        <v>0</v>
      </c>
      <c r="D180" s="42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4"/>
    </row>
    <row r="181" spans="1:18" x14ac:dyDescent="0.35">
      <c r="A181" s="32">
        <f t="shared" si="4"/>
        <v>0</v>
      </c>
      <c r="B181" s="33"/>
      <c r="C181" s="34">
        <f t="shared" si="5"/>
        <v>0</v>
      </c>
      <c r="D181" s="42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4"/>
    </row>
    <row r="182" spans="1:18" x14ac:dyDescent="0.35">
      <c r="A182" s="32">
        <f t="shared" si="4"/>
        <v>0</v>
      </c>
      <c r="B182" s="33"/>
      <c r="C182" s="34">
        <f t="shared" si="5"/>
        <v>0</v>
      </c>
      <c r="D182" s="42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4"/>
    </row>
    <row r="183" spans="1:18" x14ac:dyDescent="0.35">
      <c r="A183" s="32">
        <f t="shared" si="4"/>
        <v>0</v>
      </c>
      <c r="B183" s="33"/>
      <c r="C183" s="34">
        <f t="shared" si="5"/>
        <v>0</v>
      </c>
      <c r="D183" s="42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4"/>
    </row>
    <row r="184" spans="1:18" x14ac:dyDescent="0.35">
      <c r="A184" s="32">
        <f t="shared" si="4"/>
        <v>0</v>
      </c>
      <c r="B184" s="33"/>
      <c r="C184" s="34">
        <f t="shared" si="5"/>
        <v>0</v>
      </c>
      <c r="D184" s="42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4"/>
    </row>
    <row r="185" spans="1:18" x14ac:dyDescent="0.35">
      <c r="A185" s="32">
        <f t="shared" si="4"/>
        <v>0</v>
      </c>
      <c r="B185" s="33"/>
      <c r="C185" s="34">
        <f t="shared" si="5"/>
        <v>0</v>
      </c>
      <c r="D185" s="42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4"/>
    </row>
    <row r="186" spans="1:18" x14ac:dyDescent="0.35">
      <c r="A186" s="32">
        <f t="shared" si="4"/>
        <v>0</v>
      </c>
      <c r="B186" s="33"/>
      <c r="C186" s="34">
        <f t="shared" si="5"/>
        <v>0</v>
      </c>
      <c r="D186" s="42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4"/>
    </row>
    <row r="187" spans="1:18" x14ac:dyDescent="0.35">
      <c r="A187" s="32">
        <f t="shared" si="4"/>
        <v>0</v>
      </c>
      <c r="B187" s="33"/>
      <c r="C187" s="34">
        <f t="shared" si="5"/>
        <v>0</v>
      </c>
      <c r="D187" s="42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4"/>
    </row>
    <row r="188" spans="1:18" x14ac:dyDescent="0.35">
      <c r="A188" s="32">
        <f t="shared" si="4"/>
        <v>0</v>
      </c>
      <c r="B188" s="33"/>
      <c r="C188" s="34">
        <f t="shared" si="5"/>
        <v>0</v>
      </c>
      <c r="D188" s="42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4"/>
    </row>
    <row r="189" spans="1:18" x14ac:dyDescent="0.35">
      <c r="A189" s="32">
        <f t="shared" si="4"/>
        <v>0</v>
      </c>
      <c r="B189" s="33"/>
      <c r="C189" s="34">
        <f t="shared" si="5"/>
        <v>0</v>
      </c>
      <c r="D189" s="42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4"/>
    </row>
    <row r="190" spans="1:18" x14ac:dyDescent="0.35">
      <c r="A190" s="32">
        <f t="shared" si="4"/>
        <v>0</v>
      </c>
      <c r="B190" s="33"/>
      <c r="C190" s="34">
        <f t="shared" si="5"/>
        <v>0</v>
      </c>
      <c r="D190" s="42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4"/>
    </row>
    <row r="191" spans="1:18" x14ac:dyDescent="0.35">
      <c r="A191" s="32">
        <f t="shared" si="4"/>
        <v>0</v>
      </c>
      <c r="B191" s="33"/>
      <c r="C191" s="34">
        <f t="shared" si="5"/>
        <v>0</v>
      </c>
      <c r="D191" s="42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4"/>
    </row>
    <row r="192" spans="1:18" x14ac:dyDescent="0.35">
      <c r="A192" s="32">
        <f t="shared" si="4"/>
        <v>0</v>
      </c>
      <c r="B192" s="33"/>
      <c r="C192" s="34">
        <f t="shared" si="5"/>
        <v>0</v>
      </c>
      <c r="D192" s="42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4"/>
    </row>
    <row r="193" spans="1:18" x14ac:dyDescent="0.35">
      <c r="A193" s="32">
        <f t="shared" si="4"/>
        <v>0</v>
      </c>
      <c r="B193" s="33"/>
      <c r="C193" s="34">
        <f t="shared" si="5"/>
        <v>0</v>
      </c>
      <c r="D193" s="42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4"/>
    </row>
    <row r="194" spans="1:18" x14ac:dyDescent="0.35">
      <c r="A194" s="32">
        <f t="shared" si="4"/>
        <v>0</v>
      </c>
      <c r="B194" s="33"/>
      <c r="C194" s="34">
        <f t="shared" si="5"/>
        <v>0</v>
      </c>
      <c r="D194" s="42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4"/>
    </row>
    <row r="195" spans="1:18" x14ac:dyDescent="0.35">
      <c r="A195" s="32">
        <f t="shared" si="4"/>
        <v>0</v>
      </c>
      <c r="B195" s="33"/>
      <c r="C195" s="34">
        <f t="shared" si="5"/>
        <v>0</v>
      </c>
      <c r="D195" s="42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4"/>
    </row>
    <row r="196" spans="1:18" x14ac:dyDescent="0.35">
      <c r="A196" s="32">
        <f t="shared" ref="A196:A259" si="6">F196</f>
        <v>0</v>
      </c>
      <c r="B196" s="33"/>
      <c r="C196" s="34">
        <f t="shared" ref="C196:C259" si="7">F196</f>
        <v>0</v>
      </c>
      <c r="D196" s="42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4"/>
    </row>
    <row r="197" spans="1:18" x14ac:dyDescent="0.35">
      <c r="A197" s="32">
        <f t="shared" si="6"/>
        <v>0</v>
      </c>
      <c r="B197" s="33"/>
      <c r="C197" s="34">
        <f t="shared" si="7"/>
        <v>0</v>
      </c>
      <c r="D197" s="42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4"/>
    </row>
    <row r="198" spans="1:18" x14ac:dyDescent="0.35">
      <c r="A198" s="32">
        <f t="shared" si="6"/>
        <v>0</v>
      </c>
      <c r="B198" s="33"/>
      <c r="C198" s="34">
        <f t="shared" si="7"/>
        <v>0</v>
      </c>
      <c r="D198" s="42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4"/>
    </row>
    <row r="199" spans="1:18" x14ac:dyDescent="0.35">
      <c r="A199" s="32">
        <f t="shared" si="6"/>
        <v>0</v>
      </c>
      <c r="B199" s="33"/>
      <c r="C199" s="34">
        <f t="shared" si="7"/>
        <v>0</v>
      </c>
      <c r="D199" s="42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4"/>
    </row>
    <row r="200" spans="1:18" x14ac:dyDescent="0.35">
      <c r="A200" s="32">
        <f t="shared" si="6"/>
        <v>0</v>
      </c>
      <c r="B200" s="33"/>
      <c r="C200" s="34">
        <f t="shared" si="7"/>
        <v>0</v>
      </c>
      <c r="D200" s="42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4"/>
    </row>
    <row r="201" spans="1:18" x14ac:dyDescent="0.35">
      <c r="A201" s="32">
        <f t="shared" si="6"/>
        <v>0</v>
      </c>
      <c r="B201" s="33"/>
      <c r="C201" s="34">
        <f t="shared" si="7"/>
        <v>0</v>
      </c>
      <c r="D201" s="42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4"/>
    </row>
    <row r="202" spans="1:18" x14ac:dyDescent="0.35">
      <c r="A202" s="32">
        <f t="shared" si="6"/>
        <v>0</v>
      </c>
      <c r="B202" s="33"/>
      <c r="C202" s="34">
        <f t="shared" si="7"/>
        <v>0</v>
      </c>
      <c r="D202" s="42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4"/>
    </row>
    <row r="203" spans="1:18" x14ac:dyDescent="0.35">
      <c r="A203" s="32">
        <f t="shared" si="6"/>
        <v>0</v>
      </c>
      <c r="B203" s="33"/>
      <c r="C203" s="34">
        <f t="shared" si="7"/>
        <v>0</v>
      </c>
      <c r="D203" s="42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4"/>
    </row>
    <row r="204" spans="1:18" x14ac:dyDescent="0.35">
      <c r="A204" s="32">
        <f t="shared" si="6"/>
        <v>0</v>
      </c>
      <c r="B204" s="33"/>
      <c r="C204" s="34">
        <f t="shared" si="7"/>
        <v>0</v>
      </c>
      <c r="D204" s="42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4"/>
    </row>
    <row r="205" spans="1:18" x14ac:dyDescent="0.35">
      <c r="A205" s="32">
        <f t="shared" si="6"/>
        <v>0</v>
      </c>
      <c r="B205" s="33"/>
      <c r="C205" s="34">
        <f t="shared" si="7"/>
        <v>0</v>
      </c>
      <c r="D205" s="42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4"/>
    </row>
    <row r="206" spans="1:18" x14ac:dyDescent="0.35">
      <c r="A206" s="32">
        <f t="shared" si="6"/>
        <v>0</v>
      </c>
      <c r="B206" s="33"/>
      <c r="C206" s="34">
        <f t="shared" si="7"/>
        <v>0</v>
      </c>
      <c r="D206" s="42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4"/>
    </row>
    <row r="207" spans="1:18" x14ac:dyDescent="0.35">
      <c r="A207" s="32">
        <f t="shared" si="6"/>
        <v>0</v>
      </c>
      <c r="B207" s="33"/>
      <c r="C207" s="34">
        <f t="shared" si="7"/>
        <v>0</v>
      </c>
      <c r="D207" s="42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4"/>
    </row>
    <row r="208" spans="1:18" x14ac:dyDescent="0.35">
      <c r="A208" s="32">
        <f t="shared" si="6"/>
        <v>0</v>
      </c>
      <c r="B208" s="33"/>
      <c r="C208" s="34">
        <f t="shared" si="7"/>
        <v>0</v>
      </c>
      <c r="D208" s="42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4"/>
    </row>
    <row r="209" spans="1:18" x14ac:dyDescent="0.35">
      <c r="A209" s="32">
        <f t="shared" si="6"/>
        <v>0</v>
      </c>
      <c r="B209" s="33"/>
      <c r="C209" s="34">
        <f t="shared" si="7"/>
        <v>0</v>
      </c>
      <c r="D209" s="42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4"/>
    </row>
    <row r="210" spans="1:18" x14ac:dyDescent="0.35">
      <c r="A210" s="32">
        <f t="shared" si="6"/>
        <v>0</v>
      </c>
      <c r="B210" s="33"/>
      <c r="C210" s="34">
        <f t="shared" si="7"/>
        <v>0</v>
      </c>
      <c r="D210" s="42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4"/>
    </row>
    <row r="211" spans="1:18" x14ac:dyDescent="0.35">
      <c r="A211" s="32">
        <f t="shared" si="6"/>
        <v>0</v>
      </c>
      <c r="B211" s="33"/>
      <c r="C211" s="34">
        <f t="shared" si="7"/>
        <v>0</v>
      </c>
      <c r="D211" s="42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4"/>
    </row>
    <row r="212" spans="1:18" x14ac:dyDescent="0.35">
      <c r="A212" s="32">
        <f t="shared" si="6"/>
        <v>0</v>
      </c>
      <c r="B212" s="33"/>
      <c r="C212" s="34">
        <f t="shared" si="7"/>
        <v>0</v>
      </c>
      <c r="D212" s="42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4"/>
    </row>
    <row r="213" spans="1:18" x14ac:dyDescent="0.35">
      <c r="A213" s="32">
        <f t="shared" si="6"/>
        <v>0</v>
      </c>
      <c r="B213" s="33"/>
      <c r="C213" s="34">
        <f t="shared" si="7"/>
        <v>0</v>
      </c>
      <c r="D213" s="42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4"/>
    </row>
    <row r="214" spans="1:18" x14ac:dyDescent="0.35">
      <c r="A214" s="32">
        <f t="shared" si="6"/>
        <v>0</v>
      </c>
      <c r="B214" s="33"/>
      <c r="C214" s="34">
        <f t="shared" si="7"/>
        <v>0</v>
      </c>
      <c r="D214" s="42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4"/>
    </row>
    <row r="215" spans="1:18" x14ac:dyDescent="0.35">
      <c r="A215" s="32">
        <f t="shared" si="6"/>
        <v>0</v>
      </c>
      <c r="B215" s="33"/>
      <c r="C215" s="34">
        <f t="shared" si="7"/>
        <v>0</v>
      </c>
      <c r="D215" s="42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4"/>
    </row>
    <row r="216" spans="1:18" x14ac:dyDescent="0.35">
      <c r="A216" s="32">
        <f t="shared" si="6"/>
        <v>0</v>
      </c>
      <c r="B216" s="33"/>
      <c r="C216" s="34">
        <f t="shared" si="7"/>
        <v>0</v>
      </c>
      <c r="D216" s="42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4"/>
    </row>
    <row r="217" spans="1:18" x14ac:dyDescent="0.35">
      <c r="A217" s="32">
        <f t="shared" si="6"/>
        <v>0</v>
      </c>
      <c r="B217" s="33"/>
      <c r="C217" s="34">
        <f t="shared" si="7"/>
        <v>0</v>
      </c>
      <c r="D217" s="42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4"/>
    </row>
    <row r="218" spans="1:18" x14ac:dyDescent="0.35">
      <c r="A218" s="32">
        <f t="shared" si="6"/>
        <v>0</v>
      </c>
      <c r="B218" s="33"/>
      <c r="C218" s="34">
        <f t="shared" si="7"/>
        <v>0</v>
      </c>
      <c r="D218" s="42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4"/>
    </row>
    <row r="219" spans="1:18" x14ac:dyDescent="0.35">
      <c r="A219" s="32">
        <f t="shared" si="6"/>
        <v>0</v>
      </c>
      <c r="B219" s="33"/>
      <c r="C219" s="34">
        <f t="shared" si="7"/>
        <v>0</v>
      </c>
      <c r="D219" s="42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4"/>
    </row>
    <row r="220" spans="1:18" x14ac:dyDescent="0.35">
      <c r="A220" s="32">
        <f t="shared" si="6"/>
        <v>0</v>
      </c>
      <c r="B220" s="33"/>
      <c r="C220" s="34">
        <f t="shared" si="7"/>
        <v>0</v>
      </c>
      <c r="D220" s="42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4"/>
    </row>
    <row r="221" spans="1:18" x14ac:dyDescent="0.35">
      <c r="A221" s="32">
        <f t="shared" si="6"/>
        <v>0</v>
      </c>
      <c r="B221" s="33"/>
      <c r="C221" s="34">
        <f t="shared" si="7"/>
        <v>0</v>
      </c>
      <c r="D221" s="42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4"/>
    </row>
    <row r="222" spans="1:18" x14ac:dyDescent="0.35">
      <c r="A222" s="32">
        <f t="shared" si="6"/>
        <v>0</v>
      </c>
      <c r="B222" s="33"/>
      <c r="C222" s="34">
        <f t="shared" si="7"/>
        <v>0</v>
      </c>
      <c r="D222" s="42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4"/>
    </row>
    <row r="223" spans="1:18" x14ac:dyDescent="0.35">
      <c r="A223" s="32">
        <f t="shared" si="6"/>
        <v>0</v>
      </c>
      <c r="B223" s="33"/>
      <c r="C223" s="34">
        <f t="shared" si="7"/>
        <v>0</v>
      </c>
      <c r="D223" s="42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4"/>
    </row>
    <row r="224" spans="1:18" x14ac:dyDescent="0.35">
      <c r="A224" s="32">
        <f t="shared" si="6"/>
        <v>0</v>
      </c>
      <c r="B224" s="33"/>
      <c r="C224" s="34">
        <f t="shared" si="7"/>
        <v>0</v>
      </c>
      <c r="D224" s="42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4"/>
    </row>
    <row r="225" spans="1:18" x14ac:dyDescent="0.35">
      <c r="A225" s="32">
        <f t="shared" si="6"/>
        <v>0</v>
      </c>
      <c r="B225" s="33"/>
      <c r="C225" s="34">
        <f t="shared" si="7"/>
        <v>0</v>
      </c>
      <c r="D225" s="42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4"/>
    </row>
    <row r="226" spans="1:18" x14ac:dyDescent="0.35">
      <c r="A226" s="32">
        <f t="shared" si="6"/>
        <v>0</v>
      </c>
      <c r="B226" s="33"/>
      <c r="C226" s="34">
        <f t="shared" si="7"/>
        <v>0</v>
      </c>
      <c r="D226" s="42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4"/>
    </row>
    <row r="227" spans="1:18" x14ac:dyDescent="0.35">
      <c r="A227" s="32">
        <f t="shared" si="6"/>
        <v>0</v>
      </c>
      <c r="B227" s="33"/>
      <c r="C227" s="34">
        <f t="shared" si="7"/>
        <v>0</v>
      </c>
      <c r="D227" s="42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4"/>
    </row>
    <row r="228" spans="1:18" x14ac:dyDescent="0.35">
      <c r="A228" s="32">
        <f t="shared" si="6"/>
        <v>0</v>
      </c>
      <c r="B228" s="33"/>
      <c r="C228" s="34">
        <f t="shared" si="7"/>
        <v>0</v>
      </c>
      <c r="D228" s="42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4"/>
    </row>
    <row r="229" spans="1:18" x14ac:dyDescent="0.35">
      <c r="A229" s="32">
        <f t="shared" si="6"/>
        <v>0</v>
      </c>
      <c r="B229" s="33"/>
      <c r="C229" s="34">
        <f t="shared" si="7"/>
        <v>0</v>
      </c>
      <c r="D229" s="42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4"/>
    </row>
    <row r="230" spans="1:18" x14ac:dyDescent="0.35">
      <c r="A230" s="32">
        <f t="shared" si="6"/>
        <v>0</v>
      </c>
      <c r="B230" s="33"/>
      <c r="C230" s="34">
        <f t="shared" si="7"/>
        <v>0</v>
      </c>
      <c r="D230" s="42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4"/>
    </row>
    <row r="231" spans="1:18" x14ac:dyDescent="0.35">
      <c r="A231" s="32">
        <f t="shared" si="6"/>
        <v>0</v>
      </c>
      <c r="B231" s="33"/>
      <c r="C231" s="34">
        <f t="shared" si="7"/>
        <v>0</v>
      </c>
      <c r="D231" s="42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4"/>
    </row>
    <row r="232" spans="1:18" x14ac:dyDescent="0.35">
      <c r="A232" s="32">
        <f t="shared" si="6"/>
        <v>0</v>
      </c>
      <c r="B232" s="33"/>
      <c r="C232" s="34">
        <f t="shared" si="7"/>
        <v>0</v>
      </c>
      <c r="D232" s="42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4"/>
    </row>
    <row r="233" spans="1:18" x14ac:dyDescent="0.35">
      <c r="A233" s="32">
        <f t="shared" si="6"/>
        <v>0</v>
      </c>
      <c r="B233" s="33"/>
      <c r="C233" s="34">
        <f t="shared" si="7"/>
        <v>0</v>
      </c>
      <c r="D233" s="42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4"/>
    </row>
    <row r="234" spans="1:18" x14ac:dyDescent="0.35">
      <c r="A234" s="32">
        <f t="shared" si="6"/>
        <v>0</v>
      </c>
      <c r="B234" s="33"/>
      <c r="C234" s="34">
        <f t="shared" si="7"/>
        <v>0</v>
      </c>
      <c r="D234" s="42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4"/>
    </row>
    <row r="235" spans="1:18" x14ac:dyDescent="0.35">
      <c r="A235" s="32">
        <f t="shared" si="6"/>
        <v>0</v>
      </c>
      <c r="B235" s="33"/>
      <c r="C235" s="34">
        <f t="shared" si="7"/>
        <v>0</v>
      </c>
      <c r="D235" s="42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4"/>
    </row>
    <row r="236" spans="1:18" x14ac:dyDescent="0.35">
      <c r="A236" s="32">
        <f t="shared" si="6"/>
        <v>0</v>
      </c>
      <c r="B236" s="33"/>
      <c r="C236" s="34">
        <f t="shared" si="7"/>
        <v>0</v>
      </c>
      <c r="D236" s="42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4"/>
    </row>
    <row r="237" spans="1:18" x14ac:dyDescent="0.35">
      <c r="A237" s="32">
        <f t="shared" si="6"/>
        <v>0</v>
      </c>
      <c r="B237" s="33"/>
      <c r="C237" s="34">
        <f t="shared" si="7"/>
        <v>0</v>
      </c>
      <c r="D237" s="42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4"/>
    </row>
    <row r="238" spans="1:18" x14ac:dyDescent="0.35">
      <c r="A238" s="32">
        <f t="shared" si="6"/>
        <v>0</v>
      </c>
      <c r="B238" s="33"/>
      <c r="C238" s="34">
        <f t="shared" si="7"/>
        <v>0</v>
      </c>
      <c r="D238" s="42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4"/>
    </row>
    <row r="239" spans="1:18" x14ac:dyDescent="0.35">
      <c r="A239" s="32">
        <f t="shared" si="6"/>
        <v>0</v>
      </c>
      <c r="B239" s="33"/>
      <c r="C239" s="34">
        <f t="shared" si="7"/>
        <v>0</v>
      </c>
      <c r="D239" s="42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4"/>
    </row>
    <row r="240" spans="1:18" x14ac:dyDescent="0.35">
      <c r="A240" s="32">
        <f t="shared" si="6"/>
        <v>0</v>
      </c>
      <c r="B240" s="33"/>
      <c r="C240" s="34">
        <f t="shared" si="7"/>
        <v>0</v>
      </c>
      <c r="D240" s="42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4"/>
    </row>
    <row r="241" spans="1:18" x14ac:dyDescent="0.35">
      <c r="A241" s="32">
        <f t="shared" si="6"/>
        <v>0</v>
      </c>
      <c r="B241" s="33"/>
      <c r="C241" s="34">
        <f t="shared" si="7"/>
        <v>0</v>
      </c>
      <c r="D241" s="42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4"/>
    </row>
    <row r="242" spans="1:18" x14ac:dyDescent="0.35">
      <c r="A242" s="32">
        <f t="shared" si="6"/>
        <v>0</v>
      </c>
      <c r="B242" s="33"/>
      <c r="C242" s="34">
        <f t="shared" si="7"/>
        <v>0</v>
      </c>
      <c r="D242" s="42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4"/>
    </row>
    <row r="243" spans="1:18" x14ac:dyDescent="0.35">
      <c r="A243" s="32">
        <f t="shared" si="6"/>
        <v>0</v>
      </c>
      <c r="B243" s="33"/>
      <c r="C243" s="34">
        <f t="shared" si="7"/>
        <v>0</v>
      </c>
      <c r="D243" s="42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4"/>
    </row>
    <row r="244" spans="1:18" x14ac:dyDescent="0.35">
      <c r="A244" s="32">
        <f t="shared" si="6"/>
        <v>0</v>
      </c>
      <c r="B244" s="33"/>
      <c r="C244" s="34">
        <f t="shared" si="7"/>
        <v>0</v>
      </c>
      <c r="D244" s="42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4"/>
    </row>
    <row r="245" spans="1:18" x14ac:dyDescent="0.35">
      <c r="A245" s="32">
        <f t="shared" si="6"/>
        <v>0</v>
      </c>
      <c r="B245" s="33"/>
      <c r="C245" s="34">
        <f t="shared" si="7"/>
        <v>0</v>
      </c>
      <c r="D245" s="42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4"/>
    </row>
    <row r="246" spans="1:18" x14ac:dyDescent="0.35">
      <c r="A246" s="32">
        <f t="shared" si="6"/>
        <v>0</v>
      </c>
      <c r="B246" s="33"/>
      <c r="C246" s="34">
        <f t="shared" si="7"/>
        <v>0</v>
      </c>
      <c r="D246" s="42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4"/>
    </row>
    <row r="247" spans="1:18" x14ac:dyDescent="0.35">
      <c r="A247" s="32">
        <f t="shared" si="6"/>
        <v>0</v>
      </c>
      <c r="B247" s="33"/>
      <c r="C247" s="34">
        <f t="shared" si="7"/>
        <v>0</v>
      </c>
      <c r="D247" s="42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4"/>
    </row>
    <row r="248" spans="1:18" x14ac:dyDescent="0.35">
      <c r="A248" s="32">
        <f t="shared" si="6"/>
        <v>0</v>
      </c>
      <c r="B248" s="33"/>
      <c r="C248" s="34">
        <f t="shared" si="7"/>
        <v>0</v>
      </c>
      <c r="D248" s="42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4"/>
    </row>
    <row r="249" spans="1:18" x14ac:dyDescent="0.35">
      <c r="A249" s="32">
        <f t="shared" si="6"/>
        <v>0</v>
      </c>
      <c r="B249" s="33"/>
      <c r="C249" s="34">
        <f t="shared" si="7"/>
        <v>0</v>
      </c>
      <c r="D249" s="42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4"/>
    </row>
    <row r="250" spans="1:18" x14ac:dyDescent="0.35">
      <c r="A250" s="32">
        <f t="shared" si="6"/>
        <v>0</v>
      </c>
      <c r="B250" s="33"/>
      <c r="C250" s="34">
        <f t="shared" si="7"/>
        <v>0</v>
      </c>
      <c r="D250" s="42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4"/>
    </row>
    <row r="251" spans="1:18" x14ac:dyDescent="0.35">
      <c r="A251" s="32">
        <f t="shared" si="6"/>
        <v>0</v>
      </c>
      <c r="B251" s="33"/>
      <c r="C251" s="34">
        <f t="shared" si="7"/>
        <v>0</v>
      </c>
      <c r="D251" s="42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4"/>
    </row>
    <row r="252" spans="1:18" x14ac:dyDescent="0.35">
      <c r="A252" s="32">
        <f t="shared" si="6"/>
        <v>0</v>
      </c>
      <c r="B252" s="33"/>
      <c r="C252" s="34">
        <f t="shared" si="7"/>
        <v>0</v>
      </c>
      <c r="D252" s="42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4"/>
    </row>
    <row r="253" spans="1:18" x14ac:dyDescent="0.35">
      <c r="A253" s="32">
        <f t="shared" si="6"/>
        <v>0</v>
      </c>
      <c r="B253" s="33"/>
      <c r="C253" s="34">
        <f t="shared" si="7"/>
        <v>0</v>
      </c>
      <c r="D253" s="42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4"/>
    </row>
    <row r="254" spans="1:18" x14ac:dyDescent="0.35">
      <c r="A254" s="32">
        <f t="shared" si="6"/>
        <v>0</v>
      </c>
      <c r="B254" s="33"/>
      <c r="C254" s="34">
        <f t="shared" si="7"/>
        <v>0</v>
      </c>
      <c r="D254" s="42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4"/>
    </row>
    <row r="255" spans="1:18" x14ac:dyDescent="0.35">
      <c r="A255" s="32">
        <f t="shared" si="6"/>
        <v>0</v>
      </c>
      <c r="B255" s="33"/>
      <c r="C255" s="34">
        <f t="shared" si="7"/>
        <v>0</v>
      </c>
      <c r="D255" s="42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4"/>
    </row>
    <row r="256" spans="1:18" x14ac:dyDescent="0.35">
      <c r="A256" s="32">
        <f t="shared" si="6"/>
        <v>0</v>
      </c>
      <c r="B256" s="33"/>
      <c r="C256" s="34">
        <f t="shared" si="7"/>
        <v>0</v>
      </c>
      <c r="D256" s="42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4"/>
    </row>
    <row r="257" spans="1:18" x14ac:dyDescent="0.35">
      <c r="A257" s="32">
        <f t="shared" si="6"/>
        <v>0</v>
      </c>
      <c r="B257" s="33"/>
      <c r="C257" s="34">
        <f t="shared" si="7"/>
        <v>0</v>
      </c>
      <c r="D257" s="42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4"/>
    </row>
    <row r="258" spans="1:18" x14ac:dyDescent="0.35">
      <c r="A258" s="32">
        <f t="shared" si="6"/>
        <v>0</v>
      </c>
      <c r="B258" s="33"/>
      <c r="C258" s="34">
        <f t="shared" si="7"/>
        <v>0</v>
      </c>
      <c r="D258" s="42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4"/>
    </row>
    <row r="259" spans="1:18" x14ac:dyDescent="0.35">
      <c r="A259" s="32">
        <f t="shared" si="6"/>
        <v>0</v>
      </c>
      <c r="B259" s="33"/>
      <c r="C259" s="34">
        <f t="shared" si="7"/>
        <v>0</v>
      </c>
      <c r="D259" s="42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4"/>
    </row>
    <row r="260" spans="1:18" x14ac:dyDescent="0.35">
      <c r="A260" s="32">
        <f t="shared" ref="A260:A323" si="8">F260</f>
        <v>0</v>
      </c>
      <c r="B260" s="33"/>
      <c r="C260" s="34">
        <f t="shared" ref="C260:C323" si="9">F260</f>
        <v>0</v>
      </c>
      <c r="D260" s="42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4"/>
    </row>
    <row r="261" spans="1:18" x14ac:dyDescent="0.35">
      <c r="A261" s="32">
        <f t="shared" si="8"/>
        <v>0</v>
      </c>
      <c r="B261" s="33"/>
      <c r="C261" s="34">
        <f t="shared" si="9"/>
        <v>0</v>
      </c>
      <c r="D261" s="42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4"/>
    </row>
    <row r="262" spans="1:18" x14ac:dyDescent="0.35">
      <c r="A262" s="32">
        <f t="shared" si="8"/>
        <v>0</v>
      </c>
      <c r="B262" s="33"/>
      <c r="C262" s="34">
        <f t="shared" si="9"/>
        <v>0</v>
      </c>
      <c r="D262" s="42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4"/>
    </row>
    <row r="263" spans="1:18" x14ac:dyDescent="0.35">
      <c r="A263" s="32">
        <f t="shared" si="8"/>
        <v>0</v>
      </c>
      <c r="B263" s="33"/>
      <c r="C263" s="34">
        <f t="shared" si="9"/>
        <v>0</v>
      </c>
      <c r="D263" s="42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4"/>
    </row>
    <row r="264" spans="1:18" x14ac:dyDescent="0.35">
      <c r="A264" s="32">
        <f t="shared" si="8"/>
        <v>0</v>
      </c>
      <c r="B264" s="33"/>
      <c r="C264" s="34">
        <f t="shared" si="9"/>
        <v>0</v>
      </c>
      <c r="D264" s="42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4"/>
    </row>
    <row r="265" spans="1:18" x14ac:dyDescent="0.35">
      <c r="A265" s="32">
        <f t="shared" si="8"/>
        <v>0</v>
      </c>
      <c r="B265" s="33"/>
      <c r="C265" s="34">
        <f t="shared" si="9"/>
        <v>0</v>
      </c>
      <c r="D265" s="42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4"/>
    </row>
    <row r="266" spans="1:18" x14ac:dyDescent="0.35">
      <c r="A266" s="32">
        <f t="shared" si="8"/>
        <v>0</v>
      </c>
      <c r="B266" s="33"/>
      <c r="C266" s="34">
        <f t="shared" si="9"/>
        <v>0</v>
      </c>
      <c r="D266" s="42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4"/>
    </row>
    <row r="267" spans="1:18" x14ac:dyDescent="0.35">
      <c r="A267" s="32">
        <f t="shared" si="8"/>
        <v>0</v>
      </c>
      <c r="B267" s="33"/>
      <c r="C267" s="34">
        <f t="shared" si="9"/>
        <v>0</v>
      </c>
      <c r="D267" s="42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4"/>
    </row>
    <row r="268" spans="1:18" x14ac:dyDescent="0.35">
      <c r="A268" s="32">
        <f t="shared" si="8"/>
        <v>0</v>
      </c>
      <c r="B268" s="33"/>
      <c r="C268" s="34">
        <f t="shared" si="9"/>
        <v>0</v>
      </c>
      <c r="D268" s="42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4"/>
    </row>
    <row r="269" spans="1:18" x14ac:dyDescent="0.35">
      <c r="A269" s="32">
        <f t="shared" si="8"/>
        <v>0</v>
      </c>
      <c r="B269" s="33"/>
      <c r="C269" s="34">
        <f t="shared" si="9"/>
        <v>0</v>
      </c>
      <c r="D269" s="42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4"/>
    </row>
    <row r="270" spans="1:18" x14ac:dyDescent="0.35">
      <c r="A270" s="32">
        <f t="shared" si="8"/>
        <v>0</v>
      </c>
      <c r="B270" s="33"/>
      <c r="C270" s="34">
        <f t="shared" si="9"/>
        <v>0</v>
      </c>
      <c r="D270" s="42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4"/>
    </row>
    <row r="271" spans="1:18" x14ac:dyDescent="0.35">
      <c r="A271" s="32">
        <f t="shared" si="8"/>
        <v>0</v>
      </c>
      <c r="B271" s="33"/>
      <c r="C271" s="34">
        <f t="shared" si="9"/>
        <v>0</v>
      </c>
      <c r="D271" s="42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4"/>
    </row>
    <row r="272" spans="1:18" x14ac:dyDescent="0.35">
      <c r="A272" s="32">
        <f t="shared" si="8"/>
        <v>0</v>
      </c>
      <c r="B272" s="33"/>
      <c r="C272" s="34">
        <f t="shared" si="9"/>
        <v>0</v>
      </c>
      <c r="D272" s="42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4"/>
    </row>
    <row r="273" spans="1:18" x14ac:dyDescent="0.35">
      <c r="A273" s="32">
        <f t="shared" si="8"/>
        <v>0</v>
      </c>
      <c r="B273" s="33"/>
      <c r="C273" s="34">
        <f t="shared" si="9"/>
        <v>0</v>
      </c>
      <c r="D273" s="42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4"/>
    </row>
    <row r="274" spans="1:18" x14ac:dyDescent="0.35">
      <c r="A274" s="32">
        <f t="shared" si="8"/>
        <v>0</v>
      </c>
      <c r="B274" s="33"/>
      <c r="C274" s="34">
        <f t="shared" si="9"/>
        <v>0</v>
      </c>
      <c r="D274" s="42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4"/>
    </row>
    <row r="275" spans="1:18" x14ac:dyDescent="0.35">
      <c r="A275" s="32">
        <f t="shared" si="8"/>
        <v>0</v>
      </c>
      <c r="B275" s="33"/>
      <c r="C275" s="34">
        <f t="shared" si="9"/>
        <v>0</v>
      </c>
      <c r="D275" s="42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4"/>
    </row>
    <row r="276" spans="1:18" x14ac:dyDescent="0.35">
      <c r="A276" s="32">
        <f t="shared" si="8"/>
        <v>0</v>
      </c>
      <c r="B276" s="33"/>
      <c r="C276" s="34">
        <f t="shared" si="9"/>
        <v>0</v>
      </c>
      <c r="D276" s="42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4"/>
    </row>
    <row r="277" spans="1:18" x14ac:dyDescent="0.35">
      <c r="A277" s="32">
        <f t="shared" si="8"/>
        <v>0</v>
      </c>
      <c r="B277" s="33"/>
      <c r="C277" s="34">
        <f t="shared" si="9"/>
        <v>0</v>
      </c>
      <c r="D277" s="42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4"/>
    </row>
    <row r="278" spans="1:18" x14ac:dyDescent="0.35">
      <c r="A278" s="32">
        <f t="shared" si="8"/>
        <v>0</v>
      </c>
      <c r="B278" s="33"/>
      <c r="C278" s="34">
        <f t="shared" si="9"/>
        <v>0</v>
      </c>
      <c r="D278" s="42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4"/>
    </row>
    <row r="279" spans="1:18" x14ac:dyDescent="0.35">
      <c r="A279" s="32">
        <f t="shared" si="8"/>
        <v>0</v>
      </c>
      <c r="B279" s="33"/>
      <c r="C279" s="34">
        <f t="shared" si="9"/>
        <v>0</v>
      </c>
      <c r="D279" s="42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4"/>
    </row>
    <row r="280" spans="1:18" x14ac:dyDescent="0.35">
      <c r="A280" s="32">
        <f t="shared" si="8"/>
        <v>0</v>
      </c>
      <c r="B280" s="33"/>
      <c r="C280" s="34">
        <f t="shared" si="9"/>
        <v>0</v>
      </c>
      <c r="D280" s="42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4"/>
    </row>
    <row r="281" spans="1:18" x14ac:dyDescent="0.35">
      <c r="A281" s="32">
        <f t="shared" si="8"/>
        <v>0</v>
      </c>
      <c r="B281" s="33"/>
      <c r="C281" s="34">
        <f t="shared" si="9"/>
        <v>0</v>
      </c>
      <c r="D281" s="42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4"/>
    </row>
    <row r="282" spans="1:18" x14ac:dyDescent="0.35">
      <c r="A282" s="32">
        <f t="shared" si="8"/>
        <v>0</v>
      </c>
      <c r="B282" s="33"/>
      <c r="C282" s="34">
        <f t="shared" si="9"/>
        <v>0</v>
      </c>
      <c r="D282" s="42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4"/>
    </row>
    <row r="283" spans="1:18" x14ac:dyDescent="0.35">
      <c r="A283" s="32">
        <f t="shared" si="8"/>
        <v>0</v>
      </c>
      <c r="B283" s="33"/>
      <c r="C283" s="34">
        <f t="shared" si="9"/>
        <v>0</v>
      </c>
      <c r="D283" s="42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4"/>
    </row>
    <row r="284" spans="1:18" x14ac:dyDescent="0.35">
      <c r="A284" s="32">
        <f t="shared" si="8"/>
        <v>0</v>
      </c>
      <c r="B284" s="33"/>
      <c r="C284" s="34">
        <f t="shared" si="9"/>
        <v>0</v>
      </c>
      <c r="D284" s="42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4"/>
    </row>
    <row r="285" spans="1:18" x14ac:dyDescent="0.35">
      <c r="A285" s="32">
        <f t="shared" si="8"/>
        <v>0</v>
      </c>
      <c r="B285" s="33"/>
      <c r="C285" s="34">
        <f t="shared" si="9"/>
        <v>0</v>
      </c>
      <c r="D285" s="42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4"/>
    </row>
    <row r="286" spans="1:18" x14ac:dyDescent="0.35">
      <c r="A286" s="32">
        <f t="shared" si="8"/>
        <v>0</v>
      </c>
      <c r="B286" s="33"/>
      <c r="C286" s="34">
        <f t="shared" si="9"/>
        <v>0</v>
      </c>
      <c r="D286" s="42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4"/>
    </row>
    <row r="287" spans="1:18" x14ac:dyDescent="0.35">
      <c r="A287" s="32">
        <f t="shared" si="8"/>
        <v>0</v>
      </c>
      <c r="B287" s="33"/>
      <c r="C287" s="34">
        <f t="shared" si="9"/>
        <v>0</v>
      </c>
      <c r="D287" s="42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4"/>
    </row>
    <row r="288" spans="1:18" x14ac:dyDescent="0.35">
      <c r="A288" s="32">
        <f t="shared" si="8"/>
        <v>0</v>
      </c>
      <c r="B288" s="33"/>
      <c r="C288" s="34">
        <f t="shared" si="9"/>
        <v>0</v>
      </c>
      <c r="D288" s="42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4"/>
    </row>
    <row r="289" spans="1:18" x14ac:dyDescent="0.35">
      <c r="A289" s="32">
        <f t="shared" si="8"/>
        <v>0</v>
      </c>
      <c r="B289" s="33"/>
      <c r="C289" s="34">
        <f t="shared" si="9"/>
        <v>0</v>
      </c>
      <c r="D289" s="42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4"/>
    </row>
    <row r="290" spans="1:18" x14ac:dyDescent="0.35">
      <c r="A290" s="32">
        <f t="shared" si="8"/>
        <v>0</v>
      </c>
      <c r="B290" s="33"/>
      <c r="C290" s="34">
        <f t="shared" si="9"/>
        <v>0</v>
      </c>
      <c r="D290" s="42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4"/>
    </row>
    <row r="291" spans="1:18" x14ac:dyDescent="0.35">
      <c r="A291" s="32">
        <f t="shared" si="8"/>
        <v>0</v>
      </c>
      <c r="B291" s="33"/>
      <c r="C291" s="34">
        <f t="shared" si="9"/>
        <v>0</v>
      </c>
      <c r="D291" s="42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4"/>
    </row>
    <row r="292" spans="1:18" x14ac:dyDescent="0.35">
      <c r="A292" s="32">
        <f t="shared" si="8"/>
        <v>0</v>
      </c>
      <c r="B292" s="33"/>
      <c r="C292" s="34">
        <f t="shared" si="9"/>
        <v>0</v>
      </c>
      <c r="D292" s="42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4"/>
    </row>
    <row r="293" spans="1:18" x14ac:dyDescent="0.35">
      <c r="A293" s="32">
        <f t="shared" si="8"/>
        <v>0</v>
      </c>
      <c r="B293" s="33"/>
      <c r="C293" s="34">
        <f t="shared" si="9"/>
        <v>0</v>
      </c>
      <c r="D293" s="42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4"/>
    </row>
    <row r="294" spans="1:18" x14ac:dyDescent="0.35">
      <c r="A294" s="32">
        <f t="shared" si="8"/>
        <v>0</v>
      </c>
      <c r="B294" s="33"/>
      <c r="C294" s="34">
        <f t="shared" si="9"/>
        <v>0</v>
      </c>
      <c r="D294" s="42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4"/>
    </row>
    <row r="295" spans="1:18" x14ac:dyDescent="0.35">
      <c r="A295" s="32">
        <f t="shared" si="8"/>
        <v>0</v>
      </c>
      <c r="B295" s="33"/>
      <c r="C295" s="34">
        <f t="shared" si="9"/>
        <v>0</v>
      </c>
      <c r="D295" s="42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4"/>
    </row>
    <row r="296" spans="1:18" x14ac:dyDescent="0.35">
      <c r="A296" s="32">
        <f t="shared" si="8"/>
        <v>0</v>
      </c>
      <c r="B296" s="33"/>
      <c r="C296" s="34">
        <f t="shared" si="9"/>
        <v>0</v>
      </c>
      <c r="D296" s="42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4"/>
    </row>
    <row r="297" spans="1:18" x14ac:dyDescent="0.35">
      <c r="A297" s="32">
        <f t="shared" si="8"/>
        <v>0</v>
      </c>
      <c r="B297" s="33"/>
      <c r="C297" s="34">
        <f t="shared" si="9"/>
        <v>0</v>
      </c>
      <c r="D297" s="42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4"/>
    </row>
    <row r="298" spans="1:18" x14ac:dyDescent="0.35">
      <c r="A298" s="32">
        <f t="shared" si="8"/>
        <v>0</v>
      </c>
      <c r="B298" s="33"/>
      <c r="C298" s="34">
        <f t="shared" si="9"/>
        <v>0</v>
      </c>
      <c r="D298" s="42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4"/>
    </row>
    <row r="299" spans="1:18" x14ac:dyDescent="0.35">
      <c r="A299" s="32">
        <f t="shared" si="8"/>
        <v>0</v>
      </c>
      <c r="B299" s="33"/>
      <c r="C299" s="34">
        <f t="shared" si="9"/>
        <v>0</v>
      </c>
      <c r="D299" s="42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4"/>
    </row>
    <row r="300" spans="1:18" x14ac:dyDescent="0.35">
      <c r="A300" s="32">
        <f t="shared" si="8"/>
        <v>0</v>
      </c>
      <c r="B300" s="33"/>
      <c r="C300" s="34">
        <f t="shared" si="9"/>
        <v>0</v>
      </c>
      <c r="D300" s="42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4"/>
    </row>
    <row r="301" spans="1:18" x14ac:dyDescent="0.35">
      <c r="A301" s="32">
        <f t="shared" si="8"/>
        <v>0</v>
      </c>
      <c r="B301" s="33"/>
      <c r="C301" s="34">
        <f t="shared" si="9"/>
        <v>0</v>
      </c>
      <c r="D301" s="42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4"/>
    </row>
    <row r="302" spans="1:18" x14ac:dyDescent="0.35">
      <c r="A302" s="32">
        <f t="shared" si="8"/>
        <v>0</v>
      </c>
      <c r="B302" s="33"/>
      <c r="C302" s="34">
        <f t="shared" si="9"/>
        <v>0</v>
      </c>
      <c r="D302" s="42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4"/>
    </row>
    <row r="303" spans="1:18" x14ac:dyDescent="0.35">
      <c r="A303" s="32">
        <f t="shared" si="8"/>
        <v>0</v>
      </c>
      <c r="B303" s="33"/>
      <c r="C303" s="34">
        <f t="shared" si="9"/>
        <v>0</v>
      </c>
      <c r="D303" s="42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4"/>
    </row>
    <row r="304" spans="1:18" x14ac:dyDescent="0.35">
      <c r="A304" s="32">
        <f t="shared" si="8"/>
        <v>0</v>
      </c>
      <c r="B304" s="33"/>
      <c r="C304" s="34">
        <f t="shared" si="9"/>
        <v>0</v>
      </c>
      <c r="D304" s="42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4"/>
    </row>
    <row r="305" spans="1:18" x14ac:dyDescent="0.35">
      <c r="A305" s="32">
        <f t="shared" si="8"/>
        <v>0</v>
      </c>
      <c r="B305" s="33"/>
      <c r="C305" s="34">
        <f t="shared" si="9"/>
        <v>0</v>
      </c>
      <c r="D305" s="42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4"/>
    </row>
    <row r="306" spans="1:18" x14ac:dyDescent="0.35">
      <c r="A306" s="32">
        <f t="shared" si="8"/>
        <v>0</v>
      </c>
      <c r="B306" s="33"/>
      <c r="C306" s="34">
        <f t="shared" si="9"/>
        <v>0</v>
      </c>
      <c r="D306" s="42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4"/>
    </row>
    <row r="307" spans="1:18" x14ac:dyDescent="0.35">
      <c r="A307" s="32">
        <f t="shared" si="8"/>
        <v>0</v>
      </c>
      <c r="B307" s="33"/>
      <c r="C307" s="34">
        <f t="shared" si="9"/>
        <v>0</v>
      </c>
      <c r="D307" s="42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4"/>
    </row>
    <row r="308" spans="1:18" x14ac:dyDescent="0.35">
      <c r="A308" s="32">
        <f t="shared" si="8"/>
        <v>0</v>
      </c>
      <c r="B308" s="33"/>
      <c r="C308" s="34">
        <f t="shared" si="9"/>
        <v>0</v>
      </c>
      <c r="D308" s="42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4"/>
    </row>
    <row r="309" spans="1:18" x14ac:dyDescent="0.35">
      <c r="A309" s="32">
        <f t="shared" si="8"/>
        <v>0</v>
      </c>
      <c r="B309" s="33"/>
      <c r="C309" s="34">
        <f t="shared" si="9"/>
        <v>0</v>
      </c>
      <c r="D309" s="42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4"/>
    </row>
    <row r="310" spans="1:18" x14ac:dyDescent="0.35">
      <c r="A310" s="32">
        <f t="shared" si="8"/>
        <v>0</v>
      </c>
      <c r="B310" s="33"/>
      <c r="C310" s="34">
        <f t="shared" si="9"/>
        <v>0</v>
      </c>
      <c r="D310" s="42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4"/>
    </row>
    <row r="311" spans="1:18" x14ac:dyDescent="0.35">
      <c r="A311" s="32">
        <f t="shared" si="8"/>
        <v>0</v>
      </c>
      <c r="B311" s="33"/>
      <c r="C311" s="34">
        <f t="shared" si="9"/>
        <v>0</v>
      </c>
      <c r="D311" s="42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4"/>
    </row>
    <row r="312" spans="1:18" x14ac:dyDescent="0.35">
      <c r="A312" s="32">
        <f t="shared" si="8"/>
        <v>0</v>
      </c>
      <c r="B312" s="33"/>
      <c r="C312" s="34">
        <f t="shared" si="9"/>
        <v>0</v>
      </c>
      <c r="D312" s="42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4"/>
    </row>
    <row r="313" spans="1:18" x14ac:dyDescent="0.35">
      <c r="A313" s="32">
        <f t="shared" si="8"/>
        <v>0</v>
      </c>
      <c r="B313" s="33"/>
      <c r="C313" s="34">
        <f t="shared" si="9"/>
        <v>0</v>
      </c>
      <c r="D313" s="42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4"/>
    </row>
    <row r="314" spans="1:18" x14ac:dyDescent="0.35">
      <c r="A314" s="32">
        <f t="shared" si="8"/>
        <v>0</v>
      </c>
      <c r="B314" s="33"/>
      <c r="C314" s="34">
        <f t="shared" si="9"/>
        <v>0</v>
      </c>
      <c r="D314" s="42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4"/>
    </row>
    <row r="315" spans="1:18" x14ac:dyDescent="0.35">
      <c r="A315" s="32">
        <f t="shared" si="8"/>
        <v>0</v>
      </c>
      <c r="B315" s="33"/>
      <c r="C315" s="34">
        <f t="shared" si="9"/>
        <v>0</v>
      </c>
      <c r="D315" s="42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4"/>
    </row>
    <row r="316" spans="1:18" x14ac:dyDescent="0.35">
      <c r="A316" s="32">
        <f t="shared" si="8"/>
        <v>0</v>
      </c>
      <c r="B316" s="33"/>
      <c r="C316" s="34">
        <f t="shared" si="9"/>
        <v>0</v>
      </c>
      <c r="D316" s="42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4"/>
    </row>
    <row r="317" spans="1:18" x14ac:dyDescent="0.35">
      <c r="A317" s="32">
        <f t="shared" si="8"/>
        <v>0</v>
      </c>
      <c r="B317" s="33"/>
      <c r="C317" s="34">
        <f t="shared" si="9"/>
        <v>0</v>
      </c>
      <c r="D317" s="42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4"/>
    </row>
    <row r="318" spans="1:18" x14ac:dyDescent="0.35">
      <c r="A318" s="32">
        <f t="shared" si="8"/>
        <v>0</v>
      </c>
      <c r="B318" s="33"/>
      <c r="C318" s="34">
        <f t="shared" si="9"/>
        <v>0</v>
      </c>
      <c r="D318" s="42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4"/>
    </row>
    <row r="319" spans="1:18" x14ac:dyDescent="0.35">
      <c r="A319" s="32">
        <f t="shared" si="8"/>
        <v>0</v>
      </c>
      <c r="B319" s="33"/>
      <c r="C319" s="34">
        <f t="shared" si="9"/>
        <v>0</v>
      </c>
      <c r="D319" s="42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4"/>
    </row>
    <row r="320" spans="1:18" x14ac:dyDescent="0.35">
      <c r="A320" s="32">
        <f t="shared" si="8"/>
        <v>0</v>
      </c>
      <c r="B320" s="33"/>
      <c r="C320" s="34">
        <f t="shared" si="9"/>
        <v>0</v>
      </c>
      <c r="D320" s="42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4"/>
    </row>
    <row r="321" spans="1:18" x14ac:dyDescent="0.35">
      <c r="A321" s="32">
        <f t="shared" si="8"/>
        <v>0</v>
      </c>
      <c r="B321" s="33"/>
      <c r="C321" s="34">
        <f t="shared" si="9"/>
        <v>0</v>
      </c>
      <c r="D321" s="42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4"/>
    </row>
    <row r="322" spans="1:18" x14ac:dyDescent="0.35">
      <c r="A322" s="32">
        <f t="shared" si="8"/>
        <v>0</v>
      </c>
      <c r="B322" s="33"/>
      <c r="C322" s="34">
        <f t="shared" si="9"/>
        <v>0</v>
      </c>
      <c r="D322" s="42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4"/>
    </row>
    <row r="323" spans="1:18" x14ac:dyDescent="0.35">
      <c r="A323" s="32">
        <f t="shared" si="8"/>
        <v>0</v>
      </c>
      <c r="B323" s="33"/>
      <c r="C323" s="34">
        <f t="shared" si="9"/>
        <v>0</v>
      </c>
      <c r="D323" s="42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4"/>
    </row>
    <row r="324" spans="1:18" x14ac:dyDescent="0.35">
      <c r="A324" s="32">
        <f t="shared" ref="A324:A387" si="10">F324</f>
        <v>0</v>
      </c>
      <c r="B324" s="33"/>
      <c r="C324" s="34">
        <f t="shared" ref="C324:C387" si="11">F324</f>
        <v>0</v>
      </c>
      <c r="D324" s="42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4"/>
    </row>
    <row r="325" spans="1:18" x14ac:dyDescent="0.35">
      <c r="A325" s="32">
        <f t="shared" si="10"/>
        <v>0</v>
      </c>
      <c r="B325" s="33"/>
      <c r="C325" s="34">
        <f t="shared" si="11"/>
        <v>0</v>
      </c>
      <c r="D325" s="42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4"/>
    </row>
    <row r="326" spans="1:18" x14ac:dyDescent="0.35">
      <c r="A326" s="32">
        <f t="shared" si="10"/>
        <v>0</v>
      </c>
      <c r="B326" s="33"/>
      <c r="C326" s="34">
        <f t="shared" si="11"/>
        <v>0</v>
      </c>
      <c r="D326" s="42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4"/>
    </row>
    <row r="327" spans="1:18" x14ac:dyDescent="0.35">
      <c r="A327" s="32">
        <f t="shared" si="10"/>
        <v>0</v>
      </c>
      <c r="B327" s="33"/>
      <c r="C327" s="34">
        <f t="shared" si="11"/>
        <v>0</v>
      </c>
      <c r="D327" s="42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4"/>
    </row>
    <row r="328" spans="1:18" x14ac:dyDescent="0.35">
      <c r="A328" s="32">
        <f t="shared" si="10"/>
        <v>0</v>
      </c>
      <c r="B328" s="33"/>
      <c r="C328" s="34">
        <f t="shared" si="11"/>
        <v>0</v>
      </c>
      <c r="D328" s="42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4"/>
    </row>
    <row r="329" spans="1:18" x14ac:dyDescent="0.35">
      <c r="A329" s="32">
        <f t="shared" si="10"/>
        <v>0</v>
      </c>
      <c r="B329" s="33"/>
      <c r="C329" s="34">
        <f t="shared" si="11"/>
        <v>0</v>
      </c>
      <c r="D329" s="42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4"/>
    </row>
    <row r="330" spans="1:18" x14ac:dyDescent="0.35">
      <c r="A330" s="32">
        <f t="shared" si="10"/>
        <v>0</v>
      </c>
      <c r="B330" s="33"/>
      <c r="C330" s="34">
        <f t="shared" si="11"/>
        <v>0</v>
      </c>
      <c r="D330" s="42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4"/>
    </row>
    <row r="331" spans="1:18" x14ac:dyDescent="0.35">
      <c r="A331" s="32">
        <f t="shared" si="10"/>
        <v>0</v>
      </c>
      <c r="B331" s="33"/>
      <c r="C331" s="34">
        <f t="shared" si="11"/>
        <v>0</v>
      </c>
      <c r="D331" s="42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4"/>
    </row>
    <row r="332" spans="1:18" x14ac:dyDescent="0.35">
      <c r="A332" s="32">
        <f t="shared" si="10"/>
        <v>0</v>
      </c>
      <c r="B332" s="33"/>
      <c r="C332" s="34">
        <f t="shared" si="11"/>
        <v>0</v>
      </c>
      <c r="D332" s="42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4"/>
    </row>
    <row r="333" spans="1:18" x14ac:dyDescent="0.35">
      <c r="A333" s="32">
        <f t="shared" si="10"/>
        <v>0</v>
      </c>
      <c r="B333" s="33"/>
      <c r="C333" s="34">
        <f t="shared" si="11"/>
        <v>0</v>
      </c>
      <c r="D333" s="42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4"/>
    </row>
    <row r="334" spans="1:18" x14ac:dyDescent="0.35">
      <c r="A334" s="32">
        <f t="shared" si="10"/>
        <v>0</v>
      </c>
      <c r="B334" s="33"/>
      <c r="C334" s="34">
        <f t="shared" si="11"/>
        <v>0</v>
      </c>
      <c r="D334" s="42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4"/>
    </row>
    <row r="335" spans="1:18" x14ac:dyDescent="0.35">
      <c r="A335" s="32">
        <f t="shared" si="10"/>
        <v>0</v>
      </c>
      <c r="B335" s="33"/>
      <c r="C335" s="34">
        <f t="shared" si="11"/>
        <v>0</v>
      </c>
      <c r="D335" s="42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4"/>
    </row>
    <row r="336" spans="1:18" x14ac:dyDescent="0.35">
      <c r="A336" s="32">
        <f t="shared" si="10"/>
        <v>0</v>
      </c>
      <c r="B336" s="33"/>
      <c r="C336" s="34">
        <f t="shared" si="11"/>
        <v>0</v>
      </c>
      <c r="D336" s="42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4"/>
    </row>
    <row r="337" spans="1:18" x14ac:dyDescent="0.35">
      <c r="A337" s="32">
        <f t="shared" si="10"/>
        <v>0</v>
      </c>
      <c r="B337" s="33"/>
      <c r="C337" s="34">
        <f t="shared" si="11"/>
        <v>0</v>
      </c>
      <c r="D337" s="42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4"/>
    </row>
    <row r="338" spans="1:18" x14ac:dyDescent="0.35">
      <c r="A338" s="32">
        <f t="shared" si="10"/>
        <v>0</v>
      </c>
      <c r="B338" s="33"/>
      <c r="C338" s="34">
        <f t="shared" si="11"/>
        <v>0</v>
      </c>
      <c r="D338" s="42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4"/>
    </row>
    <row r="339" spans="1:18" x14ac:dyDescent="0.35">
      <c r="A339" s="32">
        <f t="shared" si="10"/>
        <v>0</v>
      </c>
      <c r="B339" s="33"/>
      <c r="C339" s="34">
        <f t="shared" si="11"/>
        <v>0</v>
      </c>
      <c r="D339" s="42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4"/>
    </row>
    <row r="340" spans="1:18" x14ac:dyDescent="0.35">
      <c r="A340" s="32">
        <f t="shared" si="10"/>
        <v>0</v>
      </c>
      <c r="B340" s="33"/>
      <c r="C340" s="34">
        <f t="shared" si="11"/>
        <v>0</v>
      </c>
      <c r="D340" s="42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4"/>
    </row>
    <row r="341" spans="1:18" x14ac:dyDescent="0.35">
      <c r="A341" s="32">
        <f t="shared" si="10"/>
        <v>0</v>
      </c>
      <c r="B341" s="33"/>
      <c r="C341" s="34">
        <f t="shared" si="11"/>
        <v>0</v>
      </c>
      <c r="D341" s="42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4"/>
    </row>
    <row r="342" spans="1:18" x14ac:dyDescent="0.35">
      <c r="A342" s="32">
        <f t="shared" si="10"/>
        <v>0</v>
      </c>
      <c r="B342" s="33"/>
      <c r="C342" s="34">
        <f t="shared" si="11"/>
        <v>0</v>
      </c>
      <c r="D342" s="42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4"/>
    </row>
    <row r="343" spans="1:18" x14ac:dyDescent="0.35">
      <c r="A343" s="32">
        <f t="shared" si="10"/>
        <v>0</v>
      </c>
      <c r="B343" s="33"/>
      <c r="C343" s="34">
        <f t="shared" si="11"/>
        <v>0</v>
      </c>
      <c r="D343" s="42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4"/>
    </row>
    <row r="344" spans="1:18" x14ac:dyDescent="0.35">
      <c r="A344" s="32">
        <f t="shared" si="10"/>
        <v>0</v>
      </c>
      <c r="B344" s="33"/>
      <c r="C344" s="34">
        <f t="shared" si="11"/>
        <v>0</v>
      </c>
      <c r="D344" s="42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4"/>
    </row>
    <row r="345" spans="1:18" x14ac:dyDescent="0.35">
      <c r="A345" s="32">
        <f t="shared" si="10"/>
        <v>0</v>
      </c>
      <c r="B345" s="33"/>
      <c r="C345" s="34">
        <f t="shared" si="11"/>
        <v>0</v>
      </c>
      <c r="D345" s="42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4"/>
    </row>
    <row r="346" spans="1:18" x14ac:dyDescent="0.35">
      <c r="A346" s="32">
        <f t="shared" si="10"/>
        <v>0</v>
      </c>
      <c r="B346" s="33"/>
      <c r="C346" s="34">
        <f t="shared" si="11"/>
        <v>0</v>
      </c>
      <c r="D346" s="42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4"/>
    </row>
    <row r="347" spans="1:18" x14ac:dyDescent="0.35">
      <c r="A347" s="32">
        <f t="shared" si="10"/>
        <v>0</v>
      </c>
      <c r="B347" s="33"/>
      <c r="C347" s="34">
        <f t="shared" si="11"/>
        <v>0</v>
      </c>
      <c r="D347" s="42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4"/>
    </row>
    <row r="348" spans="1:18" x14ac:dyDescent="0.35">
      <c r="A348" s="32">
        <f t="shared" si="10"/>
        <v>0</v>
      </c>
      <c r="B348" s="33"/>
      <c r="C348" s="34">
        <f t="shared" si="11"/>
        <v>0</v>
      </c>
      <c r="D348" s="42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4"/>
    </row>
    <row r="349" spans="1:18" x14ac:dyDescent="0.35">
      <c r="A349" s="32">
        <f t="shared" si="10"/>
        <v>0</v>
      </c>
      <c r="B349" s="33"/>
      <c r="C349" s="34">
        <f t="shared" si="11"/>
        <v>0</v>
      </c>
      <c r="D349" s="42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4"/>
    </row>
    <row r="350" spans="1:18" x14ac:dyDescent="0.35">
      <c r="A350" s="32">
        <f t="shared" si="10"/>
        <v>0</v>
      </c>
      <c r="B350" s="33"/>
      <c r="C350" s="34">
        <f t="shared" si="11"/>
        <v>0</v>
      </c>
      <c r="D350" s="42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4"/>
    </row>
    <row r="351" spans="1:18" x14ac:dyDescent="0.35">
      <c r="A351" s="32">
        <f t="shared" si="10"/>
        <v>0</v>
      </c>
      <c r="B351" s="33"/>
      <c r="C351" s="34">
        <f t="shared" si="11"/>
        <v>0</v>
      </c>
      <c r="D351" s="42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4"/>
    </row>
    <row r="352" spans="1:18" x14ac:dyDescent="0.35">
      <c r="A352" s="32">
        <f t="shared" si="10"/>
        <v>0</v>
      </c>
      <c r="B352" s="33"/>
      <c r="C352" s="34">
        <f t="shared" si="11"/>
        <v>0</v>
      </c>
      <c r="D352" s="42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4"/>
    </row>
    <row r="353" spans="1:18" x14ac:dyDescent="0.35">
      <c r="A353" s="32">
        <f t="shared" si="10"/>
        <v>0</v>
      </c>
      <c r="B353" s="33"/>
      <c r="C353" s="34">
        <f t="shared" si="11"/>
        <v>0</v>
      </c>
      <c r="D353" s="42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4"/>
    </row>
    <row r="354" spans="1:18" x14ac:dyDescent="0.35">
      <c r="A354" s="32">
        <f t="shared" si="10"/>
        <v>0</v>
      </c>
      <c r="B354" s="33"/>
      <c r="C354" s="34">
        <f t="shared" si="11"/>
        <v>0</v>
      </c>
      <c r="D354" s="42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4"/>
    </row>
    <row r="355" spans="1:18" x14ac:dyDescent="0.35">
      <c r="A355" s="32">
        <f t="shared" si="10"/>
        <v>0</v>
      </c>
      <c r="B355" s="33"/>
      <c r="C355" s="34">
        <f t="shared" si="11"/>
        <v>0</v>
      </c>
      <c r="D355" s="42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4"/>
    </row>
    <row r="356" spans="1:18" x14ac:dyDescent="0.35">
      <c r="A356" s="32">
        <f t="shared" si="10"/>
        <v>0</v>
      </c>
      <c r="B356" s="33"/>
      <c r="C356" s="34">
        <f t="shared" si="11"/>
        <v>0</v>
      </c>
      <c r="D356" s="42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4"/>
    </row>
    <row r="357" spans="1:18" x14ac:dyDescent="0.35">
      <c r="A357" s="32">
        <f t="shared" si="10"/>
        <v>0</v>
      </c>
      <c r="B357" s="33"/>
      <c r="C357" s="34">
        <f t="shared" si="11"/>
        <v>0</v>
      </c>
      <c r="D357" s="42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4"/>
    </row>
    <row r="358" spans="1:18" x14ac:dyDescent="0.35">
      <c r="A358" s="32">
        <f t="shared" si="10"/>
        <v>0</v>
      </c>
      <c r="B358" s="33"/>
      <c r="C358" s="34">
        <f t="shared" si="11"/>
        <v>0</v>
      </c>
      <c r="D358" s="42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4"/>
    </row>
    <row r="359" spans="1:18" x14ac:dyDescent="0.35">
      <c r="A359" s="32">
        <f t="shared" si="10"/>
        <v>0</v>
      </c>
      <c r="B359" s="33"/>
      <c r="C359" s="34">
        <f t="shared" si="11"/>
        <v>0</v>
      </c>
      <c r="D359" s="42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4"/>
    </row>
    <row r="360" spans="1:18" x14ac:dyDescent="0.35">
      <c r="A360" s="32">
        <f t="shared" si="10"/>
        <v>0</v>
      </c>
      <c r="B360" s="33"/>
      <c r="C360" s="34">
        <f t="shared" si="11"/>
        <v>0</v>
      </c>
      <c r="D360" s="42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4"/>
    </row>
    <row r="361" spans="1:18" x14ac:dyDescent="0.35">
      <c r="A361" s="32">
        <f t="shared" si="10"/>
        <v>0</v>
      </c>
      <c r="B361" s="33"/>
      <c r="C361" s="34">
        <f t="shared" si="11"/>
        <v>0</v>
      </c>
      <c r="D361" s="42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4"/>
    </row>
    <row r="362" spans="1:18" x14ac:dyDescent="0.35">
      <c r="A362" s="32">
        <f t="shared" si="10"/>
        <v>0</v>
      </c>
      <c r="B362" s="33"/>
      <c r="C362" s="34">
        <f t="shared" si="11"/>
        <v>0</v>
      </c>
      <c r="D362" s="42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4"/>
    </row>
    <row r="363" spans="1:18" x14ac:dyDescent="0.35">
      <c r="A363" s="32">
        <f t="shared" si="10"/>
        <v>0</v>
      </c>
      <c r="B363" s="33"/>
      <c r="C363" s="34">
        <f t="shared" si="11"/>
        <v>0</v>
      </c>
      <c r="D363" s="42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4"/>
    </row>
    <row r="364" spans="1:18" x14ac:dyDescent="0.35">
      <c r="A364" s="32">
        <f t="shared" si="10"/>
        <v>0</v>
      </c>
      <c r="B364" s="33"/>
      <c r="C364" s="34">
        <f t="shared" si="11"/>
        <v>0</v>
      </c>
      <c r="D364" s="42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4"/>
    </row>
    <row r="365" spans="1:18" x14ac:dyDescent="0.35">
      <c r="A365" s="32">
        <f t="shared" si="10"/>
        <v>0</v>
      </c>
      <c r="B365" s="33"/>
      <c r="C365" s="34">
        <f t="shared" si="11"/>
        <v>0</v>
      </c>
      <c r="D365" s="42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4"/>
    </row>
    <row r="366" spans="1:18" x14ac:dyDescent="0.35">
      <c r="A366" s="32">
        <f t="shared" si="10"/>
        <v>0</v>
      </c>
      <c r="B366" s="33"/>
      <c r="C366" s="34">
        <f t="shared" si="11"/>
        <v>0</v>
      </c>
      <c r="D366" s="42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4"/>
    </row>
    <row r="367" spans="1:18" x14ac:dyDescent="0.35">
      <c r="A367" s="32">
        <f t="shared" si="10"/>
        <v>0</v>
      </c>
      <c r="B367" s="33"/>
      <c r="C367" s="34">
        <f t="shared" si="11"/>
        <v>0</v>
      </c>
      <c r="D367" s="42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4"/>
    </row>
    <row r="368" spans="1:18" x14ac:dyDescent="0.35">
      <c r="A368" s="32">
        <f t="shared" si="10"/>
        <v>0</v>
      </c>
      <c r="B368" s="33"/>
      <c r="C368" s="34">
        <f t="shared" si="11"/>
        <v>0</v>
      </c>
      <c r="D368" s="42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4"/>
    </row>
    <row r="369" spans="1:18" x14ac:dyDescent="0.35">
      <c r="A369" s="32">
        <f t="shared" si="10"/>
        <v>0</v>
      </c>
      <c r="B369" s="33"/>
      <c r="C369" s="34">
        <f t="shared" si="11"/>
        <v>0</v>
      </c>
      <c r="D369" s="42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4"/>
    </row>
    <row r="370" spans="1:18" x14ac:dyDescent="0.35">
      <c r="A370" s="32">
        <f t="shared" si="10"/>
        <v>0</v>
      </c>
      <c r="B370" s="33"/>
      <c r="C370" s="34">
        <f t="shared" si="11"/>
        <v>0</v>
      </c>
      <c r="D370" s="42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4"/>
    </row>
    <row r="371" spans="1:18" x14ac:dyDescent="0.35">
      <c r="A371" s="32">
        <f t="shared" si="10"/>
        <v>0</v>
      </c>
      <c r="B371" s="33"/>
      <c r="C371" s="34">
        <f t="shared" si="11"/>
        <v>0</v>
      </c>
      <c r="D371" s="42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4"/>
    </row>
    <row r="372" spans="1:18" x14ac:dyDescent="0.35">
      <c r="A372" s="32">
        <f t="shared" si="10"/>
        <v>0</v>
      </c>
      <c r="B372" s="33"/>
      <c r="C372" s="34">
        <f t="shared" si="11"/>
        <v>0</v>
      </c>
      <c r="D372" s="42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4"/>
    </row>
    <row r="373" spans="1:18" x14ac:dyDescent="0.35">
      <c r="A373" s="32">
        <f t="shared" si="10"/>
        <v>0</v>
      </c>
      <c r="B373" s="33"/>
      <c r="C373" s="34">
        <f t="shared" si="11"/>
        <v>0</v>
      </c>
      <c r="D373" s="42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4"/>
    </row>
    <row r="374" spans="1:18" x14ac:dyDescent="0.35">
      <c r="A374" s="32">
        <f t="shared" si="10"/>
        <v>0</v>
      </c>
      <c r="B374" s="33"/>
      <c r="C374" s="34">
        <f t="shared" si="11"/>
        <v>0</v>
      </c>
      <c r="D374" s="42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4"/>
    </row>
    <row r="375" spans="1:18" x14ac:dyDescent="0.35">
      <c r="A375" s="32">
        <f t="shared" si="10"/>
        <v>0</v>
      </c>
      <c r="B375" s="33"/>
      <c r="C375" s="34">
        <f t="shared" si="11"/>
        <v>0</v>
      </c>
      <c r="D375" s="42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4"/>
    </row>
    <row r="376" spans="1:18" x14ac:dyDescent="0.35">
      <c r="A376" s="32">
        <f t="shared" si="10"/>
        <v>0</v>
      </c>
      <c r="B376" s="33"/>
      <c r="C376" s="34">
        <f t="shared" si="11"/>
        <v>0</v>
      </c>
      <c r="D376" s="42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4"/>
    </row>
    <row r="377" spans="1:18" x14ac:dyDescent="0.35">
      <c r="A377" s="32">
        <f t="shared" si="10"/>
        <v>0</v>
      </c>
      <c r="B377" s="33"/>
      <c r="C377" s="34">
        <f t="shared" si="11"/>
        <v>0</v>
      </c>
      <c r="D377" s="42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4"/>
    </row>
    <row r="378" spans="1:18" x14ac:dyDescent="0.35">
      <c r="A378" s="32">
        <f t="shared" si="10"/>
        <v>0</v>
      </c>
      <c r="B378" s="33"/>
      <c r="C378" s="34">
        <f t="shared" si="11"/>
        <v>0</v>
      </c>
      <c r="D378" s="42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4"/>
    </row>
    <row r="379" spans="1:18" x14ac:dyDescent="0.35">
      <c r="A379" s="32">
        <f t="shared" si="10"/>
        <v>0</v>
      </c>
      <c r="B379" s="33"/>
      <c r="C379" s="34">
        <f t="shared" si="11"/>
        <v>0</v>
      </c>
      <c r="D379" s="42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4"/>
    </row>
    <row r="380" spans="1:18" x14ac:dyDescent="0.35">
      <c r="A380" s="32">
        <f t="shared" si="10"/>
        <v>0</v>
      </c>
      <c r="B380" s="33"/>
      <c r="C380" s="34">
        <f t="shared" si="11"/>
        <v>0</v>
      </c>
      <c r="D380" s="42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4"/>
    </row>
    <row r="381" spans="1:18" x14ac:dyDescent="0.35">
      <c r="A381" s="32">
        <f t="shared" si="10"/>
        <v>0</v>
      </c>
      <c r="B381" s="33"/>
      <c r="C381" s="34">
        <f t="shared" si="11"/>
        <v>0</v>
      </c>
      <c r="D381" s="42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4"/>
    </row>
    <row r="382" spans="1:18" x14ac:dyDescent="0.35">
      <c r="A382" s="32">
        <f t="shared" si="10"/>
        <v>0</v>
      </c>
      <c r="B382" s="33"/>
      <c r="C382" s="34">
        <f t="shared" si="11"/>
        <v>0</v>
      </c>
      <c r="D382" s="42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4"/>
    </row>
    <row r="383" spans="1:18" x14ac:dyDescent="0.35">
      <c r="A383" s="32">
        <f t="shared" si="10"/>
        <v>0</v>
      </c>
      <c r="B383" s="33"/>
      <c r="C383" s="34">
        <f t="shared" si="11"/>
        <v>0</v>
      </c>
      <c r="D383" s="42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4"/>
    </row>
    <row r="384" spans="1:18" x14ac:dyDescent="0.35">
      <c r="A384" s="32">
        <f t="shared" si="10"/>
        <v>0</v>
      </c>
      <c r="B384" s="33"/>
      <c r="C384" s="34">
        <f t="shared" si="11"/>
        <v>0</v>
      </c>
      <c r="D384" s="42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4"/>
    </row>
    <row r="385" spans="1:18" x14ac:dyDescent="0.35">
      <c r="A385" s="32">
        <f t="shared" si="10"/>
        <v>0</v>
      </c>
      <c r="B385" s="33"/>
      <c r="C385" s="34">
        <f t="shared" si="11"/>
        <v>0</v>
      </c>
      <c r="D385" s="42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4"/>
    </row>
    <row r="386" spans="1:18" x14ac:dyDescent="0.35">
      <c r="A386" s="32">
        <f t="shared" si="10"/>
        <v>0</v>
      </c>
      <c r="B386" s="33"/>
      <c r="C386" s="34">
        <f t="shared" si="11"/>
        <v>0</v>
      </c>
      <c r="D386" s="42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4"/>
    </row>
    <row r="387" spans="1:18" x14ac:dyDescent="0.35">
      <c r="A387" s="32">
        <f t="shared" si="10"/>
        <v>0</v>
      </c>
      <c r="B387" s="33"/>
      <c r="C387" s="34">
        <f t="shared" si="11"/>
        <v>0</v>
      </c>
      <c r="D387" s="42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4"/>
    </row>
    <row r="388" spans="1:18" x14ac:dyDescent="0.35">
      <c r="A388" s="32">
        <f t="shared" ref="A388:A451" si="12">F388</f>
        <v>0</v>
      </c>
      <c r="B388" s="33"/>
      <c r="C388" s="34">
        <f t="shared" ref="C388:C451" si="13">F388</f>
        <v>0</v>
      </c>
      <c r="D388" s="42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4"/>
    </row>
    <row r="389" spans="1:18" x14ac:dyDescent="0.35">
      <c r="A389" s="32">
        <f t="shared" si="12"/>
        <v>0</v>
      </c>
      <c r="B389" s="33"/>
      <c r="C389" s="34">
        <f t="shared" si="13"/>
        <v>0</v>
      </c>
      <c r="D389" s="42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4"/>
    </row>
    <row r="390" spans="1:18" x14ac:dyDescent="0.35">
      <c r="A390" s="32">
        <f t="shared" si="12"/>
        <v>0</v>
      </c>
      <c r="B390" s="33"/>
      <c r="C390" s="34">
        <f t="shared" si="13"/>
        <v>0</v>
      </c>
      <c r="D390" s="42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4"/>
    </row>
    <row r="391" spans="1:18" x14ac:dyDescent="0.35">
      <c r="A391" s="32">
        <f t="shared" si="12"/>
        <v>0</v>
      </c>
      <c r="B391" s="33"/>
      <c r="C391" s="34">
        <f t="shared" si="13"/>
        <v>0</v>
      </c>
      <c r="D391" s="42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4"/>
    </row>
    <row r="392" spans="1:18" x14ac:dyDescent="0.35">
      <c r="A392" s="32">
        <f t="shared" si="12"/>
        <v>0</v>
      </c>
      <c r="B392" s="33"/>
      <c r="C392" s="34">
        <f t="shared" si="13"/>
        <v>0</v>
      </c>
      <c r="D392" s="42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4"/>
    </row>
    <row r="393" spans="1:18" x14ac:dyDescent="0.35">
      <c r="A393" s="32">
        <f t="shared" si="12"/>
        <v>0</v>
      </c>
      <c r="B393" s="33"/>
      <c r="C393" s="34">
        <f t="shared" si="13"/>
        <v>0</v>
      </c>
      <c r="D393" s="42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4"/>
    </row>
    <row r="394" spans="1:18" x14ac:dyDescent="0.35">
      <c r="A394" s="32">
        <f t="shared" si="12"/>
        <v>0</v>
      </c>
      <c r="B394" s="33"/>
      <c r="C394" s="34">
        <f t="shared" si="13"/>
        <v>0</v>
      </c>
      <c r="D394" s="42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4"/>
    </row>
    <row r="395" spans="1:18" x14ac:dyDescent="0.35">
      <c r="A395" s="32">
        <f t="shared" si="12"/>
        <v>0</v>
      </c>
      <c r="B395" s="33"/>
      <c r="C395" s="34">
        <f t="shared" si="13"/>
        <v>0</v>
      </c>
      <c r="D395" s="42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4"/>
    </row>
    <row r="396" spans="1:18" x14ac:dyDescent="0.35">
      <c r="A396" s="32">
        <f t="shared" si="12"/>
        <v>0</v>
      </c>
      <c r="B396" s="33"/>
      <c r="C396" s="34">
        <f t="shared" si="13"/>
        <v>0</v>
      </c>
      <c r="D396" s="42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4"/>
    </row>
    <row r="397" spans="1:18" x14ac:dyDescent="0.35">
      <c r="A397" s="32">
        <f t="shared" si="12"/>
        <v>0</v>
      </c>
      <c r="B397" s="33"/>
      <c r="C397" s="34">
        <f t="shared" si="13"/>
        <v>0</v>
      </c>
      <c r="D397" s="42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4"/>
    </row>
    <row r="398" spans="1:18" x14ac:dyDescent="0.35">
      <c r="A398" s="32">
        <f t="shared" si="12"/>
        <v>0</v>
      </c>
      <c r="B398" s="33"/>
      <c r="C398" s="34">
        <f t="shared" si="13"/>
        <v>0</v>
      </c>
      <c r="D398" s="42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4"/>
    </row>
    <row r="399" spans="1:18" x14ac:dyDescent="0.35">
      <c r="A399" s="32">
        <f t="shared" si="12"/>
        <v>0</v>
      </c>
      <c r="B399" s="33"/>
      <c r="C399" s="34">
        <f t="shared" si="13"/>
        <v>0</v>
      </c>
      <c r="D399" s="42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4"/>
    </row>
    <row r="400" spans="1:18" x14ac:dyDescent="0.35">
      <c r="A400" s="32">
        <f t="shared" si="12"/>
        <v>0</v>
      </c>
      <c r="B400" s="33"/>
      <c r="C400" s="34">
        <f t="shared" si="13"/>
        <v>0</v>
      </c>
      <c r="D400" s="42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4"/>
    </row>
    <row r="401" spans="1:18" x14ac:dyDescent="0.35">
      <c r="A401" s="32">
        <f t="shared" si="12"/>
        <v>0</v>
      </c>
      <c r="B401" s="33"/>
      <c r="C401" s="34">
        <f t="shared" si="13"/>
        <v>0</v>
      </c>
      <c r="D401" s="42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4"/>
    </row>
    <row r="402" spans="1:18" x14ac:dyDescent="0.35">
      <c r="A402" s="32">
        <f t="shared" si="12"/>
        <v>0</v>
      </c>
      <c r="B402" s="33"/>
      <c r="C402" s="34">
        <f t="shared" si="13"/>
        <v>0</v>
      </c>
      <c r="D402" s="42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4"/>
    </row>
    <row r="403" spans="1:18" x14ac:dyDescent="0.35">
      <c r="A403" s="32">
        <f t="shared" si="12"/>
        <v>0</v>
      </c>
      <c r="B403" s="33"/>
      <c r="C403" s="34">
        <f t="shared" si="13"/>
        <v>0</v>
      </c>
      <c r="D403" s="42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4"/>
    </row>
    <row r="404" spans="1:18" x14ac:dyDescent="0.35">
      <c r="A404" s="32">
        <f t="shared" si="12"/>
        <v>0</v>
      </c>
      <c r="B404" s="33"/>
      <c r="C404" s="34">
        <f t="shared" si="13"/>
        <v>0</v>
      </c>
      <c r="D404" s="42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4"/>
    </row>
    <row r="405" spans="1:18" x14ac:dyDescent="0.35">
      <c r="A405" s="32">
        <f t="shared" si="12"/>
        <v>0</v>
      </c>
      <c r="B405" s="33"/>
      <c r="C405" s="34">
        <f t="shared" si="13"/>
        <v>0</v>
      </c>
      <c r="D405" s="42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4"/>
    </row>
    <row r="406" spans="1:18" x14ac:dyDescent="0.35">
      <c r="A406" s="32">
        <f t="shared" si="12"/>
        <v>0</v>
      </c>
      <c r="B406" s="33"/>
      <c r="C406" s="34">
        <f t="shared" si="13"/>
        <v>0</v>
      </c>
      <c r="D406" s="42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4"/>
    </row>
    <row r="407" spans="1:18" x14ac:dyDescent="0.35">
      <c r="A407" s="32">
        <f t="shared" si="12"/>
        <v>0</v>
      </c>
      <c r="B407" s="33"/>
      <c r="C407" s="34">
        <f t="shared" si="13"/>
        <v>0</v>
      </c>
      <c r="D407" s="42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4"/>
    </row>
    <row r="408" spans="1:18" x14ac:dyDescent="0.35">
      <c r="A408" s="32">
        <f t="shared" si="12"/>
        <v>0</v>
      </c>
      <c r="B408" s="33"/>
      <c r="C408" s="34">
        <f t="shared" si="13"/>
        <v>0</v>
      </c>
      <c r="D408" s="42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4"/>
    </row>
    <row r="409" spans="1:18" x14ac:dyDescent="0.35">
      <c r="A409" s="32">
        <f t="shared" si="12"/>
        <v>0</v>
      </c>
      <c r="B409" s="33"/>
      <c r="C409" s="34">
        <f t="shared" si="13"/>
        <v>0</v>
      </c>
      <c r="D409" s="42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4"/>
    </row>
    <row r="410" spans="1:18" x14ac:dyDescent="0.35">
      <c r="A410" s="32">
        <f t="shared" si="12"/>
        <v>0</v>
      </c>
      <c r="B410" s="33"/>
      <c r="C410" s="34">
        <f t="shared" si="13"/>
        <v>0</v>
      </c>
      <c r="D410" s="42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4"/>
    </row>
    <row r="411" spans="1:18" x14ac:dyDescent="0.35">
      <c r="A411" s="32">
        <f t="shared" si="12"/>
        <v>0</v>
      </c>
      <c r="B411" s="33"/>
      <c r="C411" s="34">
        <f t="shared" si="13"/>
        <v>0</v>
      </c>
      <c r="D411" s="42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4"/>
    </row>
    <row r="412" spans="1:18" x14ac:dyDescent="0.35">
      <c r="A412" s="32">
        <f t="shared" si="12"/>
        <v>0</v>
      </c>
      <c r="B412" s="33"/>
      <c r="C412" s="34">
        <f t="shared" si="13"/>
        <v>0</v>
      </c>
      <c r="D412" s="42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4"/>
    </row>
    <row r="413" spans="1:18" x14ac:dyDescent="0.35">
      <c r="A413" s="32">
        <f t="shared" si="12"/>
        <v>0</v>
      </c>
      <c r="B413" s="33"/>
      <c r="C413" s="34">
        <f t="shared" si="13"/>
        <v>0</v>
      </c>
      <c r="D413" s="42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4"/>
    </row>
    <row r="414" spans="1:18" x14ac:dyDescent="0.35">
      <c r="A414" s="32">
        <f t="shared" si="12"/>
        <v>0</v>
      </c>
      <c r="B414" s="33"/>
      <c r="C414" s="34">
        <f t="shared" si="13"/>
        <v>0</v>
      </c>
      <c r="D414" s="42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4"/>
    </row>
    <row r="415" spans="1:18" x14ac:dyDescent="0.35">
      <c r="A415" s="32">
        <f t="shared" si="12"/>
        <v>0</v>
      </c>
      <c r="B415" s="33"/>
      <c r="C415" s="34">
        <f t="shared" si="13"/>
        <v>0</v>
      </c>
      <c r="D415" s="42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4"/>
    </row>
    <row r="416" spans="1:18" x14ac:dyDescent="0.35">
      <c r="A416" s="32">
        <f t="shared" si="12"/>
        <v>0</v>
      </c>
      <c r="B416" s="33"/>
      <c r="C416" s="34">
        <f t="shared" si="13"/>
        <v>0</v>
      </c>
      <c r="D416" s="42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4"/>
    </row>
    <row r="417" spans="1:18" x14ac:dyDescent="0.35">
      <c r="A417" s="32">
        <f t="shared" si="12"/>
        <v>0</v>
      </c>
      <c r="B417" s="33"/>
      <c r="C417" s="34">
        <f t="shared" si="13"/>
        <v>0</v>
      </c>
      <c r="D417" s="42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4"/>
    </row>
    <row r="418" spans="1:18" x14ac:dyDescent="0.35">
      <c r="A418" s="32">
        <f t="shared" si="12"/>
        <v>0</v>
      </c>
      <c r="B418" s="33"/>
      <c r="C418" s="34">
        <f t="shared" si="13"/>
        <v>0</v>
      </c>
      <c r="D418" s="42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4"/>
    </row>
    <row r="419" spans="1:18" x14ac:dyDescent="0.35">
      <c r="A419" s="32">
        <f t="shared" si="12"/>
        <v>0</v>
      </c>
      <c r="B419" s="33"/>
      <c r="C419" s="34">
        <f t="shared" si="13"/>
        <v>0</v>
      </c>
      <c r="D419" s="42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4"/>
    </row>
    <row r="420" spans="1:18" x14ac:dyDescent="0.35">
      <c r="A420" s="32">
        <f t="shared" si="12"/>
        <v>0</v>
      </c>
      <c r="B420" s="33"/>
      <c r="C420" s="34">
        <f t="shared" si="13"/>
        <v>0</v>
      </c>
      <c r="D420" s="42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4"/>
    </row>
    <row r="421" spans="1:18" x14ac:dyDescent="0.35">
      <c r="A421" s="32">
        <f t="shared" si="12"/>
        <v>0</v>
      </c>
      <c r="B421" s="33"/>
      <c r="C421" s="34">
        <f t="shared" si="13"/>
        <v>0</v>
      </c>
      <c r="D421" s="42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4"/>
    </row>
    <row r="422" spans="1:18" x14ac:dyDescent="0.35">
      <c r="A422" s="32">
        <f t="shared" si="12"/>
        <v>0</v>
      </c>
      <c r="B422" s="33"/>
      <c r="C422" s="34">
        <f t="shared" si="13"/>
        <v>0</v>
      </c>
      <c r="D422" s="42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4"/>
    </row>
    <row r="423" spans="1:18" x14ac:dyDescent="0.35">
      <c r="A423" s="32">
        <f t="shared" si="12"/>
        <v>0</v>
      </c>
      <c r="B423" s="33"/>
      <c r="C423" s="34">
        <f t="shared" si="13"/>
        <v>0</v>
      </c>
      <c r="D423" s="42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4"/>
    </row>
    <row r="424" spans="1:18" x14ac:dyDescent="0.35">
      <c r="A424" s="32">
        <f t="shared" si="12"/>
        <v>0</v>
      </c>
      <c r="B424" s="33"/>
      <c r="C424" s="34">
        <f t="shared" si="13"/>
        <v>0</v>
      </c>
      <c r="D424" s="42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4"/>
    </row>
    <row r="425" spans="1:18" x14ac:dyDescent="0.35">
      <c r="A425" s="32">
        <f t="shared" si="12"/>
        <v>0</v>
      </c>
      <c r="B425" s="33"/>
      <c r="C425" s="34">
        <f t="shared" si="13"/>
        <v>0</v>
      </c>
      <c r="D425" s="42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4"/>
    </row>
    <row r="426" spans="1:18" x14ac:dyDescent="0.35">
      <c r="A426" s="32">
        <f t="shared" si="12"/>
        <v>0</v>
      </c>
      <c r="B426" s="33"/>
      <c r="C426" s="34">
        <f t="shared" si="13"/>
        <v>0</v>
      </c>
      <c r="D426" s="42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4"/>
    </row>
    <row r="427" spans="1:18" x14ac:dyDescent="0.35">
      <c r="A427" s="32">
        <f t="shared" si="12"/>
        <v>0</v>
      </c>
      <c r="B427" s="33"/>
      <c r="C427" s="34">
        <f t="shared" si="13"/>
        <v>0</v>
      </c>
      <c r="D427" s="42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4"/>
    </row>
    <row r="428" spans="1:18" x14ac:dyDescent="0.35">
      <c r="A428" s="32">
        <f t="shared" si="12"/>
        <v>0</v>
      </c>
      <c r="B428" s="33"/>
      <c r="C428" s="34">
        <f t="shared" si="13"/>
        <v>0</v>
      </c>
      <c r="D428" s="42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4"/>
    </row>
    <row r="429" spans="1:18" x14ac:dyDescent="0.35">
      <c r="A429" s="32">
        <f t="shared" si="12"/>
        <v>0</v>
      </c>
      <c r="B429" s="33"/>
      <c r="C429" s="34">
        <f t="shared" si="13"/>
        <v>0</v>
      </c>
      <c r="D429" s="42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4"/>
    </row>
    <row r="430" spans="1:18" x14ac:dyDescent="0.35">
      <c r="A430" s="32">
        <f t="shared" si="12"/>
        <v>0</v>
      </c>
      <c r="B430" s="33"/>
      <c r="C430" s="34">
        <f t="shared" si="13"/>
        <v>0</v>
      </c>
      <c r="D430" s="42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4"/>
    </row>
    <row r="431" spans="1:18" x14ac:dyDescent="0.35">
      <c r="A431" s="32">
        <f t="shared" si="12"/>
        <v>0</v>
      </c>
      <c r="B431" s="33"/>
      <c r="C431" s="34">
        <f t="shared" si="13"/>
        <v>0</v>
      </c>
      <c r="D431" s="42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4"/>
    </row>
    <row r="432" spans="1:18" x14ac:dyDescent="0.35">
      <c r="A432" s="32">
        <f t="shared" si="12"/>
        <v>0</v>
      </c>
      <c r="B432" s="33"/>
      <c r="C432" s="34">
        <f t="shared" si="13"/>
        <v>0</v>
      </c>
      <c r="D432" s="42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4"/>
    </row>
    <row r="433" spans="1:18" x14ac:dyDescent="0.35">
      <c r="A433" s="32">
        <f t="shared" si="12"/>
        <v>0</v>
      </c>
      <c r="B433" s="33"/>
      <c r="C433" s="34">
        <f t="shared" si="13"/>
        <v>0</v>
      </c>
      <c r="D433" s="42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4"/>
    </row>
    <row r="434" spans="1:18" x14ac:dyDescent="0.35">
      <c r="A434" s="32">
        <f t="shared" si="12"/>
        <v>0</v>
      </c>
      <c r="B434" s="33"/>
      <c r="C434" s="34">
        <f t="shared" si="13"/>
        <v>0</v>
      </c>
      <c r="D434" s="42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4"/>
    </row>
    <row r="435" spans="1:18" x14ac:dyDescent="0.35">
      <c r="A435" s="32">
        <f t="shared" si="12"/>
        <v>0</v>
      </c>
      <c r="B435" s="33"/>
      <c r="C435" s="34">
        <f t="shared" si="13"/>
        <v>0</v>
      </c>
      <c r="D435" s="42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4"/>
    </row>
    <row r="436" spans="1:18" x14ac:dyDescent="0.35">
      <c r="A436" s="32">
        <f t="shared" si="12"/>
        <v>0</v>
      </c>
      <c r="B436" s="33"/>
      <c r="C436" s="34">
        <f t="shared" si="13"/>
        <v>0</v>
      </c>
      <c r="D436" s="42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4"/>
    </row>
    <row r="437" spans="1:18" x14ac:dyDescent="0.35">
      <c r="A437" s="32">
        <f t="shared" si="12"/>
        <v>0</v>
      </c>
      <c r="B437" s="33"/>
      <c r="C437" s="34">
        <f t="shared" si="13"/>
        <v>0</v>
      </c>
      <c r="D437" s="42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4"/>
    </row>
    <row r="438" spans="1:18" x14ac:dyDescent="0.35">
      <c r="A438" s="32">
        <f t="shared" si="12"/>
        <v>0</v>
      </c>
      <c r="B438" s="33"/>
      <c r="C438" s="34">
        <f t="shared" si="13"/>
        <v>0</v>
      </c>
      <c r="D438" s="42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4"/>
    </row>
    <row r="439" spans="1:18" x14ac:dyDescent="0.35">
      <c r="A439" s="32">
        <f t="shared" si="12"/>
        <v>0</v>
      </c>
      <c r="B439" s="33"/>
      <c r="C439" s="34">
        <f t="shared" si="13"/>
        <v>0</v>
      </c>
      <c r="D439" s="42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4"/>
    </row>
    <row r="440" spans="1:18" x14ac:dyDescent="0.35">
      <c r="A440" s="32">
        <f t="shared" si="12"/>
        <v>0</v>
      </c>
      <c r="B440" s="33"/>
      <c r="C440" s="34">
        <f t="shared" si="13"/>
        <v>0</v>
      </c>
      <c r="D440" s="42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4"/>
    </row>
    <row r="441" spans="1:18" x14ac:dyDescent="0.35">
      <c r="A441" s="32">
        <f t="shared" si="12"/>
        <v>0</v>
      </c>
      <c r="B441" s="33"/>
      <c r="C441" s="34">
        <f t="shared" si="13"/>
        <v>0</v>
      </c>
      <c r="D441" s="42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4"/>
    </row>
    <row r="442" spans="1:18" x14ac:dyDescent="0.35">
      <c r="A442" s="32">
        <f t="shared" si="12"/>
        <v>0</v>
      </c>
      <c r="B442" s="33"/>
      <c r="C442" s="34">
        <f t="shared" si="13"/>
        <v>0</v>
      </c>
      <c r="D442" s="42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4"/>
    </row>
    <row r="443" spans="1:18" x14ac:dyDescent="0.35">
      <c r="A443" s="32">
        <f t="shared" si="12"/>
        <v>0</v>
      </c>
      <c r="B443" s="33"/>
      <c r="C443" s="34">
        <f t="shared" si="13"/>
        <v>0</v>
      </c>
      <c r="D443" s="42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4"/>
    </row>
    <row r="444" spans="1:18" x14ac:dyDescent="0.35">
      <c r="A444" s="32">
        <f t="shared" si="12"/>
        <v>0</v>
      </c>
      <c r="B444" s="33"/>
      <c r="C444" s="34">
        <f t="shared" si="13"/>
        <v>0</v>
      </c>
      <c r="D444" s="42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4"/>
    </row>
    <row r="445" spans="1:18" x14ac:dyDescent="0.35">
      <c r="A445" s="32">
        <f t="shared" si="12"/>
        <v>0</v>
      </c>
      <c r="B445" s="33"/>
      <c r="C445" s="34">
        <f t="shared" si="13"/>
        <v>0</v>
      </c>
      <c r="D445" s="42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4"/>
    </row>
    <row r="446" spans="1:18" x14ac:dyDescent="0.35">
      <c r="A446" s="32">
        <f t="shared" si="12"/>
        <v>0</v>
      </c>
      <c r="B446" s="33"/>
      <c r="C446" s="34">
        <f t="shared" si="13"/>
        <v>0</v>
      </c>
      <c r="D446" s="42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4"/>
    </row>
    <row r="447" spans="1:18" x14ac:dyDescent="0.35">
      <c r="A447" s="32">
        <f t="shared" si="12"/>
        <v>0</v>
      </c>
      <c r="B447" s="33"/>
      <c r="C447" s="34">
        <f t="shared" si="13"/>
        <v>0</v>
      </c>
      <c r="D447" s="42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4"/>
    </row>
    <row r="448" spans="1:18" x14ac:dyDescent="0.35">
      <c r="A448" s="32">
        <f t="shared" si="12"/>
        <v>0</v>
      </c>
      <c r="B448" s="33"/>
      <c r="C448" s="34">
        <f t="shared" si="13"/>
        <v>0</v>
      </c>
      <c r="D448" s="42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4"/>
    </row>
    <row r="449" spans="1:18" x14ac:dyDescent="0.35">
      <c r="A449" s="32">
        <f t="shared" si="12"/>
        <v>0</v>
      </c>
      <c r="B449" s="33"/>
      <c r="C449" s="34">
        <f t="shared" si="13"/>
        <v>0</v>
      </c>
      <c r="D449" s="42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4"/>
    </row>
    <row r="450" spans="1:18" x14ac:dyDescent="0.35">
      <c r="A450" s="32">
        <f t="shared" si="12"/>
        <v>0</v>
      </c>
      <c r="B450" s="33"/>
      <c r="C450" s="34">
        <f t="shared" si="13"/>
        <v>0</v>
      </c>
      <c r="D450" s="42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4"/>
    </row>
    <row r="451" spans="1:18" x14ac:dyDescent="0.35">
      <c r="A451" s="32">
        <f t="shared" si="12"/>
        <v>0</v>
      </c>
      <c r="B451" s="33"/>
      <c r="C451" s="34">
        <f t="shared" si="13"/>
        <v>0</v>
      </c>
      <c r="D451" s="42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4"/>
    </row>
    <row r="452" spans="1:18" x14ac:dyDescent="0.35">
      <c r="A452" s="32">
        <f t="shared" ref="A452:A515" si="14">F452</f>
        <v>0</v>
      </c>
      <c r="B452" s="33"/>
      <c r="C452" s="34">
        <f t="shared" ref="C452:C515" si="15">F452</f>
        <v>0</v>
      </c>
      <c r="D452" s="42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4"/>
    </row>
    <row r="453" spans="1:18" x14ac:dyDescent="0.35">
      <c r="A453" s="32">
        <f t="shared" si="14"/>
        <v>0</v>
      </c>
      <c r="B453" s="33"/>
      <c r="C453" s="34">
        <f t="shared" si="15"/>
        <v>0</v>
      </c>
      <c r="D453" s="42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4"/>
    </row>
    <row r="454" spans="1:18" x14ac:dyDescent="0.35">
      <c r="A454" s="32">
        <f t="shared" si="14"/>
        <v>0</v>
      </c>
      <c r="B454" s="33"/>
      <c r="C454" s="34">
        <f t="shared" si="15"/>
        <v>0</v>
      </c>
      <c r="D454" s="42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4"/>
    </row>
    <row r="455" spans="1:18" x14ac:dyDescent="0.35">
      <c r="A455" s="32">
        <f t="shared" si="14"/>
        <v>0</v>
      </c>
      <c r="B455" s="33"/>
      <c r="C455" s="34">
        <f t="shared" si="15"/>
        <v>0</v>
      </c>
      <c r="D455" s="42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4"/>
    </row>
    <row r="456" spans="1:18" x14ac:dyDescent="0.35">
      <c r="A456" s="32">
        <f t="shared" si="14"/>
        <v>0</v>
      </c>
      <c r="B456" s="33"/>
      <c r="C456" s="34">
        <f t="shared" si="15"/>
        <v>0</v>
      </c>
      <c r="D456" s="42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4"/>
    </row>
    <row r="457" spans="1:18" x14ac:dyDescent="0.35">
      <c r="A457" s="32">
        <f t="shared" si="14"/>
        <v>0</v>
      </c>
      <c r="B457" s="33"/>
      <c r="C457" s="34">
        <f t="shared" si="15"/>
        <v>0</v>
      </c>
      <c r="D457" s="42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4"/>
    </row>
    <row r="458" spans="1:18" x14ac:dyDescent="0.35">
      <c r="A458" s="32">
        <f t="shared" si="14"/>
        <v>0</v>
      </c>
      <c r="B458" s="33"/>
      <c r="C458" s="34">
        <f t="shared" si="15"/>
        <v>0</v>
      </c>
      <c r="D458" s="42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4"/>
    </row>
    <row r="459" spans="1:18" x14ac:dyDescent="0.35">
      <c r="A459" s="32">
        <f t="shared" si="14"/>
        <v>0</v>
      </c>
      <c r="B459" s="33"/>
      <c r="C459" s="34">
        <f t="shared" si="15"/>
        <v>0</v>
      </c>
      <c r="D459" s="42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4"/>
    </row>
    <row r="460" spans="1:18" x14ac:dyDescent="0.35">
      <c r="A460" s="32">
        <f t="shared" si="14"/>
        <v>0</v>
      </c>
      <c r="B460" s="33"/>
      <c r="C460" s="34">
        <f t="shared" si="15"/>
        <v>0</v>
      </c>
      <c r="D460" s="42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4"/>
    </row>
    <row r="461" spans="1:18" x14ac:dyDescent="0.35">
      <c r="A461" s="32">
        <f t="shared" si="14"/>
        <v>0</v>
      </c>
      <c r="B461" s="33"/>
      <c r="C461" s="34">
        <f t="shared" si="15"/>
        <v>0</v>
      </c>
      <c r="D461" s="42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4"/>
    </row>
    <row r="462" spans="1:18" x14ac:dyDescent="0.35">
      <c r="A462" s="32">
        <f t="shared" si="14"/>
        <v>0</v>
      </c>
      <c r="B462" s="33"/>
      <c r="C462" s="34">
        <f t="shared" si="15"/>
        <v>0</v>
      </c>
      <c r="D462" s="42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4"/>
    </row>
    <row r="463" spans="1:18" x14ac:dyDescent="0.35">
      <c r="A463" s="32">
        <f t="shared" si="14"/>
        <v>0</v>
      </c>
      <c r="B463" s="33"/>
      <c r="C463" s="34">
        <f t="shared" si="15"/>
        <v>0</v>
      </c>
      <c r="D463" s="42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4"/>
    </row>
    <row r="464" spans="1:18" x14ac:dyDescent="0.35">
      <c r="A464" s="32">
        <f t="shared" si="14"/>
        <v>0</v>
      </c>
      <c r="B464" s="33"/>
      <c r="C464" s="34">
        <f t="shared" si="15"/>
        <v>0</v>
      </c>
      <c r="D464" s="42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4"/>
    </row>
    <row r="465" spans="1:18" x14ac:dyDescent="0.35">
      <c r="A465" s="32">
        <f t="shared" si="14"/>
        <v>0</v>
      </c>
      <c r="B465" s="33"/>
      <c r="C465" s="34">
        <f t="shared" si="15"/>
        <v>0</v>
      </c>
      <c r="D465" s="42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4"/>
    </row>
    <row r="466" spans="1:18" x14ac:dyDescent="0.35">
      <c r="A466" s="32">
        <f t="shared" si="14"/>
        <v>0</v>
      </c>
      <c r="B466" s="33"/>
      <c r="C466" s="34">
        <f t="shared" si="15"/>
        <v>0</v>
      </c>
      <c r="D466" s="42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4"/>
    </row>
    <row r="467" spans="1:18" x14ac:dyDescent="0.35">
      <c r="A467" s="32">
        <f t="shared" si="14"/>
        <v>0</v>
      </c>
      <c r="B467" s="33"/>
      <c r="C467" s="34">
        <f t="shared" si="15"/>
        <v>0</v>
      </c>
      <c r="D467" s="42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4"/>
    </row>
    <row r="468" spans="1:18" x14ac:dyDescent="0.35">
      <c r="A468" s="32">
        <f t="shared" si="14"/>
        <v>0</v>
      </c>
      <c r="B468" s="33"/>
      <c r="C468" s="34">
        <f t="shared" si="15"/>
        <v>0</v>
      </c>
      <c r="D468" s="42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4"/>
    </row>
    <row r="469" spans="1:18" x14ac:dyDescent="0.35">
      <c r="A469" s="32">
        <f t="shared" si="14"/>
        <v>0</v>
      </c>
      <c r="B469" s="33"/>
      <c r="C469" s="34">
        <f t="shared" si="15"/>
        <v>0</v>
      </c>
      <c r="D469" s="42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4"/>
    </row>
    <row r="470" spans="1:18" x14ac:dyDescent="0.35">
      <c r="A470" s="32">
        <f t="shared" si="14"/>
        <v>0</v>
      </c>
      <c r="B470" s="33"/>
      <c r="C470" s="34">
        <f t="shared" si="15"/>
        <v>0</v>
      </c>
      <c r="D470" s="42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4"/>
    </row>
    <row r="471" spans="1:18" x14ac:dyDescent="0.35">
      <c r="A471" s="32">
        <f t="shared" si="14"/>
        <v>0</v>
      </c>
      <c r="B471" s="33"/>
      <c r="C471" s="34">
        <f t="shared" si="15"/>
        <v>0</v>
      </c>
      <c r="D471" s="42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4"/>
    </row>
    <row r="472" spans="1:18" x14ac:dyDescent="0.35">
      <c r="A472" s="32">
        <f t="shared" si="14"/>
        <v>0</v>
      </c>
      <c r="B472" s="33"/>
      <c r="C472" s="34">
        <f t="shared" si="15"/>
        <v>0</v>
      </c>
      <c r="D472" s="42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4"/>
    </row>
    <row r="473" spans="1:18" x14ac:dyDescent="0.35">
      <c r="A473" s="32">
        <f t="shared" si="14"/>
        <v>0</v>
      </c>
      <c r="B473" s="33"/>
      <c r="C473" s="34">
        <f t="shared" si="15"/>
        <v>0</v>
      </c>
      <c r="D473" s="42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4"/>
    </row>
    <row r="474" spans="1:18" x14ac:dyDescent="0.35">
      <c r="A474" s="32">
        <f t="shared" si="14"/>
        <v>0</v>
      </c>
      <c r="B474" s="33"/>
      <c r="C474" s="34">
        <f t="shared" si="15"/>
        <v>0</v>
      </c>
      <c r="D474" s="42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4"/>
    </row>
    <row r="475" spans="1:18" x14ac:dyDescent="0.35">
      <c r="A475" s="32">
        <f t="shared" si="14"/>
        <v>0</v>
      </c>
      <c r="B475" s="33"/>
      <c r="C475" s="34">
        <f t="shared" si="15"/>
        <v>0</v>
      </c>
      <c r="D475" s="42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4"/>
    </row>
    <row r="476" spans="1:18" x14ac:dyDescent="0.35">
      <c r="A476" s="32">
        <f t="shared" si="14"/>
        <v>0</v>
      </c>
      <c r="B476" s="33"/>
      <c r="C476" s="34">
        <f t="shared" si="15"/>
        <v>0</v>
      </c>
      <c r="D476" s="42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4"/>
    </row>
    <row r="477" spans="1:18" x14ac:dyDescent="0.35">
      <c r="A477" s="32">
        <f t="shared" si="14"/>
        <v>0</v>
      </c>
      <c r="B477" s="33"/>
      <c r="C477" s="34">
        <f t="shared" si="15"/>
        <v>0</v>
      </c>
      <c r="D477" s="42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4"/>
    </row>
    <row r="478" spans="1:18" x14ac:dyDescent="0.35">
      <c r="A478" s="32">
        <f t="shared" si="14"/>
        <v>0</v>
      </c>
      <c r="B478" s="33"/>
      <c r="C478" s="34">
        <f t="shared" si="15"/>
        <v>0</v>
      </c>
      <c r="D478" s="42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4"/>
    </row>
    <row r="479" spans="1:18" x14ac:dyDescent="0.35">
      <c r="A479" s="32">
        <f t="shared" si="14"/>
        <v>0</v>
      </c>
      <c r="B479" s="33"/>
      <c r="C479" s="34">
        <f t="shared" si="15"/>
        <v>0</v>
      </c>
      <c r="D479" s="42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4"/>
    </row>
    <row r="480" spans="1:18" x14ac:dyDescent="0.35">
      <c r="A480" s="32">
        <f t="shared" si="14"/>
        <v>0</v>
      </c>
      <c r="B480" s="33"/>
      <c r="C480" s="34">
        <f t="shared" si="15"/>
        <v>0</v>
      </c>
      <c r="D480" s="42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4"/>
    </row>
    <row r="481" spans="1:18" x14ac:dyDescent="0.35">
      <c r="A481" s="32">
        <f t="shared" si="14"/>
        <v>0</v>
      </c>
      <c r="B481" s="33"/>
      <c r="C481" s="34">
        <f t="shared" si="15"/>
        <v>0</v>
      </c>
      <c r="D481" s="42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4"/>
    </row>
    <row r="482" spans="1:18" x14ac:dyDescent="0.35">
      <c r="A482" s="32">
        <f t="shared" si="14"/>
        <v>0</v>
      </c>
      <c r="B482" s="33"/>
      <c r="C482" s="34">
        <f t="shared" si="15"/>
        <v>0</v>
      </c>
      <c r="D482" s="42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4"/>
    </row>
    <row r="483" spans="1:18" x14ac:dyDescent="0.35">
      <c r="A483" s="32">
        <f t="shared" si="14"/>
        <v>0</v>
      </c>
      <c r="B483" s="33"/>
      <c r="C483" s="34">
        <f t="shared" si="15"/>
        <v>0</v>
      </c>
      <c r="D483" s="42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4"/>
    </row>
    <row r="484" spans="1:18" x14ac:dyDescent="0.35">
      <c r="A484" s="32">
        <f t="shared" si="14"/>
        <v>0</v>
      </c>
      <c r="B484" s="33"/>
      <c r="C484" s="34">
        <f t="shared" si="15"/>
        <v>0</v>
      </c>
      <c r="D484" s="42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4"/>
    </row>
    <row r="485" spans="1:18" x14ac:dyDescent="0.35">
      <c r="A485" s="32">
        <f t="shared" si="14"/>
        <v>0</v>
      </c>
      <c r="B485" s="33"/>
      <c r="C485" s="34">
        <f t="shared" si="15"/>
        <v>0</v>
      </c>
      <c r="D485" s="42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4"/>
    </row>
    <row r="486" spans="1:18" x14ac:dyDescent="0.35">
      <c r="A486" s="32">
        <f t="shared" si="14"/>
        <v>0</v>
      </c>
      <c r="B486" s="33"/>
      <c r="C486" s="34">
        <f t="shared" si="15"/>
        <v>0</v>
      </c>
      <c r="D486" s="42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4"/>
    </row>
    <row r="487" spans="1:18" x14ac:dyDescent="0.35">
      <c r="A487" s="32">
        <f t="shared" si="14"/>
        <v>0</v>
      </c>
      <c r="B487" s="33"/>
      <c r="C487" s="34">
        <f t="shared" si="15"/>
        <v>0</v>
      </c>
      <c r="D487" s="42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4"/>
    </row>
    <row r="488" spans="1:18" x14ac:dyDescent="0.35">
      <c r="A488" s="32">
        <f t="shared" si="14"/>
        <v>0</v>
      </c>
      <c r="B488" s="33"/>
      <c r="C488" s="34">
        <f t="shared" si="15"/>
        <v>0</v>
      </c>
      <c r="D488" s="42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4"/>
    </row>
    <row r="489" spans="1:18" x14ac:dyDescent="0.35">
      <c r="A489" s="32">
        <f t="shared" si="14"/>
        <v>0</v>
      </c>
      <c r="B489" s="33"/>
      <c r="C489" s="34">
        <f t="shared" si="15"/>
        <v>0</v>
      </c>
      <c r="D489" s="42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4"/>
    </row>
    <row r="490" spans="1:18" x14ac:dyDescent="0.35">
      <c r="A490" s="32">
        <f t="shared" si="14"/>
        <v>0</v>
      </c>
      <c r="B490" s="33"/>
      <c r="C490" s="34">
        <f t="shared" si="15"/>
        <v>0</v>
      </c>
      <c r="D490" s="42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4"/>
    </row>
    <row r="491" spans="1:18" x14ac:dyDescent="0.35">
      <c r="A491" s="32">
        <f t="shared" si="14"/>
        <v>0</v>
      </c>
      <c r="B491" s="33"/>
      <c r="C491" s="34">
        <f t="shared" si="15"/>
        <v>0</v>
      </c>
      <c r="D491" s="42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4"/>
    </row>
    <row r="492" spans="1:18" x14ac:dyDescent="0.35">
      <c r="A492" s="32">
        <f t="shared" si="14"/>
        <v>0</v>
      </c>
      <c r="B492" s="33"/>
      <c r="C492" s="34">
        <f t="shared" si="15"/>
        <v>0</v>
      </c>
      <c r="D492" s="42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4"/>
    </row>
    <row r="493" spans="1:18" x14ac:dyDescent="0.35">
      <c r="A493" s="32">
        <f t="shared" si="14"/>
        <v>0</v>
      </c>
      <c r="B493" s="33"/>
      <c r="C493" s="34">
        <f t="shared" si="15"/>
        <v>0</v>
      </c>
      <c r="D493" s="42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4"/>
    </row>
    <row r="494" spans="1:18" x14ac:dyDescent="0.35">
      <c r="A494" s="32">
        <f t="shared" si="14"/>
        <v>0</v>
      </c>
      <c r="B494" s="33"/>
      <c r="C494" s="34">
        <f t="shared" si="15"/>
        <v>0</v>
      </c>
      <c r="D494" s="42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4"/>
    </row>
    <row r="495" spans="1:18" x14ac:dyDescent="0.35">
      <c r="A495" s="32">
        <f t="shared" si="14"/>
        <v>0</v>
      </c>
      <c r="B495" s="33"/>
      <c r="C495" s="34">
        <f t="shared" si="15"/>
        <v>0</v>
      </c>
      <c r="D495" s="42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4"/>
    </row>
    <row r="496" spans="1:18" x14ac:dyDescent="0.35">
      <c r="A496" s="32">
        <f t="shared" si="14"/>
        <v>0</v>
      </c>
      <c r="B496" s="33"/>
      <c r="C496" s="34">
        <f t="shared" si="15"/>
        <v>0</v>
      </c>
      <c r="D496" s="42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4"/>
    </row>
    <row r="497" spans="1:18" x14ac:dyDescent="0.35">
      <c r="A497" s="32">
        <f t="shared" si="14"/>
        <v>0</v>
      </c>
      <c r="B497" s="33"/>
      <c r="C497" s="34">
        <f t="shared" si="15"/>
        <v>0</v>
      </c>
      <c r="D497" s="42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4"/>
    </row>
    <row r="498" spans="1:18" x14ac:dyDescent="0.35">
      <c r="A498" s="32">
        <f t="shared" si="14"/>
        <v>0</v>
      </c>
      <c r="B498" s="33"/>
      <c r="C498" s="34">
        <f t="shared" si="15"/>
        <v>0</v>
      </c>
      <c r="D498" s="42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4"/>
    </row>
    <row r="499" spans="1:18" x14ac:dyDescent="0.35">
      <c r="A499" s="32">
        <f t="shared" si="14"/>
        <v>0</v>
      </c>
      <c r="B499" s="33"/>
      <c r="C499" s="34">
        <f t="shared" si="15"/>
        <v>0</v>
      </c>
      <c r="D499" s="42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4"/>
    </row>
    <row r="500" spans="1:18" x14ac:dyDescent="0.35">
      <c r="A500" s="32">
        <f t="shared" si="14"/>
        <v>0</v>
      </c>
      <c r="B500" s="33"/>
      <c r="C500" s="34">
        <f t="shared" si="15"/>
        <v>0</v>
      </c>
      <c r="D500" s="42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4"/>
    </row>
    <row r="501" spans="1:18" x14ac:dyDescent="0.35">
      <c r="A501" s="32">
        <f t="shared" si="14"/>
        <v>0</v>
      </c>
      <c r="B501" s="33"/>
      <c r="C501" s="34">
        <f t="shared" si="15"/>
        <v>0</v>
      </c>
      <c r="D501" s="42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4"/>
    </row>
    <row r="502" spans="1:18" x14ac:dyDescent="0.35">
      <c r="A502" s="32">
        <f t="shared" si="14"/>
        <v>0</v>
      </c>
      <c r="B502" s="33"/>
      <c r="C502" s="34">
        <f t="shared" si="15"/>
        <v>0</v>
      </c>
      <c r="D502" s="42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4"/>
    </row>
    <row r="503" spans="1:18" x14ac:dyDescent="0.35">
      <c r="A503" s="32">
        <f t="shared" si="14"/>
        <v>0</v>
      </c>
      <c r="B503" s="33"/>
      <c r="C503" s="34">
        <f t="shared" si="15"/>
        <v>0</v>
      </c>
      <c r="D503" s="42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4"/>
    </row>
    <row r="504" spans="1:18" x14ac:dyDescent="0.35">
      <c r="A504" s="32">
        <f t="shared" si="14"/>
        <v>0</v>
      </c>
      <c r="B504" s="33"/>
      <c r="C504" s="34">
        <f t="shared" si="15"/>
        <v>0</v>
      </c>
      <c r="D504" s="42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4"/>
    </row>
    <row r="505" spans="1:18" x14ac:dyDescent="0.35">
      <c r="A505" s="32">
        <f t="shared" si="14"/>
        <v>0</v>
      </c>
      <c r="B505" s="33"/>
      <c r="C505" s="34">
        <f t="shared" si="15"/>
        <v>0</v>
      </c>
      <c r="D505" s="42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4"/>
    </row>
    <row r="506" spans="1:18" x14ac:dyDescent="0.35">
      <c r="A506" s="32">
        <f t="shared" si="14"/>
        <v>0</v>
      </c>
      <c r="B506" s="33"/>
      <c r="C506" s="34">
        <f t="shared" si="15"/>
        <v>0</v>
      </c>
      <c r="D506" s="42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4"/>
    </row>
    <row r="507" spans="1:18" x14ac:dyDescent="0.35">
      <c r="A507" s="32">
        <f t="shared" si="14"/>
        <v>0</v>
      </c>
      <c r="B507" s="33"/>
      <c r="C507" s="34">
        <f t="shared" si="15"/>
        <v>0</v>
      </c>
      <c r="D507" s="42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4"/>
    </row>
    <row r="508" spans="1:18" x14ac:dyDescent="0.35">
      <c r="A508" s="32">
        <f t="shared" si="14"/>
        <v>0</v>
      </c>
      <c r="B508" s="33"/>
      <c r="C508" s="34">
        <f t="shared" si="15"/>
        <v>0</v>
      </c>
      <c r="D508" s="42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4"/>
    </row>
    <row r="509" spans="1:18" x14ac:dyDescent="0.35">
      <c r="A509" s="32">
        <f t="shared" si="14"/>
        <v>0</v>
      </c>
      <c r="B509" s="33"/>
      <c r="C509" s="34">
        <f t="shared" si="15"/>
        <v>0</v>
      </c>
      <c r="D509" s="42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4"/>
    </row>
    <row r="510" spans="1:18" x14ac:dyDescent="0.35">
      <c r="A510" s="32">
        <f t="shared" si="14"/>
        <v>0</v>
      </c>
      <c r="B510" s="33"/>
      <c r="C510" s="34">
        <f t="shared" si="15"/>
        <v>0</v>
      </c>
      <c r="D510" s="42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4"/>
    </row>
    <row r="511" spans="1:18" x14ac:dyDescent="0.35">
      <c r="A511" s="32">
        <f t="shared" si="14"/>
        <v>0</v>
      </c>
      <c r="B511" s="33"/>
      <c r="C511" s="34">
        <f t="shared" si="15"/>
        <v>0</v>
      </c>
      <c r="D511" s="42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4"/>
    </row>
    <row r="512" spans="1:18" x14ac:dyDescent="0.35">
      <c r="A512" s="32">
        <f t="shared" si="14"/>
        <v>0</v>
      </c>
      <c r="B512" s="33"/>
      <c r="C512" s="34">
        <f t="shared" si="15"/>
        <v>0</v>
      </c>
      <c r="D512" s="42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4"/>
    </row>
    <row r="513" spans="1:18" x14ac:dyDescent="0.35">
      <c r="A513" s="32">
        <f t="shared" si="14"/>
        <v>0</v>
      </c>
      <c r="B513" s="33"/>
      <c r="C513" s="34">
        <f t="shared" si="15"/>
        <v>0</v>
      </c>
      <c r="D513" s="42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4"/>
    </row>
    <row r="514" spans="1:18" x14ac:dyDescent="0.35">
      <c r="A514" s="32">
        <f t="shared" si="14"/>
        <v>0</v>
      </c>
      <c r="B514" s="33"/>
      <c r="C514" s="34">
        <f t="shared" si="15"/>
        <v>0</v>
      </c>
      <c r="D514" s="42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4"/>
    </row>
    <row r="515" spans="1:18" x14ac:dyDescent="0.35">
      <c r="A515" s="32">
        <f t="shared" si="14"/>
        <v>0</v>
      </c>
      <c r="B515" s="33"/>
      <c r="C515" s="34">
        <f t="shared" si="15"/>
        <v>0</v>
      </c>
      <c r="D515" s="42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4"/>
    </row>
    <row r="516" spans="1:18" x14ac:dyDescent="0.35">
      <c r="A516" s="32">
        <f t="shared" ref="A516:A579" si="16">F516</f>
        <v>0</v>
      </c>
      <c r="B516" s="33"/>
      <c r="C516" s="34">
        <f t="shared" ref="C516:C579" si="17">F516</f>
        <v>0</v>
      </c>
      <c r="D516" s="42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4"/>
    </row>
    <row r="517" spans="1:18" x14ac:dyDescent="0.35">
      <c r="A517" s="32">
        <f t="shared" si="16"/>
        <v>0</v>
      </c>
      <c r="B517" s="33"/>
      <c r="C517" s="34">
        <f t="shared" si="17"/>
        <v>0</v>
      </c>
      <c r="D517" s="42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4"/>
    </row>
    <row r="518" spans="1:18" x14ac:dyDescent="0.35">
      <c r="A518" s="32">
        <f t="shared" si="16"/>
        <v>0</v>
      </c>
      <c r="B518" s="33"/>
      <c r="C518" s="34">
        <f t="shared" si="17"/>
        <v>0</v>
      </c>
      <c r="D518" s="42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4"/>
    </row>
    <row r="519" spans="1:18" x14ac:dyDescent="0.35">
      <c r="A519" s="32">
        <f t="shared" si="16"/>
        <v>0</v>
      </c>
      <c r="B519" s="33"/>
      <c r="C519" s="34">
        <f t="shared" si="17"/>
        <v>0</v>
      </c>
      <c r="D519" s="42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4"/>
    </row>
    <row r="520" spans="1:18" x14ac:dyDescent="0.35">
      <c r="A520" s="32">
        <f t="shared" si="16"/>
        <v>0</v>
      </c>
      <c r="B520" s="33"/>
      <c r="C520" s="34">
        <f t="shared" si="17"/>
        <v>0</v>
      </c>
      <c r="D520" s="42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4"/>
    </row>
    <row r="521" spans="1:18" x14ac:dyDescent="0.35">
      <c r="A521" s="32">
        <f t="shared" si="16"/>
        <v>0</v>
      </c>
      <c r="B521" s="33"/>
      <c r="C521" s="34">
        <f t="shared" si="17"/>
        <v>0</v>
      </c>
      <c r="D521" s="42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4"/>
    </row>
    <row r="522" spans="1:18" x14ac:dyDescent="0.35">
      <c r="A522" s="32">
        <f t="shared" si="16"/>
        <v>0</v>
      </c>
      <c r="B522" s="33"/>
      <c r="C522" s="34">
        <f t="shared" si="17"/>
        <v>0</v>
      </c>
      <c r="D522" s="42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4"/>
    </row>
    <row r="523" spans="1:18" x14ac:dyDescent="0.35">
      <c r="A523" s="32">
        <f t="shared" si="16"/>
        <v>0</v>
      </c>
      <c r="B523" s="33"/>
      <c r="C523" s="34">
        <f t="shared" si="17"/>
        <v>0</v>
      </c>
      <c r="D523" s="42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4"/>
    </row>
    <row r="524" spans="1:18" x14ac:dyDescent="0.35">
      <c r="A524" s="32">
        <f t="shared" si="16"/>
        <v>0</v>
      </c>
      <c r="B524" s="33"/>
      <c r="C524" s="34">
        <f t="shared" si="17"/>
        <v>0</v>
      </c>
      <c r="D524" s="42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4"/>
    </row>
    <row r="525" spans="1:18" x14ac:dyDescent="0.35">
      <c r="A525" s="32">
        <f t="shared" si="16"/>
        <v>0</v>
      </c>
      <c r="B525" s="33"/>
      <c r="C525" s="34">
        <f t="shared" si="17"/>
        <v>0</v>
      </c>
      <c r="D525" s="42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4"/>
    </row>
    <row r="526" spans="1:18" x14ac:dyDescent="0.35">
      <c r="A526" s="32">
        <f t="shared" si="16"/>
        <v>0</v>
      </c>
      <c r="B526" s="33"/>
      <c r="C526" s="34">
        <f t="shared" si="17"/>
        <v>0</v>
      </c>
      <c r="D526" s="42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4"/>
    </row>
    <row r="527" spans="1:18" x14ac:dyDescent="0.35">
      <c r="A527" s="32">
        <f t="shared" si="16"/>
        <v>0</v>
      </c>
      <c r="B527" s="33"/>
      <c r="C527" s="34">
        <f t="shared" si="17"/>
        <v>0</v>
      </c>
      <c r="D527" s="42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4"/>
    </row>
    <row r="528" spans="1:18" x14ac:dyDescent="0.35">
      <c r="A528" s="32">
        <f t="shared" si="16"/>
        <v>0</v>
      </c>
      <c r="B528" s="33"/>
      <c r="C528" s="34">
        <f t="shared" si="17"/>
        <v>0</v>
      </c>
      <c r="D528" s="42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4"/>
    </row>
    <row r="529" spans="1:18" x14ac:dyDescent="0.35">
      <c r="A529" s="32">
        <f t="shared" si="16"/>
        <v>0</v>
      </c>
      <c r="B529" s="33"/>
      <c r="C529" s="34">
        <f t="shared" si="17"/>
        <v>0</v>
      </c>
      <c r="D529" s="42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4"/>
    </row>
    <row r="530" spans="1:18" x14ac:dyDescent="0.35">
      <c r="A530" s="32">
        <f t="shared" si="16"/>
        <v>0</v>
      </c>
      <c r="B530" s="33"/>
      <c r="C530" s="34">
        <f t="shared" si="17"/>
        <v>0</v>
      </c>
      <c r="D530" s="42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4"/>
    </row>
    <row r="531" spans="1:18" x14ac:dyDescent="0.35">
      <c r="A531" s="32">
        <f t="shared" si="16"/>
        <v>0</v>
      </c>
      <c r="B531" s="33"/>
      <c r="C531" s="34">
        <f t="shared" si="17"/>
        <v>0</v>
      </c>
      <c r="D531" s="42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4"/>
    </row>
    <row r="532" spans="1:18" x14ac:dyDescent="0.35">
      <c r="A532" s="32">
        <f t="shared" si="16"/>
        <v>0</v>
      </c>
      <c r="B532" s="33"/>
      <c r="C532" s="34">
        <f t="shared" si="17"/>
        <v>0</v>
      </c>
      <c r="D532" s="42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4"/>
    </row>
    <row r="533" spans="1:18" x14ac:dyDescent="0.35">
      <c r="A533" s="32">
        <f t="shared" si="16"/>
        <v>0</v>
      </c>
      <c r="B533" s="33"/>
      <c r="C533" s="34">
        <f t="shared" si="17"/>
        <v>0</v>
      </c>
      <c r="D533" s="42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4"/>
    </row>
    <row r="534" spans="1:18" x14ac:dyDescent="0.35">
      <c r="A534" s="32">
        <f t="shared" si="16"/>
        <v>0</v>
      </c>
      <c r="B534" s="33"/>
      <c r="C534" s="34">
        <f t="shared" si="17"/>
        <v>0</v>
      </c>
      <c r="D534" s="42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4"/>
    </row>
    <row r="535" spans="1:18" x14ac:dyDescent="0.35">
      <c r="A535" s="32">
        <f t="shared" si="16"/>
        <v>0</v>
      </c>
      <c r="B535" s="33"/>
      <c r="C535" s="34">
        <f t="shared" si="17"/>
        <v>0</v>
      </c>
      <c r="D535" s="42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4"/>
    </row>
    <row r="536" spans="1:18" x14ac:dyDescent="0.35">
      <c r="A536" s="32">
        <f t="shared" si="16"/>
        <v>0</v>
      </c>
      <c r="B536" s="33"/>
      <c r="C536" s="34">
        <f t="shared" si="17"/>
        <v>0</v>
      </c>
      <c r="D536" s="42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4"/>
    </row>
    <row r="537" spans="1:18" x14ac:dyDescent="0.35">
      <c r="A537" s="32">
        <f t="shared" si="16"/>
        <v>0</v>
      </c>
      <c r="B537" s="33"/>
      <c r="C537" s="34">
        <f t="shared" si="17"/>
        <v>0</v>
      </c>
      <c r="D537" s="42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4"/>
    </row>
    <row r="538" spans="1:18" x14ac:dyDescent="0.35">
      <c r="A538" s="32">
        <f t="shared" si="16"/>
        <v>0</v>
      </c>
      <c r="B538" s="33"/>
      <c r="C538" s="34">
        <f t="shared" si="17"/>
        <v>0</v>
      </c>
      <c r="D538" s="42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4"/>
    </row>
    <row r="539" spans="1:18" x14ac:dyDescent="0.35">
      <c r="A539" s="32">
        <f t="shared" si="16"/>
        <v>0</v>
      </c>
      <c r="B539" s="33"/>
      <c r="C539" s="34">
        <f t="shared" si="17"/>
        <v>0</v>
      </c>
      <c r="D539" s="42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4"/>
    </row>
    <row r="540" spans="1:18" x14ac:dyDescent="0.35">
      <c r="A540" s="32">
        <f t="shared" si="16"/>
        <v>0</v>
      </c>
      <c r="B540" s="33"/>
      <c r="C540" s="34">
        <f t="shared" si="17"/>
        <v>0</v>
      </c>
      <c r="D540" s="42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4"/>
    </row>
    <row r="541" spans="1:18" x14ac:dyDescent="0.35">
      <c r="A541" s="32">
        <f t="shared" si="16"/>
        <v>0</v>
      </c>
      <c r="B541" s="33"/>
      <c r="C541" s="34">
        <f t="shared" si="17"/>
        <v>0</v>
      </c>
      <c r="D541" s="42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4"/>
    </row>
    <row r="542" spans="1:18" x14ac:dyDescent="0.35">
      <c r="A542" s="32">
        <f t="shared" si="16"/>
        <v>0</v>
      </c>
      <c r="B542" s="33"/>
      <c r="C542" s="34">
        <f t="shared" si="17"/>
        <v>0</v>
      </c>
      <c r="D542" s="42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4"/>
    </row>
    <row r="543" spans="1:18" x14ac:dyDescent="0.35">
      <c r="A543" s="32">
        <f t="shared" si="16"/>
        <v>0</v>
      </c>
      <c r="B543" s="33"/>
      <c r="C543" s="34">
        <f t="shared" si="17"/>
        <v>0</v>
      </c>
      <c r="D543" s="42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4"/>
    </row>
    <row r="544" spans="1:18" x14ac:dyDescent="0.35">
      <c r="A544" s="32">
        <f t="shared" si="16"/>
        <v>0</v>
      </c>
      <c r="B544" s="33"/>
      <c r="C544" s="34">
        <f t="shared" si="17"/>
        <v>0</v>
      </c>
      <c r="D544" s="42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4"/>
    </row>
    <row r="545" spans="1:18" x14ac:dyDescent="0.35">
      <c r="A545" s="32">
        <f t="shared" si="16"/>
        <v>0</v>
      </c>
      <c r="B545" s="33"/>
      <c r="C545" s="34">
        <f t="shared" si="17"/>
        <v>0</v>
      </c>
      <c r="D545" s="42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4"/>
    </row>
    <row r="546" spans="1:18" x14ac:dyDescent="0.35">
      <c r="A546" s="32">
        <f t="shared" si="16"/>
        <v>0</v>
      </c>
      <c r="B546" s="33"/>
      <c r="C546" s="34">
        <f t="shared" si="17"/>
        <v>0</v>
      </c>
      <c r="D546" s="42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4"/>
    </row>
    <row r="547" spans="1:18" x14ac:dyDescent="0.35">
      <c r="A547" s="32">
        <f t="shared" si="16"/>
        <v>0</v>
      </c>
      <c r="B547" s="33"/>
      <c r="C547" s="34">
        <f t="shared" si="17"/>
        <v>0</v>
      </c>
      <c r="D547" s="42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4"/>
    </row>
    <row r="548" spans="1:18" x14ac:dyDescent="0.35">
      <c r="A548" s="32">
        <f t="shared" si="16"/>
        <v>0</v>
      </c>
      <c r="B548" s="33"/>
      <c r="C548" s="34">
        <f t="shared" si="17"/>
        <v>0</v>
      </c>
      <c r="D548" s="42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4"/>
    </row>
    <row r="549" spans="1:18" x14ac:dyDescent="0.35">
      <c r="A549" s="32">
        <f t="shared" si="16"/>
        <v>0</v>
      </c>
      <c r="B549" s="33"/>
      <c r="C549" s="34">
        <f t="shared" si="17"/>
        <v>0</v>
      </c>
      <c r="D549" s="42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4"/>
    </row>
    <row r="550" spans="1:18" x14ac:dyDescent="0.35">
      <c r="A550" s="32">
        <f t="shared" si="16"/>
        <v>0</v>
      </c>
      <c r="B550" s="33"/>
      <c r="C550" s="34">
        <f t="shared" si="17"/>
        <v>0</v>
      </c>
      <c r="D550" s="42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4"/>
    </row>
    <row r="551" spans="1:18" x14ac:dyDescent="0.35">
      <c r="A551" s="32">
        <f t="shared" si="16"/>
        <v>0</v>
      </c>
      <c r="B551" s="33"/>
      <c r="C551" s="34">
        <f t="shared" si="17"/>
        <v>0</v>
      </c>
      <c r="D551" s="42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4"/>
    </row>
    <row r="552" spans="1:18" x14ac:dyDescent="0.35">
      <c r="A552" s="32">
        <f t="shared" si="16"/>
        <v>0</v>
      </c>
      <c r="B552" s="33"/>
      <c r="C552" s="34">
        <f t="shared" si="17"/>
        <v>0</v>
      </c>
      <c r="D552" s="42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4"/>
    </row>
    <row r="553" spans="1:18" x14ac:dyDescent="0.35">
      <c r="A553" s="32">
        <f t="shared" si="16"/>
        <v>0</v>
      </c>
      <c r="B553" s="33"/>
      <c r="C553" s="34">
        <f t="shared" si="17"/>
        <v>0</v>
      </c>
      <c r="D553" s="42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4"/>
    </row>
    <row r="554" spans="1:18" x14ac:dyDescent="0.35">
      <c r="A554" s="32">
        <f t="shared" si="16"/>
        <v>0</v>
      </c>
      <c r="B554" s="33"/>
      <c r="C554" s="34">
        <f t="shared" si="17"/>
        <v>0</v>
      </c>
      <c r="D554" s="42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4"/>
    </row>
    <row r="555" spans="1:18" x14ac:dyDescent="0.35">
      <c r="A555" s="32">
        <f t="shared" si="16"/>
        <v>0</v>
      </c>
      <c r="B555" s="33"/>
      <c r="C555" s="34">
        <f t="shared" si="17"/>
        <v>0</v>
      </c>
      <c r="D555" s="42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4"/>
    </row>
    <row r="556" spans="1:18" x14ac:dyDescent="0.35">
      <c r="A556" s="32">
        <f t="shared" si="16"/>
        <v>0</v>
      </c>
      <c r="B556" s="33"/>
      <c r="C556" s="34">
        <f t="shared" si="17"/>
        <v>0</v>
      </c>
      <c r="D556" s="42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4"/>
    </row>
    <row r="557" spans="1:18" x14ac:dyDescent="0.35">
      <c r="A557" s="32">
        <f t="shared" si="16"/>
        <v>0</v>
      </c>
      <c r="B557" s="33"/>
      <c r="C557" s="34">
        <f t="shared" si="17"/>
        <v>0</v>
      </c>
      <c r="D557" s="42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4"/>
    </row>
    <row r="558" spans="1:18" x14ac:dyDescent="0.35">
      <c r="A558" s="32">
        <f t="shared" si="16"/>
        <v>0</v>
      </c>
      <c r="B558" s="33"/>
      <c r="C558" s="34">
        <f t="shared" si="17"/>
        <v>0</v>
      </c>
      <c r="D558" s="42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4"/>
    </row>
    <row r="559" spans="1:18" x14ac:dyDescent="0.35">
      <c r="A559" s="32">
        <f t="shared" si="16"/>
        <v>0</v>
      </c>
      <c r="B559" s="33"/>
      <c r="C559" s="34">
        <f t="shared" si="17"/>
        <v>0</v>
      </c>
      <c r="D559" s="42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4"/>
    </row>
    <row r="560" spans="1:18" x14ac:dyDescent="0.35">
      <c r="A560" s="32">
        <f t="shared" si="16"/>
        <v>0</v>
      </c>
      <c r="B560" s="33"/>
      <c r="C560" s="34">
        <f t="shared" si="17"/>
        <v>0</v>
      </c>
      <c r="D560" s="42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4"/>
    </row>
    <row r="561" spans="1:18" x14ac:dyDescent="0.35">
      <c r="A561" s="32">
        <f t="shared" si="16"/>
        <v>0</v>
      </c>
      <c r="B561" s="33"/>
      <c r="C561" s="34">
        <f t="shared" si="17"/>
        <v>0</v>
      </c>
      <c r="D561" s="42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4"/>
    </row>
    <row r="562" spans="1:18" x14ac:dyDescent="0.35">
      <c r="A562" s="32">
        <f t="shared" si="16"/>
        <v>0</v>
      </c>
      <c r="B562" s="33"/>
      <c r="C562" s="34">
        <f t="shared" si="17"/>
        <v>0</v>
      </c>
      <c r="D562" s="42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4"/>
    </row>
    <row r="563" spans="1:18" x14ac:dyDescent="0.35">
      <c r="A563" s="32">
        <f t="shared" si="16"/>
        <v>0</v>
      </c>
      <c r="B563" s="33"/>
      <c r="C563" s="34">
        <f t="shared" si="17"/>
        <v>0</v>
      </c>
      <c r="D563" s="42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4"/>
    </row>
    <row r="564" spans="1:18" x14ac:dyDescent="0.35">
      <c r="A564" s="32">
        <f t="shared" si="16"/>
        <v>0</v>
      </c>
      <c r="B564" s="33"/>
      <c r="C564" s="34">
        <f t="shared" si="17"/>
        <v>0</v>
      </c>
      <c r="D564" s="42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4"/>
    </row>
    <row r="565" spans="1:18" x14ac:dyDescent="0.35">
      <c r="A565" s="32">
        <f t="shared" si="16"/>
        <v>0</v>
      </c>
      <c r="B565" s="33"/>
      <c r="C565" s="34">
        <f t="shared" si="17"/>
        <v>0</v>
      </c>
      <c r="D565" s="42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4"/>
    </row>
    <row r="566" spans="1:18" x14ac:dyDescent="0.35">
      <c r="A566" s="32">
        <f t="shared" si="16"/>
        <v>0</v>
      </c>
      <c r="B566" s="33"/>
      <c r="C566" s="34">
        <f t="shared" si="17"/>
        <v>0</v>
      </c>
      <c r="D566" s="42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4"/>
    </row>
    <row r="567" spans="1:18" x14ac:dyDescent="0.35">
      <c r="A567" s="32">
        <f t="shared" si="16"/>
        <v>0</v>
      </c>
      <c r="B567" s="33"/>
      <c r="C567" s="34">
        <f t="shared" si="17"/>
        <v>0</v>
      </c>
      <c r="D567" s="42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4"/>
    </row>
    <row r="568" spans="1:18" x14ac:dyDescent="0.35">
      <c r="A568" s="32">
        <f t="shared" si="16"/>
        <v>0</v>
      </c>
      <c r="B568" s="33"/>
      <c r="C568" s="34">
        <f t="shared" si="17"/>
        <v>0</v>
      </c>
      <c r="D568" s="42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4"/>
    </row>
    <row r="569" spans="1:18" x14ac:dyDescent="0.35">
      <c r="A569" s="32">
        <f t="shared" si="16"/>
        <v>0</v>
      </c>
      <c r="B569" s="33"/>
      <c r="C569" s="34">
        <f t="shared" si="17"/>
        <v>0</v>
      </c>
      <c r="D569" s="42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4"/>
    </row>
    <row r="570" spans="1:18" x14ac:dyDescent="0.35">
      <c r="A570" s="32">
        <f t="shared" si="16"/>
        <v>0</v>
      </c>
      <c r="B570" s="33"/>
      <c r="C570" s="34">
        <f t="shared" si="17"/>
        <v>0</v>
      </c>
      <c r="D570" s="42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4"/>
    </row>
    <row r="571" spans="1:18" x14ac:dyDescent="0.35">
      <c r="A571" s="32">
        <f t="shared" si="16"/>
        <v>0</v>
      </c>
      <c r="B571" s="33"/>
      <c r="C571" s="34">
        <f t="shared" si="17"/>
        <v>0</v>
      </c>
      <c r="D571" s="42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4"/>
    </row>
    <row r="572" spans="1:18" x14ac:dyDescent="0.35">
      <c r="A572" s="32">
        <f t="shared" si="16"/>
        <v>0</v>
      </c>
      <c r="B572" s="33"/>
      <c r="C572" s="34">
        <f t="shared" si="17"/>
        <v>0</v>
      </c>
      <c r="D572" s="42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4"/>
    </row>
    <row r="573" spans="1:18" x14ac:dyDescent="0.35">
      <c r="A573" s="32">
        <f t="shared" si="16"/>
        <v>0</v>
      </c>
      <c r="B573" s="33"/>
      <c r="C573" s="34">
        <f t="shared" si="17"/>
        <v>0</v>
      </c>
      <c r="D573" s="42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4"/>
    </row>
    <row r="574" spans="1:18" x14ac:dyDescent="0.35">
      <c r="A574" s="32">
        <f t="shared" si="16"/>
        <v>0</v>
      </c>
      <c r="B574" s="33"/>
      <c r="C574" s="34">
        <f t="shared" si="17"/>
        <v>0</v>
      </c>
      <c r="D574" s="42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4"/>
    </row>
    <row r="575" spans="1:18" x14ac:dyDescent="0.35">
      <c r="A575" s="32">
        <f t="shared" si="16"/>
        <v>0</v>
      </c>
      <c r="B575" s="33"/>
      <c r="C575" s="34">
        <f t="shared" si="17"/>
        <v>0</v>
      </c>
      <c r="D575" s="42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4"/>
    </row>
    <row r="576" spans="1:18" x14ac:dyDescent="0.35">
      <c r="A576" s="32">
        <f t="shared" si="16"/>
        <v>0</v>
      </c>
      <c r="B576" s="33"/>
      <c r="C576" s="34">
        <f t="shared" si="17"/>
        <v>0</v>
      </c>
      <c r="D576" s="42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4"/>
    </row>
    <row r="577" spans="1:18" x14ac:dyDescent="0.35">
      <c r="A577" s="32">
        <f t="shared" si="16"/>
        <v>0</v>
      </c>
      <c r="B577" s="33"/>
      <c r="C577" s="34">
        <f t="shared" si="17"/>
        <v>0</v>
      </c>
      <c r="D577" s="42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4"/>
    </row>
    <row r="578" spans="1:18" x14ac:dyDescent="0.35">
      <c r="A578" s="32">
        <f t="shared" si="16"/>
        <v>0</v>
      </c>
      <c r="B578" s="33"/>
      <c r="C578" s="34">
        <f t="shared" si="17"/>
        <v>0</v>
      </c>
      <c r="D578" s="42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4"/>
    </row>
    <row r="579" spans="1:18" x14ac:dyDescent="0.35">
      <c r="A579" s="32">
        <f t="shared" si="16"/>
        <v>0</v>
      </c>
      <c r="B579" s="33"/>
      <c r="C579" s="34">
        <f t="shared" si="17"/>
        <v>0</v>
      </c>
      <c r="D579" s="42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4"/>
    </row>
    <row r="580" spans="1:18" x14ac:dyDescent="0.35">
      <c r="A580" s="32">
        <f t="shared" ref="A580:A643" si="18">F580</f>
        <v>0</v>
      </c>
      <c r="B580" s="33"/>
      <c r="C580" s="34">
        <f t="shared" ref="C580:C643" si="19">F580</f>
        <v>0</v>
      </c>
      <c r="D580" s="42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4"/>
    </row>
    <row r="581" spans="1:18" x14ac:dyDescent="0.35">
      <c r="A581" s="32">
        <f t="shared" si="18"/>
        <v>0</v>
      </c>
      <c r="B581" s="33"/>
      <c r="C581" s="34">
        <f t="shared" si="19"/>
        <v>0</v>
      </c>
      <c r="D581" s="42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4"/>
    </row>
    <row r="582" spans="1:18" x14ac:dyDescent="0.35">
      <c r="A582" s="32">
        <f t="shared" si="18"/>
        <v>0</v>
      </c>
      <c r="B582" s="33"/>
      <c r="C582" s="34">
        <f t="shared" si="19"/>
        <v>0</v>
      </c>
      <c r="D582" s="42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4"/>
    </row>
    <row r="583" spans="1:18" x14ac:dyDescent="0.35">
      <c r="A583" s="32">
        <f t="shared" si="18"/>
        <v>0</v>
      </c>
      <c r="B583" s="33"/>
      <c r="C583" s="34">
        <f t="shared" si="19"/>
        <v>0</v>
      </c>
      <c r="D583" s="42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4"/>
    </row>
    <row r="584" spans="1:18" x14ac:dyDescent="0.35">
      <c r="A584" s="32">
        <f t="shared" si="18"/>
        <v>0</v>
      </c>
      <c r="B584" s="33"/>
      <c r="C584" s="34">
        <f t="shared" si="19"/>
        <v>0</v>
      </c>
      <c r="D584" s="42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4"/>
    </row>
    <row r="585" spans="1:18" x14ac:dyDescent="0.35">
      <c r="A585" s="32">
        <f t="shared" si="18"/>
        <v>0</v>
      </c>
      <c r="B585" s="33"/>
      <c r="C585" s="34">
        <f t="shared" si="19"/>
        <v>0</v>
      </c>
      <c r="D585" s="42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4"/>
    </row>
    <row r="586" spans="1:18" x14ac:dyDescent="0.35">
      <c r="A586" s="32">
        <f t="shared" si="18"/>
        <v>0</v>
      </c>
      <c r="B586" s="33"/>
      <c r="C586" s="34">
        <f t="shared" si="19"/>
        <v>0</v>
      </c>
      <c r="D586" s="42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4"/>
    </row>
    <row r="587" spans="1:18" x14ac:dyDescent="0.35">
      <c r="A587" s="32">
        <f t="shared" si="18"/>
        <v>0</v>
      </c>
      <c r="B587" s="33"/>
      <c r="C587" s="34">
        <f t="shared" si="19"/>
        <v>0</v>
      </c>
      <c r="D587" s="42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4"/>
    </row>
    <row r="588" spans="1:18" x14ac:dyDescent="0.35">
      <c r="A588" s="32">
        <f t="shared" si="18"/>
        <v>0</v>
      </c>
      <c r="B588" s="33"/>
      <c r="C588" s="34">
        <f t="shared" si="19"/>
        <v>0</v>
      </c>
      <c r="D588" s="42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4"/>
    </row>
    <row r="589" spans="1:18" x14ac:dyDescent="0.35">
      <c r="A589" s="32">
        <f t="shared" si="18"/>
        <v>0</v>
      </c>
      <c r="B589" s="33"/>
      <c r="C589" s="34">
        <f t="shared" si="19"/>
        <v>0</v>
      </c>
      <c r="D589" s="42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4"/>
    </row>
    <row r="590" spans="1:18" x14ac:dyDescent="0.35">
      <c r="A590" s="32">
        <f t="shared" si="18"/>
        <v>0</v>
      </c>
      <c r="B590" s="33"/>
      <c r="C590" s="34">
        <f t="shared" si="19"/>
        <v>0</v>
      </c>
      <c r="D590" s="42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4"/>
    </row>
    <row r="591" spans="1:18" x14ac:dyDescent="0.35">
      <c r="A591" s="32">
        <f t="shared" si="18"/>
        <v>0</v>
      </c>
      <c r="B591" s="33"/>
      <c r="C591" s="34">
        <f t="shared" si="19"/>
        <v>0</v>
      </c>
      <c r="D591" s="42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4"/>
    </row>
    <row r="592" spans="1:18" x14ac:dyDescent="0.35">
      <c r="A592" s="32">
        <f t="shared" si="18"/>
        <v>0</v>
      </c>
      <c r="B592" s="33"/>
      <c r="C592" s="34">
        <f t="shared" si="19"/>
        <v>0</v>
      </c>
      <c r="D592" s="42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4"/>
    </row>
    <row r="593" spans="1:18" x14ac:dyDescent="0.35">
      <c r="A593" s="32">
        <f t="shared" si="18"/>
        <v>0</v>
      </c>
      <c r="B593" s="33"/>
      <c r="C593" s="34">
        <f t="shared" si="19"/>
        <v>0</v>
      </c>
      <c r="D593" s="42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4"/>
    </row>
    <row r="594" spans="1:18" x14ac:dyDescent="0.35">
      <c r="A594" s="32">
        <f t="shared" si="18"/>
        <v>0</v>
      </c>
      <c r="B594" s="33"/>
      <c r="C594" s="34">
        <f t="shared" si="19"/>
        <v>0</v>
      </c>
      <c r="D594" s="42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4"/>
    </row>
    <row r="595" spans="1:18" x14ac:dyDescent="0.35">
      <c r="A595" s="32">
        <f t="shared" si="18"/>
        <v>0</v>
      </c>
      <c r="B595" s="33"/>
      <c r="C595" s="34">
        <f t="shared" si="19"/>
        <v>0</v>
      </c>
      <c r="D595" s="42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4"/>
    </row>
    <row r="596" spans="1:18" x14ac:dyDescent="0.35">
      <c r="A596" s="32">
        <f t="shared" si="18"/>
        <v>0</v>
      </c>
      <c r="B596" s="33"/>
      <c r="C596" s="34">
        <f t="shared" si="19"/>
        <v>0</v>
      </c>
      <c r="D596" s="42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4"/>
    </row>
    <row r="597" spans="1:18" x14ac:dyDescent="0.35">
      <c r="A597" s="32">
        <f t="shared" si="18"/>
        <v>0</v>
      </c>
      <c r="B597" s="33"/>
      <c r="C597" s="34">
        <f t="shared" si="19"/>
        <v>0</v>
      </c>
      <c r="D597" s="42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4"/>
    </row>
    <row r="598" spans="1:18" x14ac:dyDescent="0.35">
      <c r="A598" s="32">
        <f t="shared" si="18"/>
        <v>0</v>
      </c>
      <c r="B598" s="33"/>
      <c r="C598" s="34">
        <f t="shared" si="19"/>
        <v>0</v>
      </c>
      <c r="D598" s="42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4"/>
    </row>
    <row r="599" spans="1:18" x14ac:dyDescent="0.35">
      <c r="A599" s="32">
        <f t="shared" si="18"/>
        <v>0</v>
      </c>
      <c r="B599" s="33"/>
      <c r="C599" s="34">
        <f t="shared" si="19"/>
        <v>0</v>
      </c>
      <c r="D599" s="42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4"/>
    </row>
    <row r="600" spans="1:18" x14ac:dyDescent="0.35">
      <c r="A600" s="32">
        <f t="shared" si="18"/>
        <v>0</v>
      </c>
      <c r="B600" s="33"/>
      <c r="C600" s="34">
        <f t="shared" si="19"/>
        <v>0</v>
      </c>
      <c r="D600" s="42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4"/>
    </row>
    <row r="601" spans="1:18" x14ac:dyDescent="0.35">
      <c r="A601" s="32">
        <f t="shared" si="18"/>
        <v>0</v>
      </c>
      <c r="B601" s="33"/>
      <c r="C601" s="34">
        <f t="shared" si="19"/>
        <v>0</v>
      </c>
      <c r="D601" s="42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4"/>
    </row>
    <row r="602" spans="1:18" x14ac:dyDescent="0.35">
      <c r="A602" s="32">
        <f t="shared" si="18"/>
        <v>0</v>
      </c>
      <c r="B602" s="33"/>
      <c r="C602" s="34">
        <f t="shared" si="19"/>
        <v>0</v>
      </c>
      <c r="D602" s="42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4"/>
    </row>
    <row r="603" spans="1:18" x14ac:dyDescent="0.35">
      <c r="A603" s="32">
        <f t="shared" si="18"/>
        <v>0</v>
      </c>
      <c r="B603" s="33"/>
      <c r="C603" s="34">
        <f t="shared" si="19"/>
        <v>0</v>
      </c>
      <c r="D603" s="42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4"/>
    </row>
    <row r="604" spans="1:18" x14ac:dyDescent="0.35">
      <c r="A604" s="32">
        <f t="shared" si="18"/>
        <v>0</v>
      </c>
      <c r="B604" s="33"/>
      <c r="C604" s="34">
        <f t="shared" si="19"/>
        <v>0</v>
      </c>
      <c r="D604" s="42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4"/>
    </row>
    <row r="605" spans="1:18" x14ac:dyDescent="0.35">
      <c r="A605" s="32">
        <f t="shared" si="18"/>
        <v>0</v>
      </c>
      <c r="B605" s="33"/>
      <c r="C605" s="34">
        <f t="shared" si="19"/>
        <v>0</v>
      </c>
      <c r="D605" s="42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4"/>
    </row>
    <row r="606" spans="1:18" x14ac:dyDescent="0.35">
      <c r="A606" s="32">
        <f t="shared" si="18"/>
        <v>0</v>
      </c>
      <c r="B606" s="33"/>
      <c r="C606" s="34">
        <f t="shared" si="19"/>
        <v>0</v>
      </c>
      <c r="D606" s="42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4"/>
    </row>
    <row r="607" spans="1:18" x14ac:dyDescent="0.35">
      <c r="A607" s="32">
        <f t="shared" si="18"/>
        <v>0</v>
      </c>
      <c r="B607" s="33"/>
      <c r="C607" s="34">
        <f t="shared" si="19"/>
        <v>0</v>
      </c>
      <c r="D607" s="42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4"/>
    </row>
    <row r="608" spans="1:18" x14ac:dyDescent="0.35">
      <c r="A608" s="32">
        <f t="shared" si="18"/>
        <v>0</v>
      </c>
      <c r="B608" s="33"/>
      <c r="C608" s="34">
        <f t="shared" si="19"/>
        <v>0</v>
      </c>
      <c r="D608" s="42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4"/>
    </row>
    <row r="609" spans="1:18" x14ac:dyDescent="0.35">
      <c r="A609" s="32">
        <f t="shared" si="18"/>
        <v>0</v>
      </c>
      <c r="B609" s="33"/>
      <c r="C609" s="34">
        <f t="shared" si="19"/>
        <v>0</v>
      </c>
      <c r="D609" s="42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4"/>
    </row>
    <row r="610" spans="1:18" x14ac:dyDescent="0.35">
      <c r="A610" s="32">
        <f t="shared" si="18"/>
        <v>0</v>
      </c>
      <c r="B610" s="33"/>
      <c r="C610" s="34">
        <f t="shared" si="19"/>
        <v>0</v>
      </c>
      <c r="D610" s="42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4"/>
    </row>
    <row r="611" spans="1:18" x14ac:dyDescent="0.35">
      <c r="A611" s="32">
        <f t="shared" si="18"/>
        <v>0</v>
      </c>
      <c r="B611" s="33"/>
      <c r="C611" s="34">
        <f t="shared" si="19"/>
        <v>0</v>
      </c>
      <c r="D611" s="42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4"/>
    </row>
    <row r="612" spans="1:18" x14ac:dyDescent="0.35">
      <c r="A612" s="32">
        <f t="shared" si="18"/>
        <v>0</v>
      </c>
      <c r="B612" s="33"/>
      <c r="C612" s="34">
        <f t="shared" si="19"/>
        <v>0</v>
      </c>
      <c r="D612" s="42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4"/>
    </row>
    <row r="613" spans="1:18" x14ac:dyDescent="0.35">
      <c r="A613" s="32">
        <f t="shared" si="18"/>
        <v>0</v>
      </c>
      <c r="B613" s="33"/>
      <c r="C613" s="34">
        <f t="shared" si="19"/>
        <v>0</v>
      </c>
      <c r="D613" s="42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4"/>
    </row>
    <row r="614" spans="1:18" x14ac:dyDescent="0.35">
      <c r="A614" s="32">
        <f t="shared" si="18"/>
        <v>0</v>
      </c>
      <c r="B614" s="33"/>
      <c r="C614" s="34">
        <f t="shared" si="19"/>
        <v>0</v>
      </c>
      <c r="D614" s="42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4"/>
    </row>
    <row r="615" spans="1:18" x14ac:dyDescent="0.35">
      <c r="A615" s="32">
        <f t="shared" si="18"/>
        <v>0</v>
      </c>
      <c r="B615" s="33"/>
      <c r="C615" s="34">
        <f t="shared" si="19"/>
        <v>0</v>
      </c>
      <c r="D615" s="42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4"/>
    </row>
    <row r="616" spans="1:18" x14ac:dyDescent="0.35">
      <c r="A616" s="32">
        <f t="shared" si="18"/>
        <v>0</v>
      </c>
      <c r="B616" s="33"/>
      <c r="C616" s="34">
        <f t="shared" si="19"/>
        <v>0</v>
      </c>
      <c r="D616" s="42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4"/>
    </row>
    <row r="617" spans="1:18" x14ac:dyDescent="0.35">
      <c r="A617" s="32">
        <f t="shared" si="18"/>
        <v>0</v>
      </c>
      <c r="B617" s="33"/>
      <c r="C617" s="34">
        <f t="shared" si="19"/>
        <v>0</v>
      </c>
      <c r="D617" s="42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4"/>
    </row>
    <row r="618" spans="1:18" x14ac:dyDescent="0.35">
      <c r="A618" s="32">
        <f t="shared" si="18"/>
        <v>0</v>
      </c>
      <c r="B618" s="33"/>
      <c r="C618" s="34">
        <f t="shared" si="19"/>
        <v>0</v>
      </c>
      <c r="D618" s="42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4"/>
    </row>
    <row r="619" spans="1:18" x14ac:dyDescent="0.35">
      <c r="A619" s="32">
        <f t="shared" si="18"/>
        <v>0</v>
      </c>
      <c r="B619" s="33"/>
      <c r="C619" s="34">
        <f t="shared" si="19"/>
        <v>0</v>
      </c>
      <c r="D619" s="42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4"/>
    </row>
    <row r="620" spans="1:18" x14ac:dyDescent="0.35">
      <c r="A620" s="32">
        <f t="shared" si="18"/>
        <v>0</v>
      </c>
      <c r="B620" s="33"/>
      <c r="C620" s="34">
        <f t="shared" si="19"/>
        <v>0</v>
      </c>
      <c r="D620" s="42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4"/>
    </row>
    <row r="621" spans="1:18" x14ac:dyDescent="0.35">
      <c r="A621" s="32">
        <f t="shared" si="18"/>
        <v>0</v>
      </c>
      <c r="B621" s="33"/>
      <c r="C621" s="34">
        <f t="shared" si="19"/>
        <v>0</v>
      </c>
      <c r="D621" s="42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4"/>
    </row>
    <row r="622" spans="1:18" x14ac:dyDescent="0.35">
      <c r="A622" s="32">
        <f t="shared" si="18"/>
        <v>0</v>
      </c>
      <c r="B622" s="33"/>
      <c r="C622" s="34">
        <f t="shared" si="19"/>
        <v>0</v>
      </c>
      <c r="D622" s="42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4"/>
    </row>
    <row r="623" spans="1:18" x14ac:dyDescent="0.35">
      <c r="A623" s="32">
        <f t="shared" si="18"/>
        <v>0</v>
      </c>
      <c r="B623" s="33"/>
      <c r="C623" s="34">
        <f t="shared" si="19"/>
        <v>0</v>
      </c>
      <c r="D623" s="42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4"/>
    </row>
    <row r="624" spans="1:18" x14ac:dyDescent="0.35">
      <c r="A624" s="32">
        <f t="shared" si="18"/>
        <v>0</v>
      </c>
      <c r="B624" s="33"/>
      <c r="C624" s="34">
        <f t="shared" si="19"/>
        <v>0</v>
      </c>
      <c r="D624" s="42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4"/>
    </row>
    <row r="625" spans="1:18" x14ac:dyDescent="0.35">
      <c r="A625" s="32">
        <f t="shared" si="18"/>
        <v>0</v>
      </c>
      <c r="B625" s="33"/>
      <c r="C625" s="34">
        <f t="shared" si="19"/>
        <v>0</v>
      </c>
      <c r="D625" s="42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4"/>
    </row>
    <row r="626" spans="1:18" x14ac:dyDescent="0.35">
      <c r="A626" s="32">
        <f t="shared" si="18"/>
        <v>0</v>
      </c>
      <c r="B626" s="33"/>
      <c r="C626" s="34">
        <f t="shared" si="19"/>
        <v>0</v>
      </c>
      <c r="D626" s="42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4"/>
    </row>
    <row r="627" spans="1:18" x14ac:dyDescent="0.35">
      <c r="A627" s="32">
        <f t="shared" si="18"/>
        <v>0</v>
      </c>
      <c r="B627" s="33"/>
      <c r="C627" s="34">
        <f t="shared" si="19"/>
        <v>0</v>
      </c>
      <c r="D627" s="42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4"/>
    </row>
    <row r="628" spans="1:18" x14ac:dyDescent="0.35">
      <c r="A628" s="32">
        <f t="shared" si="18"/>
        <v>0</v>
      </c>
      <c r="B628" s="33"/>
      <c r="C628" s="34">
        <f t="shared" si="19"/>
        <v>0</v>
      </c>
      <c r="D628" s="42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4"/>
    </row>
    <row r="629" spans="1:18" x14ac:dyDescent="0.35">
      <c r="A629" s="32">
        <f t="shared" si="18"/>
        <v>0</v>
      </c>
      <c r="B629" s="33"/>
      <c r="C629" s="34">
        <f t="shared" si="19"/>
        <v>0</v>
      </c>
      <c r="D629" s="42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4"/>
    </row>
    <row r="630" spans="1:18" x14ac:dyDescent="0.35">
      <c r="A630" s="32">
        <f t="shared" si="18"/>
        <v>0</v>
      </c>
      <c r="B630" s="33"/>
      <c r="C630" s="34">
        <f t="shared" si="19"/>
        <v>0</v>
      </c>
      <c r="D630" s="42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4"/>
    </row>
    <row r="631" spans="1:18" x14ac:dyDescent="0.35">
      <c r="A631" s="32">
        <f t="shared" si="18"/>
        <v>0</v>
      </c>
      <c r="B631" s="33"/>
      <c r="C631" s="34">
        <f t="shared" si="19"/>
        <v>0</v>
      </c>
      <c r="D631" s="42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4"/>
    </row>
    <row r="632" spans="1:18" x14ac:dyDescent="0.35">
      <c r="A632" s="32">
        <f t="shared" si="18"/>
        <v>0</v>
      </c>
      <c r="B632" s="33"/>
      <c r="C632" s="34">
        <f t="shared" si="19"/>
        <v>0</v>
      </c>
      <c r="D632" s="42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4"/>
    </row>
    <row r="633" spans="1:18" x14ac:dyDescent="0.35">
      <c r="A633" s="32">
        <f t="shared" si="18"/>
        <v>0</v>
      </c>
      <c r="B633" s="33"/>
      <c r="C633" s="34">
        <f t="shared" si="19"/>
        <v>0</v>
      </c>
      <c r="D633" s="42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4"/>
    </row>
    <row r="634" spans="1:18" x14ac:dyDescent="0.35">
      <c r="A634" s="32">
        <f t="shared" si="18"/>
        <v>0</v>
      </c>
      <c r="B634" s="33"/>
      <c r="C634" s="34">
        <f t="shared" si="19"/>
        <v>0</v>
      </c>
      <c r="D634" s="42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4"/>
    </row>
    <row r="635" spans="1:18" x14ac:dyDescent="0.35">
      <c r="A635" s="32">
        <f t="shared" si="18"/>
        <v>0</v>
      </c>
      <c r="B635" s="33"/>
      <c r="C635" s="34">
        <f t="shared" si="19"/>
        <v>0</v>
      </c>
      <c r="D635" s="42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4"/>
    </row>
    <row r="636" spans="1:18" x14ac:dyDescent="0.35">
      <c r="A636" s="32">
        <f t="shared" si="18"/>
        <v>0</v>
      </c>
      <c r="B636" s="33"/>
      <c r="C636" s="34">
        <f t="shared" si="19"/>
        <v>0</v>
      </c>
      <c r="D636" s="42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4"/>
    </row>
    <row r="637" spans="1:18" x14ac:dyDescent="0.35">
      <c r="A637" s="32">
        <f t="shared" si="18"/>
        <v>0</v>
      </c>
      <c r="B637" s="33"/>
      <c r="C637" s="34">
        <f t="shared" si="19"/>
        <v>0</v>
      </c>
      <c r="D637" s="42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4"/>
    </row>
    <row r="638" spans="1:18" x14ac:dyDescent="0.35">
      <c r="A638" s="32">
        <f t="shared" si="18"/>
        <v>0</v>
      </c>
      <c r="B638" s="33"/>
      <c r="C638" s="34">
        <f t="shared" si="19"/>
        <v>0</v>
      </c>
      <c r="D638" s="42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4"/>
    </row>
    <row r="639" spans="1:18" x14ac:dyDescent="0.35">
      <c r="A639" s="32">
        <f t="shared" si="18"/>
        <v>0</v>
      </c>
      <c r="B639" s="33"/>
      <c r="C639" s="34">
        <f t="shared" si="19"/>
        <v>0</v>
      </c>
      <c r="D639" s="42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4"/>
    </row>
    <row r="640" spans="1:18" x14ac:dyDescent="0.35">
      <c r="A640" s="32">
        <f t="shared" si="18"/>
        <v>0</v>
      </c>
      <c r="B640" s="33"/>
      <c r="C640" s="34">
        <f t="shared" si="19"/>
        <v>0</v>
      </c>
      <c r="D640" s="42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4"/>
    </row>
    <row r="641" spans="1:18" x14ac:dyDescent="0.35">
      <c r="A641" s="32">
        <f t="shared" si="18"/>
        <v>0</v>
      </c>
      <c r="B641" s="33"/>
      <c r="C641" s="34">
        <f t="shared" si="19"/>
        <v>0</v>
      </c>
      <c r="D641" s="42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4"/>
    </row>
    <row r="642" spans="1:18" x14ac:dyDescent="0.35">
      <c r="A642" s="32">
        <f t="shared" si="18"/>
        <v>0</v>
      </c>
      <c r="B642" s="33"/>
      <c r="C642" s="34">
        <f t="shared" si="19"/>
        <v>0</v>
      </c>
      <c r="D642" s="42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4"/>
    </row>
    <row r="643" spans="1:18" x14ac:dyDescent="0.35">
      <c r="A643" s="32">
        <f t="shared" si="18"/>
        <v>0</v>
      </c>
      <c r="B643" s="33"/>
      <c r="C643" s="34">
        <f t="shared" si="19"/>
        <v>0</v>
      </c>
      <c r="D643" s="42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4"/>
    </row>
    <row r="644" spans="1:18" x14ac:dyDescent="0.35">
      <c r="A644" s="32">
        <f t="shared" ref="A644:A707" si="20">F644</f>
        <v>0</v>
      </c>
      <c r="B644" s="33"/>
      <c r="C644" s="34">
        <f t="shared" ref="C644:C707" si="21">F644</f>
        <v>0</v>
      </c>
      <c r="D644" s="42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4"/>
    </row>
    <row r="645" spans="1:18" x14ac:dyDescent="0.35">
      <c r="A645" s="32">
        <f t="shared" si="20"/>
        <v>0</v>
      </c>
      <c r="B645" s="33"/>
      <c r="C645" s="34">
        <f t="shared" si="21"/>
        <v>0</v>
      </c>
      <c r="D645" s="42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4"/>
    </row>
    <row r="646" spans="1:18" x14ac:dyDescent="0.35">
      <c r="A646" s="32">
        <f t="shared" si="20"/>
        <v>0</v>
      </c>
      <c r="B646" s="33"/>
      <c r="C646" s="34">
        <f t="shared" si="21"/>
        <v>0</v>
      </c>
      <c r="D646" s="42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4"/>
    </row>
    <row r="647" spans="1:18" x14ac:dyDescent="0.35">
      <c r="A647" s="32">
        <f t="shared" si="20"/>
        <v>0</v>
      </c>
      <c r="B647" s="33"/>
      <c r="C647" s="34">
        <f t="shared" si="21"/>
        <v>0</v>
      </c>
      <c r="D647" s="42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4"/>
    </row>
    <row r="648" spans="1:18" x14ac:dyDescent="0.35">
      <c r="A648" s="32">
        <f t="shared" si="20"/>
        <v>0</v>
      </c>
      <c r="B648" s="33"/>
      <c r="C648" s="34">
        <f t="shared" si="21"/>
        <v>0</v>
      </c>
      <c r="D648" s="42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4"/>
    </row>
    <row r="649" spans="1:18" x14ac:dyDescent="0.35">
      <c r="A649" s="32">
        <f t="shared" si="20"/>
        <v>0</v>
      </c>
      <c r="B649" s="33"/>
      <c r="C649" s="34">
        <f t="shared" si="21"/>
        <v>0</v>
      </c>
      <c r="D649" s="42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4"/>
    </row>
    <row r="650" spans="1:18" x14ac:dyDescent="0.35">
      <c r="A650" s="32">
        <f t="shared" si="20"/>
        <v>0</v>
      </c>
      <c r="B650" s="33"/>
      <c r="C650" s="34">
        <f t="shared" si="21"/>
        <v>0</v>
      </c>
      <c r="D650" s="42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4"/>
    </row>
    <row r="651" spans="1:18" x14ac:dyDescent="0.35">
      <c r="A651" s="32">
        <f t="shared" si="20"/>
        <v>0</v>
      </c>
      <c r="B651" s="33"/>
      <c r="C651" s="34">
        <f t="shared" si="21"/>
        <v>0</v>
      </c>
      <c r="D651" s="42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4"/>
    </row>
    <row r="652" spans="1:18" x14ac:dyDescent="0.35">
      <c r="A652" s="32">
        <f t="shared" si="20"/>
        <v>0</v>
      </c>
      <c r="B652" s="33"/>
      <c r="C652" s="34">
        <f t="shared" si="21"/>
        <v>0</v>
      </c>
      <c r="D652" s="42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4"/>
    </row>
    <row r="653" spans="1:18" x14ac:dyDescent="0.35">
      <c r="A653" s="32">
        <f t="shared" si="20"/>
        <v>0</v>
      </c>
      <c r="B653" s="33"/>
      <c r="C653" s="34">
        <f t="shared" si="21"/>
        <v>0</v>
      </c>
      <c r="D653" s="42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4"/>
    </row>
    <row r="654" spans="1:18" x14ac:dyDescent="0.35">
      <c r="A654" s="32">
        <f t="shared" si="20"/>
        <v>0</v>
      </c>
      <c r="B654" s="33"/>
      <c r="C654" s="34">
        <f t="shared" si="21"/>
        <v>0</v>
      </c>
      <c r="D654" s="42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4"/>
    </row>
    <row r="655" spans="1:18" x14ac:dyDescent="0.35">
      <c r="A655" s="32">
        <f t="shared" si="20"/>
        <v>0</v>
      </c>
      <c r="B655" s="33"/>
      <c r="C655" s="34">
        <f t="shared" si="21"/>
        <v>0</v>
      </c>
      <c r="D655" s="42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4"/>
    </row>
    <row r="656" spans="1:18" x14ac:dyDescent="0.35">
      <c r="A656" s="32">
        <f t="shared" si="20"/>
        <v>0</v>
      </c>
      <c r="B656" s="33"/>
      <c r="C656" s="34">
        <f t="shared" si="21"/>
        <v>0</v>
      </c>
      <c r="D656" s="42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4"/>
    </row>
    <row r="657" spans="1:18" x14ac:dyDescent="0.35">
      <c r="A657" s="32">
        <f t="shared" si="20"/>
        <v>0</v>
      </c>
      <c r="B657" s="33"/>
      <c r="C657" s="34">
        <f t="shared" si="21"/>
        <v>0</v>
      </c>
      <c r="D657" s="42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4"/>
    </row>
    <row r="658" spans="1:18" x14ac:dyDescent="0.35">
      <c r="A658" s="32">
        <f t="shared" si="20"/>
        <v>0</v>
      </c>
      <c r="B658" s="33"/>
      <c r="C658" s="34">
        <f t="shared" si="21"/>
        <v>0</v>
      </c>
      <c r="D658" s="42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4"/>
    </row>
    <row r="659" spans="1:18" x14ac:dyDescent="0.35">
      <c r="A659" s="32">
        <f t="shared" si="20"/>
        <v>0</v>
      </c>
      <c r="B659" s="33"/>
      <c r="C659" s="34">
        <f t="shared" si="21"/>
        <v>0</v>
      </c>
      <c r="D659" s="42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4"/>
    </row>
    <row r="660" spans="1:18" x14ac:dyDescent="0.35">
      <c r="A660" s="32">
        <f t="shared" si="20"/>
        <v>0</v>
      </c>
      <c r="B660" s="33"/>
      <c r="C660" s="34">
        <f t="shared" si="21"/>
        <v>0</v>
      </c>
      <c r="D660" s="42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4"/>
    </row>
    <row r="661" spans="1:18" x14ac:dyDescent="0.35">
      <c r="A661" s="32">
        <f t="shared" si="20"/>
        <v>0</v>
      </c>
      <c r="B661" s="33"/>
      <c r="C661" s="34">
        <f t="shared" si="21"/>
        <v>0</v>
      </c>
      <c r="D661" s="42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4"/>
    </row>
    <row r="662" spans="1:18" x14ac:dyDescent="0.35">
      <c r="A662" s="32">
        <f t="shared" si="20"/>
        <v>0</v>
      </c>
      <c r="B662" s="33"/>
      <c r="C662" s="34">
        <f t="shared" si="21"/>
        <v>0</v>
      </c>
      <c r="D662" s="42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4"/>
    </row>
    <row r="663" spans="1:18" x14ac:dyDescent="0.35">
      <c r="A663" s="32">
        <f t="shared" si="20"/>
        <v>0</v>
      </c>
      <c r="B663" s="33"/>
      <c r="C663" s="34">
        <f t="shared" si="21"/>
        <v>0</v>
      </c>
      <c r="D663" s="42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4"/>
    </row>
    <row r="664" spans="1:18" x14ac:dyDescent="0.35">
      <c r="A664" s="32">
        <f t="shared" si="20"/>
        <v>0</v>
      </c>
      <c r="B664" s="33"/>
      <c r="C664" s="34">
        <f t="shared" si="21"/>
        <v>0</v>
      </c>
      <c r="D664" s="42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4"/>
    </row>
    <row r="665" spans="1:18" x14ac:dyDescent="0.35">
      <c r="A665" s="32">
        <f t="shared" si="20"/>
        <v>0</v>
      </c>
      <c r="B665" s="33"/>
      <c r="C665" s="34">
        <f t="shared" si="21"/>
        <v>0</v>
      </c>
      <c r="D665" s="42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4"/>
    </row>
    <row r="666" spans="1:18" x14ac:dyDescent="0.35">
      <c r="A666" s="32">
        <f t="shared" si="20"/>
        <v>0</v>
      </c>
      <c r="B666" s="33"/>
      <c r="C666" s="34">
        <f t="shared" si="21"/>
        <v>0</v>
      </c>
      <c r="D666" s="42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4"/>
    </row>
    <row r="667" spans="1:18" x14ac:dyDescent="0.35">
      <c r="A667" s="32">
        <f t="shared" si="20"/>
        <v>0</v>
      </c>
      <c r="B667" s="33"/>
      <c r="C667" s="34">
        <f t="shared" si="21"/>
        <v>0</v>
      </c>
      <c r="D667" s="42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4"/>
    </row>
    <row r="668" spans="1:18" x14ac:dyDescent="0.35">
      <c r="A668" s="32">
        <f t="shared" si="20"/>
        <v>0</v>
      </c>
      <c r="B668" s="33"/>
      <c r="C668" s="34">
        <f t="shared" si="21"/>
        <v>0</v>
      </c>
      <c r="D668" s="42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4"/>
    </row>
    <row r="669" spans="1:18" x14ac:dyDescent="0.35">
      <c r="A669" s="32">
        <f t="shared" si="20"/>
        <v>0</v>
      </c>
      <c r="B669" s="33"/>
      <c r="C669" s="34">
        <f t="shared" si="21"/>
        <v>0</v>
      </c>
      <c r="D669" s="42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4"/>
    </row>
    <row r="670" spans="1:18" x14ac:dyDescent="0.35">
      <c r="A670" s="32">
        <f t="shared" si="20"/>
        <v>0</v>
      </c>
      <c r="B670" s="33"/>
      <c r="C670" s="34">
        <f t="shared" si="21"/>
        <v>0</v>
      </c>
      <c r="D670" s="42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4"/>
    </row>
    <row r="671" spans="1:18" x14ac:dyDescent="0.35">
      <c r="A671" s="32">
        <f t="shared" si="20"/>
        <v>0</v>
      </c>
      <c r="B671" s="33"/>
      <c r="C671" s="34">
        <f t="shared" si="21"/>
        <v>0</v>
      </c>
      <c r="D671" s="42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4"/>
    </row>
    <row r="672" spans="1:18" x14ac:dyDescent="0.35">
      <c r="A672" s="32">
        <f t="shared" si="20"/>
        <v>0</v>
      </c>
      <c r="B672" s="33"/>
      <c r="C672" s="34">
        <f t="shared" si="21"/>
        <v>0</v>
      </c>
      <c r="D672" s="42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4"/>
    </row>
    <row r="673" spans="1:18" x14ac:dyDescent="0.35">
      <c r="A673" s="32">
        <f t="shared" si="20"/>
        <v>0</v>
      </c>
      <c r="B673" s="33"/>
      <c r="C673" s="34">
        <f t="shared" si="21"/>
        <v>0</v>
      </c>
      <c r="D673" s="42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4"/>
    </row>
    <row r="674" spans="1:18" x14ac:dyDescent="0.35">
      <c r="A674" s="32">
        <f t="shared" si="20"/>
        <v>0</v>
      </c>
      <c r="B674" s="33"/>
      <c r="C674" s="34">
        <f t="shared" si="21"/>
        <v>0</v>
      </c>
      <c r="D674" s="42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4"/>
    </row>
    <row r="675" spans="1:18" x14ac:dyDescent="0.35">
      <c r="A675" s="32">
        <f t="shared" si="20"/>
        <v>0</v>
      </c>
      <c r="B675" s="33"/>
      <c r="C675" s="34">
        <f t="shared" si="21"/>
        <v>0</v>
      </c>
      <c r="D675" s="42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4"/>
    </row>
    <row r="676" spans="1:18" x14ac:dyDescent="0.35">
      <c r="A676" s="32">
        <f t="shared" si="20"/>
        <v>0</v>
      </c>
      <c r="B676" s="33"/>
      <c r="C676" s="34">
        <f t="shared" si="21"/>
        <v>0</v>
      </c>
      <c r="D676" s="42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4"/>
    </row>
    <row r="677" spans="1:18" x14ac:dyDescent="0.35">
      <c r="A677" s="32">
        <f t="shared" si="20"/>
        <v>0</v>
      </c>
      <c r="B677" s="33"/>
      <c r="C677" s="34">
        <f t="shared" si="21"/>
        <v>0</v>
      </c>
      <c r="D677" s="42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4"/>
    </row>
    <row r="678" spans="1:18" x14ac:dyDescent="0.35">
      <c r="A678" s="32">
        <f t="shared" si="20"/>
        <v>0</v>
      </c>
      <c r="B678" s="33"/>
      <c r="C678" s="34">
        <f t="shared" si="21"/>
        <v>0</v>
      </c>
      <c r="D678" s="42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4"/>
    </row>
    <row r="679" spans="1:18" x14ac:dyDescent="0.35">
      <c r="A679" s="32">
        <f t="shared" si="20"/>
        <v>0</v>
      </c>
      <c r="B679" s="33"/>
      <c r="C679" s="34">
        <f t="shared" si="21"/>
        <v>0</v>
      </c>
      <c r="D679" s="42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4"/>
    </row>
    <row r="680" spans="1:18" x14ac:dyDescent="0.35">
      <c r="A680" s="32">
        <f t="shared" si="20"/>
        <v>0</v>
      </c>
      <c r="B680" s="33"/>
      <c r="C680" s="34">
        <f t="shared" si="21"/>
        <v>0</v>
      </c>
      <c r="D680" s="42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4"/>
    </row>
    <row r="681" spans="1:18" x14ac:dyDescent="0.35">
      <c r="A681" s="32">
        <f t="shared" si="20"/>
        <v>0</v>
      </c>
      <c r="B681" s="33"/>
      <c r="C681" s="34">
        <f t="shared" si="21"/>
        <v>0</v>
      </c>
      <c r="D681" s="42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4"/>
    </row>
    <row r="682" spans="1:18" x14ac:dyDescent="0.35">
      <c r="A682" s="32">
        <f t="shared" si="20"/>
        <v>0</v>
      </c>
      <c r="B682" s="33"/>
      <c r="C682" s="34">
        <f t="shared" si="21"/>
        <v>0</v>
      </c>
      <c r="D682" s="42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4"/>
    </row>
    <row r="683" spans="1:18" x14ac:dyDescent="0.35">
      <c r="A683" s="32">
        <f t="shared" si="20"/>
        <v>0</v>
      </c>
      <c r="B683" s="33"/>
      <c r="C683" s="34">
        <f t="shared" si="21"/>
        <v>0</v>
      </c>
      <c r="D683" s="42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4"/>
    </row>
    <row r="684" spans="1:18" x14ac:dyDescent="0.35">
      <c r="A684" s="32">
        <f t="shared" si="20"/>
        <v>0</v>
      </c>
      <c r="B684" s="33"/>
      <c r="C684" s="34">
        <f t="shared" si="21"/>
        <v>0</v>
      </c>
      <c r="D684" s="42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4"/>
    </row>
    <row r="685" spans="1:18" x14ac:dyDescent="0.35">
      <c r="A685" s="32">
        <f t="shared" si="20"/>
        <v>0</v>
      </c>
      <c r="B685" s="33"/>
      <c r="C685" s="34">
        <f t="shared" si="21"/>
        <v>0</v>
      </c>
      <c r="D685" s="42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4"/>
    </row>
    <row r="686" spans="1:18" x14ac:dyDescent="0.35">
      <c r="A686" s="32">
        <f t="shared" si="20"/>
        <v>0</v>
      </c>
      <c r="B686" s="33"/>
      <c r="C686" s="34">
        <f t="shared" si="21"/>
        <v>0</v>
      </c>
      <c r="D686" s="42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4"/>
    </row>
    <row r="687" spans="1:18" x14ac:dyDescent="0.35">
      <c r="A687" s="32">
        <f t="shared" si="20"/>
        <v>0</v>
      </c>
      <c r="B687" s="33"/>
      <c r="C687" s="34">
        <f t="shared" si="21"/>
        <v>0</v>
      </c>
      <c r="D687" s="42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4"/>
    </row>
    <row r="688" spans="1:18" x14ac:dyDescent="0.35">
      <c r="A688" s="32">
        <f t="shared" si="20"/>
        <v>0</v>
      </c>
      <c r="B688" s="33"/>
      <c r="C688" s="34">
        <f t="shared" si="21"/>
        <v>0</v>
      </c>
      <c r="D688" s="42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4"/>
    </row>
    <row r="689" spans="1:18" x14ac:dyDescent="0.35">
      <c r="A689" s="32">
        <f t="shared" si="20"/>
        <v>0</v>
      </c>
      <c r="B689" s="33"/>
      <c r="C689" s="34">
        <f t="shared" si="21"/>
        <v>0</v>
      </c>
      <c r="D689" s="42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4"/>
    </row>
    <row r="690" spans="1:18" x14ac:dyDescent="0.35">
      <c r="A690" s="32">
        <f t="shared" si="20"/>
        <v>0</v>
      </c>
      <c r="B690" s="33"/>
      <c r="C690" s="34">
        <f t="shared" si="21"/>
        <v>0</v>
      </c>
      <c r="D690" s="42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4"/>
    </row>
    <row r="691" spans="1:18" x14ac:dyDescent="0.35">
      <c r="A691" s="32">
        <f t="shared" si="20"/>
        <v>0</v>
      </c>
      <c r="B691" s="33"/>
      <c r="C691" s="34">
        <f t="shared" si="21"/>
        <v>0</v>
      </c>
      <c r="D691" s="42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4"/>
    </row>
    <row r="692" spans="1:18" x14ac:dyDescent="0.35">
      <c r="A692" s="32">
        <f t="shared" si="20"/>
        <v>0</v>
      </c>
      <c r="B692" s="33"/>
      <c r="C692" s="34">
        <f t="shared" si="21"/>
        <v>0</v>
      </c>
      <c r="D692" s="42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4"/>
    </row>
    <row r="693" spans="1:18" x14ac:dyDescent="0.35">
      <c r="A693" s="32">
        <f t="shared" si="20"/>
        <v>0</v>
      </c>
      <c r="B693" s="33"/>
      <c r="C693" s="34">
        <f t="shared" si="21"/>
        <v>0</v>
      </c>
      <c r="D693" s="42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4"/>
    </row>
    <row r="694" spans="1:18" x14ac:dyDescent="0.35">
      <c r="A694" s="32">
        <f t="shared" si="20"/>
        <v>0</v>
      </c>
      <c r="B694" s="33"/>
      <c r="C694" s="34">
        <f t="shared" si="21"/>
        <v>0</v>
      </c>
      <c r="D694" s="42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4"/>
    </row>
    <row r="695" spans="1:18" x14ac:dyDescent="0.35">
      <c r="A695" s="32">
        <f t="shared" si="20"/>
        <v>0</v>
      </c>
      <c r="B695" s="33"/>
      <c r="C695" s="34">
        <f t="shared" si="21"/>
        <v>0</v>
      </c>
      <c r="D695" s="42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4"/>
    </row>
    <row r="696" spans="1:18" x14ac:dyDescent="0.35">
      <c r="A696" s="32">
        <f t="shared" si="20"/>
        <v>0</v>
      </c>
      <c r="B696" s="33"/>
      <c r="C696" s="34">
        <f t="shared" si="21"/>
        <v>0</v>
      </c>
      <c r="D696" s="42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4"/>
    </row>
    <row r="697" spans="1:18" x14ac:dyDescent="0.35">
      <c r="A697" s="32">
        <f t="shared" si="20"/>
        <v>0</v>
      </c>
      <c r="B697" s="33"/>
      <c r="C697" s="34">
        <f t="shared" si="21"/>
        <v>0</v>
      </c>
      <c r="D697" s="42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4"/>
    </row>
    <row r="698" spans="1:18" x14ac:dyDescent="0.35">
      <c r="A698" s="32">
        <f t="shared" si="20"/>
        <v>0</v>
      </c>
      <c r="B698" s="33"/>
      <c r="C698" s="34">
        <f t="shared" si="21"/>
        <v>0</v>
      </c>
      <c r="D698" s="42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4"/>
    </row>
    <row r="699" spans="1:18" x14ac:dyDescent="0.35">
      <c r="A699" s="32">
        <f t="shared" si="20"/>
        <v>0</v>
      </c>
      <c r="B699" s="33"/>
      <c r="C699" s="34">
        <f t="shared" si="21"/>
        <v>0</v>
      </c>
      <c r="D699" s="42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4"/>
    </row>
    <row r="700" spans="1:18" x14ac:dyDescent="0.35">
      <c r="A700" s="32">
        <f t="shared" si="20"/>
        <v>0</v>
      </c>
      <c r="B700" s="33"/>
      <c r="C700" s="34">
        <f t="shared" si="21"/>
        <v>0</v>
      </c>
      <c r="D700" s="42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4"/>
    </row>
    <row r="701" spans="1:18" x14ac:dyDescent="0.35">
      <c r="A701" s="32">
        <f t="shared" si="20"/>
        <v>0</v>
      </c>
      <c r="B701" s="33"/>
      <c r="C701" s="34">
        <f t="shared" si="21"/>
        <v>0</v>
      </c>
      <c r="D701" s="42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4"/>
    </row>
    <row r="702" spans="1:18" x14ac:dyDescent="0.35">
      <c r="A702" s="32">
        <f t="shared" si="20"/>
        <v>0</v>
      </c>
      <c r="B702" s="33"/>
      <c r="C702" s="34">
        <f t="shared" si="21"/>
        <v>0</v>
      </c>
      <c r="D702" s="42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4"/>
    </row>
    <row r="703" spans="1:18" x14ac:dyDescent="0.35">
      <c r="A703" s="32">
        <f t="shared" si="20"/>
        <v>0</v>
      </c>
      <c r="B703" s="33"/>
      <c r="C703" s="34">
        <f t="shared" si="21"/>
        <v>0</v>
      </c>
      <c r="D703" s="42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4"/>
    </row>
    <row r="704" spans="1:18" x14ac:dyDescent="0.35">
      <c r="A704" s="32">
        <f t="shared" si="20"/>
        <v>0</v>
      </c>
      <c r="B704" s="33"/>
      <c r="C704" s="34">
        <f t="shared" si="21"/>
        <v>0</v>
      </c>
      <c r="D704" s="42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4"/>
    </row>
    <row r="705" spans="1:18" x14ac:dyDescent="0.35">
      <c r="A705" s="32">
        <f t="shared" si="20"/>
        <v>0</v>
      </c>
      <c r="B705" s="33"/>
      <c r="C705" s="34">
        <f t="shared" si="21"/>
        <v>0</v>
      </c>
      <c r="D705" s="42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4"/>
    </row>
    <row r="706" spans="1:18" x14ac:dyDescent="0.35">
      <c r="A706" s="32">
        <f t="shared" si="20"/>
        <v>0</v>
      </c>
      <c r="B706" s="33"/>
      <c r="C706" s="34">
        <f t="shared" si="21"/>
        <v>0</v>
      </c>
      <c r="D706" s="42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4"/>
    </row>
    <row r="707" spans="1:18" x14ac:dyDescent="0.35">
      <c r="A707" s="32">
        <f t="shared" si="20"/>
        <v>0</v>
      </c>
      <c r="B707" s="33"/>
      <c r="C707" s="34">
        <f t="shared" si="21"/>
        <v>0</v>
      </c>
      <c r="D707" s="42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4"/>
    </row>
    <row r="708" spans="1:18" x14ac:dyDescent="0.35">
      <c r="A708" s="32">
        <f t="shared" ref="A708:A771" si="22">F708</f>
        <v>0</v>
      </c>
      <c r="B708" s="33"/>
      <c r="C708" s="34">
        <f t="shared" ref="C708:C771" si="23">F708</f>
        <v>0</v>
      </c>
      <c r="D708" s="42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4"/>
    </row>
    <row r="709" spans="1:18" x14ac:dyDescent="0.35">
      <c r="A709" s="32">
        <f t="shared" si="22"/>
        <v>0</v>
      </c>
      <c r="B709" s="33"/>
      <c r="C709" s="34">
        <f t="shared" si="23"/>
        <v>0</v>
      </c>
      <c r="D709" s="42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4"/>
    </row>
    <row r="710" spans="1:18" x14ac:dyDescent="0.35">
      <c r="A710" s="32">
        <f t="shared" si="22"/>
        <v>0</v>
      </c>
      <c r="B710" s="33"/>
      <c r="C710" s="34">
        <f t="shared" si="23"/>
        <v>0</v>
      </c>
      <c r="D710" s="42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4"/>
    </row>
    <row r="711" spans="1:18" x14ac:dyDescent="0.35">
      <c r="A711" s="32">
        <f t="shared" si="22"/>
        <v>0</v>
      </c>
      <c r="B711" s="33"/>
      <c r="C711" s="34">
        <f t="shared" si="23"/>
        <v>0</v>
      </c>
      <c r="D711" s="42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4"/>
    </row>
    <row r="712" spans="1:18" x14ac:dyDescent="0.35">
      <c r="A712" s="32">
        <f t="shared" si="22"/>
        <v>0</v>
      </c>
      <c r="B712" s="33"/>
      <c r="C712" s="34">
        <f t="shared" si="23"/>
        <v>0</v>
      </c>
      <c r="D712" s="42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4"/>
    </row>
    <row r="713" spans="1:18" x14ac:dyDescent="0.35">
      <c r="A713" s="32">
        <f t="shared" si="22"/>
        <v>0</v>
      </c>
      <c r="B713" s="33"/>
      <c r="C713" s="34">
        <f t="shared" si="23"/>
        <v>0</v>
      </c>
      <c r="D713" s="42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4"/>
    </row>
    <row r="714" spans="1:18" x14ac:dyDescent="0.35">
      <c r="A714" s="32">
        <f t="shared" si="22"/>
        <v>0</v>
      </c>
      <c r="B714" s="33"/>
      <c r="C714" s="34">
        <f t="shared" si="23"/>
        <v>0</v>
      </c>
      <c r="D714" s="42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4"/>
    </row>
    <row r="715" spans="1:18" x14ac:dyDescent="0.35">
      <c r="A715" s="32">
        <f t="shared" si="22"/>
        <v>0</v>
      </c>
      <c r="B715" s="33"/>
      <c r="C715" s="34">
        <f t="shared" si="23"/>
        <v>0</v>
      </c>
      <c r="D715" s="42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4"/>
    </row>
    <row r="716" spans="1:18" x14ac:dyDescent="0.35">
      <c r="A716" s="32">
        <f t="shared" si="22"/>
        <v>0</v>
      </c>
      <c r="B716" s="33"/>
      <c r="C716" s="34">
        <f t="shared" si="23"/>
        <v>0</v>
      </c>
      <c r="D716" s="42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4"/>
    </row>
    <row r="717" spans="1:18" x14ac:dyDescent="0.35">
      <c r="A717" s="32">
        <f t="shared" si="22"/>
        <v>0</v>
      </c>
      <c r="B717" s="33"/>
      <c r="C717" s="34">
        <f t="shared" si="23"/>
        <v>0</v>
      </c>
      <c r="D717" s="42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4"/>
    </row>
    <row r="718" spans="1:18" x14ac:dyDescent="0.35">
      <c r="A718" s="32">
        <f t="shared" si="22"/>
        <v>0</v>
      </c>
      <c r="B718" s="33"/>
      <c r="C718" s="34">
        <f t="shared" si="23"/>
        <v>0</v>
      </c>
      <c r="D718" s="42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4"/>
    </row>
    <row r="719" spans="1:18" x14ac:dyDescent="0.35">
      <c r="A719" s="32">
        <f t="shared" si="22"/>
        <v>0</v>
      </c>
      <c r="B719" s="33"/>
      <c r="C719" s="34">
        <f t="shared" si="23"/>
        <v>0</v>
      </c>
      <c r="D719" s="42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4"/>
    </row>
    <row r="720" spans="1:18" x14ac:dyDescent="0.35">
      <c r="A720" s="32">
        <f t="shared" si="22"/>
        <v>0</v>
      </c>
      <c r="B720" s="33"/>
      <c r="C720" s="34">
        <f t="shared" si="23"/>
        <v>0</v>
      </c>
      <c r="D720" s="42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4"/>
    </row>
    <row r="721" spans="1:18" x14ac:dyDescent="0.35">
      <c r="A721" s="32">
        <f t="shared" si="22"/>
        <v>0</v>
      </c>
      <c r="B721" s="33"/>
      <c r="C721" s="34">
        <f t="shared" si="23"/>
        <v>0</v>
      </c>
      <c r="D721" s="42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4"/>
    </row>
    <row r="722" spans="1:18" x14ac:dyDescent="0.35">
      <c r="A722" s="32">
        <f t="shared" si="22"/>
        <v>0</v>
      </c>
      <c r="B722" s="33"/>
      <c r="C722" s="34">
        <f t="shared" si="23"/>
        <v>0</v>
      </c>
      <c r="D722" s="42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4"/>
    </row>
    <row r="723" spans="1:18" x14ac:dyDescent="0.35">
      <c r="A723" s="32">
        <f t="shared" si="22"/>
        <v>0</v>
      </c>
      <c r="B723" s="33"/>
      <c r="C723" s="34">
        <f t="shared" si="23"/>
        <v>0</v>
      </c>
      <c r="D723" s="42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4"/>
    </row>
    <row r="724" spans="1:18" x14ac:dyDescent="0.35">
      <c r="A724" s="32">
        <f t="shared" si="22"/>
        <v>0</v>
      </c>
      <c r="B724" s="33"/>
      <c r="C724" s="34">
        <f t="shared" si="23"/>
        <v>0</v>
      </c>
      <c r="D724" s="42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4"/>
    </row>
    <row r="725" spans="1:18" x14ac:dyDescent="0.35">
      <c r="A725" s="32">
        <f t="shared" si="22"/>
        <v>0</v>
      </c>
      <c r="B725" s="33"/>
      <c r="C725" s="34">
        <f t="shared" si="23"/>
        <v>0</v>
      </c>
      <c r="D725" s="42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4"/>
    </row>
    <row r="726" spans="1:18" x14ac:dyDescent="0.35">
      <c r="A726" s="32">
        <f t="shared" si="22"/>
        <v>0</v>
      </c>
      <c r="B726" s="33"/>
      <c r="C726" s="34">
        <f t="shared" si="23"/>
        <v>0</v>
      </c>
      <c r="D726" s="42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4"/>
    </row>
    <row r="727" spans="1:18" x14ac:dyDescent="0.35">
      <c r="A727" s="32">
        <f t="shared" si="22"/>
        <v>0</v>
      </c>
      <c r="B727" s="33"/>
      <c r="C727" s="34">
        <f t="shared" si="23"/>
        <v>0</v>
      </c>
      <c r="D727" s="42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4"/>
    </row>
    <row r="728" spans="1:18" x14ac:dyDescent="0.35">
      <c r="A728" s="32">
        <f t="shared" si="22"/>
        <v>0</v>
      </c>
      <c r="B728" s="33"/>
      <c r="C728" s="34">
        <f t="shared" si="23"/>
        <v>0</v>
      </c>
      <c r="D728" s="42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4"/>
    </row>
    <row r="729" spans="1:18" x14ac:dyDescent="0.35">
      <c r="A729" s="32">
        <f t="shared" si="22"/>
        <v>0</v>
      </c>
      <c r="B729" s="33"/>
      <c r="C729" s="34">
        <f t="shared" si="23"/>
        <v>0</v>
      </c>
      <c r="D729" s="42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4"/>
    </row>
    <row r="730" spans="1:18" x14ac:dyDescent="0.35">
      <c r="A730" s="32">
        <f t="shared" si="22"/>
        <v>0</v>
      </c>
      <c r="B730" s="33"/>
      <c r="C730" s="34">
        <f t="shared" si="23"/>
        <v>0</v>
      </c>
      <c r="D730" s="42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4"/>
    </row>
    <row r="731" spans="1:18" x14ac:dyDescent="0.35">
      <c r="A731" s="32">
        <f t="shared" si="22"/>
        <v>0</v>
      </c>
      <c r="B731" s="33"/>
      <c r="C731" s="34">
        <f t="shared" si="23"/>
        <v>0</v>
      </c>
      <c r="D731" s="42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4"/>
    </row>
    <row r="732" spans="1:18" x14ac:dyDescent="0.35">
      <c r="A732" s="32">
        <f t="shared" si="22"/>
        <v>0</v>
      </c>
      <c r="B732" s="33"/>
      <c r="C732" s="34">
        <f t="shared" si="23"/>
        <v>0</v>
      </c>
      <c r="D732" s="42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4"/>
    </row>
    <row r="733" spans="1:18" x14ac:dyDescent="0.35">
      <c r="A733" s="32">
        <f t="shared" si="22"/>
        <v>0</v>
      </c>
      <c r="B733" s="33"/>
      <c r="C733" s="34">
        <f t="shared" si="23"/>
        <v>0</v>
      </c>
      <c r="D733" s="42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4"/>
    </row>
    <row r="734" spans="1:18" x14ac:dyDescent="0.35">
      <c r="A734" s="32">
        <f t="shared" si="22"/>
        <v>0</v>
      </c>
      <c r="B734" s="33"/>
      <c r="C734" s="34">
        <f t="shared" si="23"/>
        <v>0</v>
      </c>
      <c r="D734" s="42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4"/>
    </row>
    <row r="735" spans="1:18" x14ac:dyDescent="0.35">
      <c r="A735" s="32">
        <f t="shared" si="22"/>
        <v>0</v>
      </c>
      <c r="B735" s="33"/>
      <c r="C735" s="34">
        <f t="shared" si="23"/>
        <v>0</v>
      </c>
      <c r="D735" s="42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4"/>
    </row>
    <row r="736" spans="1:18" x14ac:dyDescent="0.35">
      <c r="A736" s="32">
        <f t="shared" si="22"/>
        <v>0</v>
      </c>
      <c r="B736" s="33"/>
      <c r="C736" s="34">
        <f t="shared" si="23"/>
        <v>0</v>
      </c>
      <c r="D736" s="42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4"/>
    </row>
    <row r="737" spans="1:18" x14ac:dyDescent="0.35">
      <c r="A737" s="32">
        <f t="shared" si="22"/>
        <v>0</v>
      </c>
      <c r="B737" s="33"/>
      <c r="C737" s="34">
        <f t="shared" si="23"/>
        <v>0</v>
      </c>
      <c r="D737" s="42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4"/>
    </row>
    <row r="738" spans="1:18" x14ac:dyDescent="0.35">
      <c r="A738" s="32">
        <f t="shared" si="22"/>
        <v>0</v>
      </c>
      <c r="B738" s="33"/>
      <c r="C738" s="34">
        <f t="shared" si="23"/>
        <v>0</v>
      </c>
      <c r="D738" s="42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4"/>
    </row>
    <row r="739" spans="1:18" x14ac:dyDescent="0.35">
      <c r="A739" s="32">
        <f t="shared" si="22"/>
        <v>0</v>
      </c>
      <c r="B739" s="33"/>
      <c r="C739" s="34">
        <f t="shared" si="23"/>
        <v>0</v>
      </c>
      <c r="D739" s="42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4"/>
    </row>
    <row r="740" spans="1:18" x14ac:dyDescent="0.35">
      <c r="A740" s="32">
        <f t="shared" si="22"/>
        <v>0</v>
      </c>
      <c r="B740" s="33"/>
      <c r="C740" s="34">
        <f t="shared" si="23"/>
        <v>0</v>
      </c>
      <c r="D740" s="42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4"/>
    </row>
    <row r="741" spans="1:18" x14ac:dyDescent="0.35">
      <c r="A741" s="32">
        <f t="shared" si="22"/>
        <v>0</v>
      </c>
      <c r="B741" s="33"/>
      <c r="C741" s="34">
        <f t="shared" si="23"/>
        <v>0</v>
      </c>
      <c r="D741" s="42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4"/>
    </row>
    <row r="742" spans="1:18" x14ac:dyDescent="0.35">
      <c r="A742" s="32">
        <f t="shared" si="22"/>
        <v>0</v>
      </c>
      <c r="B742" s="33"/>
      <c r="C742" s="34">
        <f t="shared" si="23"/>
        <v>0</v>
      </c>
      <c r="D742" s="42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4"/>
    </row>
    <row r="743" spans="1:18" x14ac:dyDescent="0.35">
      <c r="A743" s="32">
        <f t="shared" si="22"/>
        <v>0</v>
      </c>
      <c r="B743" s="33"/>
      <c r="C743" s="34">
        <f t="shared" si="23"/>
        <v>0</v>
      </c>
      <c r="D743" s="42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4"/>
    </row>
    <row r="744" spans="1:18" x14ac:dyDescent="0.35">
      <c r="A744" s="32">
        <f t="shared" si="22"/>
        <v>0</v>
      </c>
      <c r="B744" s="33"/>
      <c r="C744" s="34">
        <f t="shared" si="23"/>
        <v>0</v>
      </c>
      <c r="D744" s="42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4"/>
    </row>
    <row r="745" spans="1:18" x14ac:dyDescent="0.35">
      <c r="A745" s="32">
        <f t="shared" si="22"/>
        <v>0</v>
      </c>
      <c r="B745" s="33"/>
      <c r="C745" s="34">
        <f t="shared" si="23"/>
        <v>0</v>
      </c>
      <c r="D745" s="42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4"/>
    </row>
    <row r="746" spans="1:18" x14ac:dyDescent="0.35">
      <c r="A746" s="32">
        <f t="shared" si="22"/>
        <v>0</v>
      </c>
      <c r="B746" s="33"/>
      <c r="C746" s="34">
        <f t="shared" si="23"/>
        <v>0</v>
      </c>
      <c r="D746" s="42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4"/>
    </row>
    <row r="747" spans="1:18" x14ac:dyDescent="0.35">
      <c r="A747" s="32">
        <f t="shared" si="22"/>
        <v>0</v>
      </c>
      <c r="B747" s="33"/>
      <c r="C747" s="34">
        <f t="shared" si="23"/>
        <v>0</v>
      </c>
      <c r="D747" s="42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4"/>
    </row>
    <row r="748" spans="1:18" x14ac:dyDescent="0.35">
      <c r="A748" s="32">
        <f t="shared" si="22"/>
        <v>0</v>
      </c>
      <c r="B748" s="33"/>
      <c r="C748" s="34">
        <f t="shared" si="23"/>
        <v>0</v>
      </c>
      <c r="D748" s="42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4"/>
    </row>
    <row r="749" spans="1:18" x14ac:dyDescent="0.35">
      <c r="A749" s="32">
        <f t="shared" si="22"/>
        <v>0</v>
      </c>
      <c r="B749" s="33"/>
      <c r="C749" s="34">
        <f t="shared" si="23"/>
        <v>0</v>
      </c>
      <c r="D749" s="42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4"/>
    </row>
    <row r="750" spans="1:18" x14ac:dyDescent="0.35">
      <c r="A750" s="32">
        <f t="shared" si="22"/>
        <v>0</v>
      </c>
      <c r="B750" s="33"/>
      <c r="C750" s="34">
        <f t="shared" si="23"/>
        <v>0</v>
      </c>
      <c r="D750" s="42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4"/>
    </row>
    <row r="751" spans="1:18" x14ac:dyDescent="0.35">
      <c r="A751" s="32">
        <f t="shared" si="22"/>
        <v>0</v>
      </c>
      <c r="B751" s="33"/>
      <c r="C751" s="34">
        <f t="shared" si="23"/>
        <v>0</v>
      </c>
      <c r="D751" s="42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4"/>
    </row>
    <row r="752" spans="1:18" x14ac:dyDescent="0.35">
      <c r="A752" s="32">
        <f t="shared" si="22"/>
        <v>0</v>
      </c>
      <c r="B752" s="33"/>
      <c r="C752" s="34">
        <f t="shared" si="23"/>
        <v>0</v>
      </c>
      <c r="D752" s="42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4"/>
    </row>
    <row r="753" spans="1:18" x14ac:dyDescent="0.35">
      <c r="A753" s="32">
        <f t="shared" si="22"/>
        <v>0</v>
      </c>
      <c r="B753" s="33"/>
      <c r="C753" s="34">
        <f t="shared" si="23"/>
        <v>0</v>
      </c>
      <c r="D753" s="42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4"/>
    </row>
    <row r="754" spans="1:18" x14ac:dyDescent="0.35">
      <c r="A754" s="32">
        <f t="shared" si="22"/>
        <v>0</v>
      </c>
      <c r="B754" s="33"/>
      <c r="C754" s="34">
        <f t="shared" si="23"/>
        <v>0</v>
      </c>
      <c r="D754" s="42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4"/>
    </row>
    <row r="755" spans="1:18" x14ac:dyDescent="0.35">
      <c r="A755" s="32">
        <f t="shared" si="22"/>
        <v>0</v>
      </c>
      <c r="B755" s="33"/>
      <c r="C755" s="34">
        <f t="shared" si="23"/>
        <v>0</v>
      </c>
      <c r="D755" s="42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4"/>
    </row>
    <row r="756" spans="1:18" x14ac:dyDescent="0.35">
      <c r="A756" s="32">
        <f t="shared" si="22"/>
        <v>0</v>
      </c>
      <c r="B756" s="33"/>
      <c r="C756" s="34">
        <f t="shared" si="23"/>
        <v>0</v>
      </c>
      <c r="D756" s="42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4"/>
    </row>
    <row r="757" spans="1:18" x14ac:dyDescent="0.35">
      <c r="A757" s="32">
        <f t="shared" si="22"/>
        <v>0</v>
      </c>
      <c r="B757" s="33"/>
      <c r="C757" s="34">
        <f t="shared" si="23"/>
        <v>0</v>
      </c>
      <c r="D757" s="42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4"/>
    </row>
    <row r="758" spans="1:18" x14ac:dyDescent="0.35">
      <c r="A758" s="32">
        <f t="shared" si="22"/>
        <v>0</v>
      </c>
      <c r="B758" s="33"/>
      <c r="C758" s="34">
        <f t="shared" si="23"/>
        <v>0</v>
      </c>
      <c r="D758" s="42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4"/>
    </row>
    <row r="759" spans="1:18" x14ac:dyDescent="0.35">
      <c r="A759" s="32">
        <f t="shared" si="22"/>
        <v>0</v>
      </c>
      <c r="B759" s="33"/>
      <c r="C759" s="34">
        <f t="shared" si="23"/>
        <v>0</v>
      </c>
      <c r="D759" s="42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4"/>
    </row>
    <row r="760" spans="1:18" x14ac:dyDescent="0.35">
      <c r="A760" s="32">
        <f t="shared" si="22"/>
        <v>0</v>
      </c>
      <c r="B760" s="33"/>
      <c r="C760" s="34">
        <f t="shared" si="23"/>
        <v>0</v>
      </c>
      <c r="D760" s="42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4"/>
    </row>
    <row r="761" spans="1:18" x14ac:dyDescent="0.35">
      <c r="A761" s="32">
        <f t="shared" si="22"/>
        <v>0</v>
      </c>
      <c r="B761" s="33"/>
      <c r="C761" s="34">
        <f t="shared" si="23"/>
        <v>0</v>
      </c>
      <c r="D761" s="42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4"/>
    </row>
    <row r="762" spans="1:18" x14ac:dyDescent="0.35">
      <c r="A762" s="32">
        <f t="shared" si="22"/>
        <v>0</v>
      </c>
      <c r="B762" s="33"/>
      <c r="C762" s="34">
        <f t="shared" si="23"/>
        <v>0</v>
      </c>
      <c r="D762" s="42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4"/>
    </row>
    <row r="763" spans="1:18" x14ac:dyDescent="0.35">
      <c r="A763" s="32">
        <f t="shared" si="22"/>
        <v>0</v>
      </c>
      <c r="B763" s="33"/>
      <c r="C763" s="34">
        <f t="shared" si="23"/>
        <v>0</v>
      </c>
      <c r="D763" s="42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4"/>
    </row>
    <row r="764" spans="1:18" x14ac:dyDescent="0.35">
      <c r="A764" s="32">
        <f t="shared" si="22"/>
        <v>0</v>
      </c>
      <c r="B764" s="33"/>
      <c r="C764" s="34">
        <f t="shared" si="23"/>
        <v>0</v>
      </c>
      <c r="D764" s="42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4"/>
    </row>
    <row r="765" spans="1:18" x14ac:dyDescent="0.35">
      <c r="A765" s="32">
        <f t="shared" si="22"/>
        <v>0</v>
      </c>
      <c r="B765" s="33"/>
      <c r="C765" s="34">
        <f t="shared" si="23"/>
        <v>0</v>
      </c>
      <c r="D765" s="42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4"/>
    </row>
    <row r="766" spans="1:18" x14ac:dyDescent="0.35">
      <c r="A766" s="32">
        <f t="shared" si="22"/>
        <v>0</v>
      </c>
      <c r="B766" s="33"/>
      <c r="C766" s="34">
        <f t="shared" si="23"/>
        <v>0</v>
      </c>
      <c r="D766" s="42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4"/>
    </row>
    <row r="767" spans="1:18" x14ac:dyDescent="0.35">
      <c r="A767" s="32">
        <f t="shared" si="22"/>
        <v>0</v>
      </c>
      <c r="B767" s="33"/>
      <c r="C767" s="34">
        <f t="shared" si="23"/>
        <v>0</v>
      </c>
      <c r="D767" s="42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4"/>
    </row>
    <row r="768" spans="1:18" x14ac:dyDescent="0.35">
      <c r="A768" s="32">
        <f t="shared" si="22"/>
        <v>0</v>
      </c>
      <c r="B768" s="33"/>
      <c r="C768" s="34">
        <f t="shared" si="23"/>
        <v>0</v>
      </c>
      <c r="D768" s="42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4"/>
    </row>
    <row r="769" spans="1:18" x14ac:dyDescent="0.35">
      <c r="A769" s="32">
        <f t="shared" si="22"/>
        <v>0</v>
      </c>
      <c r="B769" s="33"/>
      <c r="C769" s="34">
        <f t="shared" si="23"/>
        <v>0</v>
      </c>
      <c r="D769" s="42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4"/>
    </row>
    <row r="770" spans="1:18" x14ac:dyDescent="0.35">
      <c r="A770" s="32">
        <f t="shared" si="22"/>
        <v>0</v>
      </c>
      <c r="B770" s="33"/>
      <c r="C770" s="34">
        <f t="shared" si="23"/>
        <v>0</v>
      </c>
      <c r="D770" s="42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4"/>
    </row>
    <row r="771" spans="1:18" x14ac:dyDescent="0.35">
      <c r="A771" s="32">
        <f t="shared" si="22"/>
        <v>0</v>
      </c>
      <c r="B771" s="33"/>
      <c r="C771" s="34">
        <f t="shared" si="23"/>
        <v>0</v>
      </c>
      <c r="D771" s="42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4"/>
    </row>
    <row r="772" spans="1:18" x14ac:dyDescent="0.35">
      <c r="A772" s="32">
        <f t="shared" ref="A772:A835" si="24">F772</f>
        <v>0</v>
      </c>
      <c r="B772" s="33"/>
      <c r="C772" s="34">
        <f t="shared" ref="C772:C835" si="25">F772</f>
        <v>0</v>
      </c>
      <c r="D772" s="42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4"/>
    </row>
    <row r="773" spans="1:18" x14ac:dyDescent="0.35">
      <c r="A773" s="32">
        <f t="shared" si="24"/>
        <v>0</v>
      </c>
      <c r="B773" s="33"/>
      <c r="C773" s="34">
        <f t="shared" si="25"/>
        <v>0</v>
      </c>
      <c r="D773" s="42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4"/>
    </row>
    <row r="774" spans="1:18" x14ac:dyDescent="0.35">
      <c r="A774" s="32">
        <f t="shared" si="24"/>
        <v>0</v>
      </c>
      <c r="B774" s="33"/>
      <c r="C774" s="34">
        <f t="shared" si="25"/>
        <v>0</v>
      </c>
      <c r="D774" s="42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4"/>
    </row>
    <row r="775" spans="1:18" x14ac:dyDescent="0.35">
      <c r="A775" s="32">
        <f t="shared" si="24"/>
        <v>0</v>
      </c>
      <c r="B775" s="33"/>
      <c r="C775" s="34">
        <f t="shared" si="25"/>
        <v>0</v>
      </c>
      <c r="D775" s="42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4"/>
    </row>
    <row r="776" spans="1:18" x14ac:dyDescent="0.35">
      <c r="A776" s="32">
        <f t="shared" si="24"/>
        <v>0</v>
      </c>
      <c r="B776" s="33"/>
      <c r="C776" s="34">
        <f t="shared" si="25"/>
        <v>0</v>
      </c>
      <c r="D776" s="42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4"/>
    </row>
    <row r="777" spans="1:18" x14ac:dyDescent="0.35">
      <c r="A777" s="32">
        <f t="shared" si="24"/>
        <v>0</v>
      </c>
      <c r="B777" s="33"/>
      <c r="C777" s="34">
        <f t="shared" si="25"/>
        <v>0</v>
      </c>
      <c r="D777" s="42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4"/>
    </row>
    <row r="778" spans="1:18" x14ac:dyDescent="0.35">
      <c r="A778" s="32">
        <f t="shared" si="24"/>
        <v>0</v>
      </c>
      <c r="B778" s="33"/>
      <c r="C778" s="34">
        <f t="shared" si="25"/>
        <v>0</v>
      </c>
      <c r="D778" s="42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4"/>
    </row>
    <row r="779" spans="1:18" x14ac:dyDescent="0.35">
      <c r="A779" s="32">
        <f t="shared" si="24"/>
        <v>0</v>
      </c>
      <c r="B779" s="33"/>
      <c r="C779" s="34">
        <f t="shared" si="25"/>
        <v>0</v>
      </c>
      <c r="D779" s="42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4"/>
    </row>
    <row r="780" spans="1:18" x14ac:dyDescent="0.35">
      <c r="A780" s="32">
        <f t="shared" si="24"/>
        <v>0</v>
      </c>
      <c r="B780" s="33"/>
      <c r="C780" s="34">
        <f t="shared" si="25"/>
        <v>0</v>
      </c>
      <c r="D780" s="42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4"/>
    </row>
    <row r="781" spans="1:18" x14ac:dyDescent="0.35">
      <c r="A781" s="32">
        <f t="shared" si="24"/>
        <v>0</v>
      </c>
      <c r="B781" s="33"/>
      <c r="C781" s="34">
        <f t="shared" si="25"/>
        <v>0</v>
      </c>
      <c r="D781" s="42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4"/>
    </row>
    <row r="782" spans="1:18" x14ac:dyDescent="0.35">
      <c r="A782" s="32">
        <f t="shared" si="24"/>
        <v>0</v>
      </c>
      <c r="B782" s="33"/>
      <c r="C782" s="34">
        <f t="shared" si="25"/>
        <v>0</v>
      </c>
      <c r="D782" s="42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4"/>
    </row>
    <row r="783" spans="1:18" x14ac:dyDescent="0.35">
      <c r="A783" s="32">
        <f t="shared" si="24"/>
        <v>0</v>
      </c>
      <c r="B783" s="33"/>
      <c r="C783" s="34">
        <f t="shared" si="25"/>
        <v>0</v>
      </c>
      <c r="D783" s="42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4"/>
    </row>
    <row r="784" spans="1:18" x14ac:dyDescent="0.35">
      <c r="A784" s="32">
        <f t="shared" si="24"/>
        <v>0</v>
      </c>
      <c r="B784" s="33"/>
      <c r="C784" s="34">
        <f t="shared" si="25"/>
        <v>0</v>
      </c>
      <c r="D784" s="42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4"/>
    </row>
    <row r="785" spans="1:18" x14ac:dyDescent="0.35">
      <c r="A785" s="32">
        <f t="shared" si="24"/>
        <v>0</v>
      </c>
      <c r="B785" s="33"/>
      <c r="C785" s="34">
        <f t="shared" si="25"/>
        <v>0</v>
      </c>
      <c r="D785" s="42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4"/>
    </row>
    <row r="786" spans="1:18" x14ac:dyDescent="0.35">
      <c r="A786" s="32">
        <f t="shared" si="24"/>
        <v>0</v>
      </c>
      <c r="B786" s="33"/>
      <c r="C786" s="34">
        <f t="shared" si="25"/>
        <v>0</v>
      </c>
      <c r="D786" s="42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4"/>
    </row>
    <row r="787" spans="1:18" x14ac:dyDescent="0.35">
      <c r="A787" s="32">
        <f t="shared" si="24"/>
        <v>0</v>
      </c>
      <c r="B787" s="33"/>
      <c r="C787" s="34">
        <f t="shared" si="25"/>
        <v>0</v>
      </c>
      <c r="D787" s="42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4"/>
    </row>
    <row r="788" spans="1:18" x14ac:dyDescent="0.35">
      <c r="A788" s="32">
        <f t="shared" si="24"/>
        <v>0</v>
      </c>
      <c r="B788" s="33"/>
      <c r="C788" s="34">
        <f t="shared" si="25"/>
        <v>0</v>
      </c>
      <c r="D788" s="42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4"/>
    </row>
    <row r="789" spans="1:18" x14ac:dyDescent="0.35">
      <c r="A789" s="32">
        <f t="shared" si="24"/>
        <v>0</v>
      </c>
      <c r="B789" s="33"/>
      <c r="C789" s="34">
        <f t="shared" si="25"/>
        <v>0</v>
      </c>
      <c r="D789" s="42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4"/>
    </row>
    <row r="790" spans="1:18" x14ac:dyDescent="0.35">
      <c r="A790" s="32">
        <f t="shared" si="24"/>
        <v>0</v>
      </c>
      <c r="B790" s="33"/>
      <c r="C790" s="34">
        <f t="shared" si="25"/>
        <v>0</v>
      </c>
      <c r="D790" s="42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4"/>
    </row>
    <row r="791" spans="1:18" x14ac:dyDescent="0.35">
      <c r="A791" s="32">
        <f t="shared" si="24"/>
        <v>0</v>
      </c>
      <c r="B791" s="33"/>
      <c r="C791" s="34">
        <f t="shared" si="25"/>
        <v>0</v>
      </c>
      <c r="D791" s="42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4"/>
    </row>
    <row r="792" spans="1:18" x14ac:dyDescent="0.35">
      <c r="A792" s="32">
        <f t="shared" si="24"/>
        <v>0</v>
      </c>
      <c r="B792" s="33"/>
      <c r="C792" s="34">
        <f t="shared" si="25"/>
        <v>0</v>
      </c>
      <c r="D792" s="42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4"/>
    </row>
    <row r="793" spans="1:18" x14ac:dyDescent="0.35">
      <c r="A793" s="32">
        <f t="shared" si="24"/>
        <v>0</v>
      </c>
      <c r="B793" s="33"/>
      <c r="C793" s="34">
        <f t="shared" si="25"/>
        <v>0</v>
      </c>
      <c r="D793" s="42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4"/>
    </row>
    <row r="794" spans="1:18" x14ac:dyDescent="0.35">
      <c r="A794" s="32">
        <f t="shared" si="24"/>
        <v>0</v>
      </c>
      <c r="B794" s="33"/>
      <c r="C794" s="34">
        <f t="shared" si="25"/>
        <v>0</v>
      </c>
      <c r="D794" s="42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4"/>
    </row>
    <row r="795" spans="1:18" x14ac:dyDescent="0.35">
      <c r="A795" s="32">
        <f t="shared" si="24"/>
        <v>0</v>
      </c>
      <c r="B795" s="33"/>
      <c r="C795" s="34">
        <f t="shared" si="25"/>
        <v>0</v>
      </c>
      <c r="D795" s="42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4"/>
    </row>
    <row r="796" spans="1:18" x14ac:dyDescent="0.35">
      <c r="A796" s="32">
        <f t="shared" si="24"/>
        <v>0</v>
      </c>
      <c r="B796" s="33"/>
      <c r="C796" s="34">
        <f t="shared" si="25"/>
        <v>0</v>
      </c>
      <c r="D796" s="42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4"/>
    </row>
    <row r="797" spans="1:18" x14ac:dyDescent="0.35">
      <c r="A797" s="32">
        <f t="shared" si="24"/>
        <v>0</v>
      </c>
      <c r="B797" s="33"/>
      <c r="C797" s="34">
        <f t="shared" si="25"/>
        <v>0</v>
      </c>
      <c r="D797" s="42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4"/>
    </row>
    <row r="798" spans="1:18" x14ac:dyDescent="0.35">
      <c r="A798" s="32">
        <f t="shared" si="24"/>
        <v>0</v>
      </c>
      <c r="B798" s="33"/>
      <c r="C798" s="34">
        <f t="shared" si="25"/>
        <v>0</v>
      </c>
      <c r="D798" s="42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4"/>
    </row>
    <row r="799" spans="1:18" x14ac:dyDescent="0.35">
      <c r="A799" s="32">
        <f t="shared" si="24"/>
        <v>0</v>
      </c>
      <c r="B799" s="33"/>
      <c r="C799" s="34">
        <f t="shared" si="25"/>
        <v>0</v>
      </c>
      <c r="D799" s="42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4"/>
    </row>
    <row r="800" spans="1:18" x14ac:dyDescent="0.35">
      <c r="A800" s="32">
        <f t="shared" si="24"/>
        <v>0</v>
      </c>
      <c r="B800" s="33"/>
      <c r="C800" s="34">
        <f t="shared" si="25"/>
        <v>0</v>
      </c>
      <c r="D800" s="42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4"/>
    </row>
    <row r="801" spans="1:18" x14ac:dyDescent="0.35">
      <c r="A801" s="32">
        <f t="shared" si="24"/>
        <v>0</v>
      </c>
      <c r="B801" s="33"/>
      <c r="C801" s="34">
        <f t="shared" si="25"/>
        <v>0</v>
      </c>
      <c r="D801" s="42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4"/>
    </row>
    <row r="802" spans="1:18" x14ac:dyDescent="0.35">
      <c r="A802" s="32">
        <f t="shared" si="24"/>
        <v>0</v>
      </c>
      <c r="B802" s="33"/>
      <c r="C802" s="34">
        <f t="shared" si="25"/>
        <v>0</v>
      </c>
      <c r="D802" s="42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4"/>
    </row>
    <row r="803" spans="1:18" x14ac:dyDescent="0.35">
      <c r="A803" s="32">
        <f t="shared" si="24"/>
        <v>0</v>
      </c>
      <c r="B803" s="33"/>
      <c r="C803" s="34">
        <f t="shared" si="25"/>
        <v>0</v>
      </c>
      <c r="D803" s="42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4"/>
    </row>
    <row r="804" spans="1:18" x14ac:dyDescent="0.35">
      <c r="A804" s="32">
        <f t="shared" si="24"/>
        <v>0</v>
      </c>
      <c r="B804" s="33"/>
      <c r="C804" s="34">
        <f t="shared" si="25"/>
        <v>0</v>
      </c>
      <c r="D804" s="42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4"/>
    </row>
    <row r="805" spans="1:18" x14ac:dyDescent="0.35">
      <c r="A805" s="32">
        <f t="shared" si="24"/>
        <v>0</v>
      </c>
      <c r="B805" s="33"/>
      <c r="C805" s="34">
        <f t="shared" si="25"/>
        <v>0</v>
      </c>
      <c r="D805" s="42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4"/>
    </row>
    <row r="806" spans="1:18" x14ac:dyDescent="0.35">
      <c r="A806" s="32">
        <f t="shared" si="24"/>
        <v>0</v>
      </c>
      <c r="B806" s="33"/>
      <c r="C806" s="34">
        <f t="shared" si="25"/>
        <v>0</v>
      </c>
      <c r="D806" s="42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4"/>
    </row>
    <row r="807" spans="1:18" x14ac:dyDescent="0.35">
      <c r="A807" s="32">
        <f t="shared" si="24"/>
        <v>0</v>
      </c>
      <c r="B807" s="33"/>
      <c r="C807" s="34">
        <f t="shared" si="25"/>
        <v>0</v>
      </c>
      <c r="D807" s="42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4"/>
    </row>
    <row r="808" spans="1:18" x14ac:dyDescent="0.35">
      <c r="A808" s="32">
        <f t="shared" si="24"/>
        <v>0</v>
      </c>
      <c r="B808" s="33"/>
      <c r="C808" s="34">
        <f t="shared" si="25"/>
        <v>0</v>
      </c>
      <c r="D808" s="42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4"/>
    </row>
    <row r="809" spans="1:18" x14ac:dyDescent="0.35">
      <c r="A809" s="32">
        <f t="shared" si="24"/>
        <v>0</v>
      </c>
      <c r="B809" s="33"/>
      <c r="C809" s="34">
        <f t="shared" si="25"/>
        <v>0</v>
      </c>
      <c r="D809" s="42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4"/>
    </row>
    <row r="810" spans="1:18" x14ac:dyDescent="0.35">
      <c r="A810" s="32">
        <f t="shared" si="24"/>
        <v>0</v>
      </c>
      <c r="B810" s="33"/>
      <c r="C810" s="34">
        <f t="shared" si="25"/>
        <v>0</v>
      </c>
      <c r="D810" s="42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4"/>
    </row>
    <row r="811" spans="1:18" x14ac:dyDescent="0.35">
      <c r="A811" s="32">
        <f t="shared" si="24"/>
        <v>0</v>
      </c>
      <c r="B811" s="33"/>
      <c r="C811" s="34">
        <f t="shared" si="25"/>
        <v>0</v>
      </c>
      <c r="D811" s="42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4"/>
    </row>
    <row r="812" spans="1:18" x14ac:dyDescent="0.35">
      <c r="A812" s="32">
        <f t="shared" si="24"/>
        <v>0</v>
      </c>
      <c r="B812" s="33"/>
      <c r="C812" s="34">
        <f t="shared" si="25"/>
        <v>0</v>
      </c>
      <c r="D812" s="42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4"/>
    </row>
    <row r="813" spans="1:18" x14ac:dyDescent="0.35">
      <c r="A813" s="32">
        <f t="shared" si="24"/>
        <v>0</v>
      </c>
      <c r="B813" s="33"/>
      <c r="C813" s="34">
        <f t="shared" si="25"/>
        <v>0</v>
      </c>
      <c r="D813" s="42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4"/>
    </row>
    <row r="814" spans="1:18" x14ac:dyDescent="0.35">
      <c r="A814" s="32">
        <f t="shared" si="24"/>
        <v>0</v>
      </c>
      <c r="B814" s="33"/>
      <c r="C814" s="34">
        <f t="shared" si="25"/>
        <v>0</v>
      </c>
      <c r="D814" s="42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4"/>
    </row>
    <row r="815" spans="1:18" x14ac:dyDescent="0.35">
      <c r="A815" s="32">
        <f t="shared" si="24"/>
        <v>0</v>
      </c>
      <c r="B815" s="33"/>
      <c r="C815" s="34">
        <f t="shared" si="25"/>
        <v>0</v>
      </c>
      <c r="D815" s="42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4"/>
    </row>
    <row r="816" spans="1:18" x14ac:dyDescent="0.35">
      <c r="A816" s="32">
        <f t="shared" si="24"/>
        <v>0</v>
      </c>
      <c r="B816" s="33"/>
      <c r="C816" s="34">
        <f t="shared" si="25"/>
        <v>0</v>
      </c>
      <c r="D816" s="42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4"/>
    </row>
    <row r="817" spans="1:18" x14ac:dyDescent="0.35">
      <c r="A817" s="32">
        <f t="shared" si="24"/>
        <v>0</v>
      </c>
      <c r="B817" s="33"/>
      <c r="C817" s="34">
        <f t="shared" si="25"/>
        <v>0</v>
      </c>
      <c r="D817" s="42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4"/>
    </row>
    <row r="818" spans="1:18" x14ac:dyDescent="0.35">
      <c r="A818" s="32">
        <f t="shared" si="24"/>
        <v>0</v>
      </c>
      <c r="B818" s="33"/>
      <c r="C818" s="34">
        <f t="shared" si="25"/>
        <v>0</v>
      </c>
      <c r="D818" s="42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4"/>
    </row>
    <row r="819" spans="1:18" x14ac:dyDescent="0.35">
      <c r="A819" s="32">
        <f t="shared" si="24"/>
        <v>0</v>
      </c>
      <c r="B819" s="33"/>
      <c r="C819" s="34">
        <f t="shared" si="25"/>
        <v>0</v>
      </c>
      <c r="D819" s="42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4"/>
    </row>
    <row r="820" spans="1:18" x14ac:dyDescent="0.35">
      <c r="A820" s="32">
        <f t="shared" si="24"/>
        <v>0</v>
      </c>
      <c r="B820" s="33"/>
      <c r="C820" s="34">
        <f t="shared" si="25"/>
        <v>0</v>
      </c>
      <c r="D820" s="42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4"/>
    </row>
    <row r="821" spans="1:18" x14ac:dyDescent="0.35">
      <c r="A821" s="32">
        <f t="shared" si="24"/>
        <v>0</v>
      </c>
      <c r="B821" s="33"/>
      <c r="C821" s="34">
        <f t="shared" si="25"/>
        <v>0</v>
      </c>
      <c r="D821" s="42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4"/>
    </row>
    <row r="822" spans="1:18" x14ac:dyDescent="0.35">
      <c r="A822" s="32">
        <f t="shared" si="24"/>
        <v>0</v>
      </c>
      <c r="B822" s="33"/>
      <c r="C822" s="34">
        <f t="shared" si="25"/>
        <v>0</v>
      </c>
      <c r="D822" s="42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4"/>
    </row>
    <row r="823" spans="1:18" x14ac:dyDescent="0.35">
      <c r="A823" s="32">
        <f t="shared" si="24"/>
        <v>0</v>
      </c>
      <c r="B823" s="33"/>
      <c r="C823" s="34">
        <f t="shared" si="25"/>
        <v>0</v>
      </c>
      <c r="D823" s="42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4"/>
    </row>
    <row r="824" spans="1:18" x14ac:dyDescent="0.35">
      <c r="A824" s="32">
        <f t="shared" si="24"/>
        <v>0</v>
      </c>
      <c r="B824" s="33"/>
      <c r="C824" s="34">
        <f t="shared" si="25"/>
        <v>0</v>
      </c>
      <c r="D824" s="42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4"/>
    </row>
    <row r="825" spans="1:18" x14ac:dyDescent="0.35">
      <c r="A825" s="32">
        <f t="shared" si="24"/>
        <v>0</v>
      </c>
      <c r="B825" s="33"/>
      <c r="C825" s="34">
        <f t="shared" si="25"/>
        <v>0</v>
      </c>
      <c r="D825" s="42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4"/>
    </row>
    <row r="826" spans="1:18" x14ac:dyDescent="0.35">
      <c r="A826" s="32">
        <f t="shared" si="24"/>
        <v>0</v>
      </c>
      <c r="B826" s="33"/>
      <c r="C826" s="34">
        <f t="shared" si="25"/>
        <v>0</v>
      </c>
      <c r="D826" s="42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4"/>
    </row>
    <row r="827" spans="1:18" x14ac:dyDescent="0.35">
      <c r="A827" s="32">
        <f t="shared" si="24"/>
        <v>0</v>
      </c>
      <c r="B827" s="33"/>
      <c r="C827" s="34">
        <f t="shared" si="25"/>
        <v>0</v>
      </c>
      <c r="D827" s="42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4"/>
    </row>
    <row r="828" spans="1:18" x14ac:dyDescent="0.35">
      <c r="A828" s="32">
        <f t="shared" si="24"/>
        <v>0</v>
      </c>
      <c r="B828" s="33"/>
      <c r="C828" s="34">
        <f t="shared" si="25"/>
        <v>0</v>
      </c>
      <c r="D828" s="42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4"/>
    </row>
    <row r="829" spans="1:18" x14ac:dyDescent="0.35">
      <c r="A829" s="32">
        <f t="shared" si="24"/>
        <v>0</v>
      </c>
      <c r="B829" s="33"/>
      <c r="C829" s="34">
        <f t="shared" si="25"/>
        <v>0</v>
      </c>
      <c r="D829" s="42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4"/>
    </row>
    <row r="830" spans="1:18" x14ac:dyDescent="0.35">
      <c r="A830" s="32">
        <f t="shared" si="24"/>
        <v>0</v>
      </c>
      <c r="B830" s="33"/>
      <c r="C830" s="34">
        <f t="shared" si="25"/>
        <v>0</v>
      </c>
      <c r="D830" s="42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4"/>
    </row>
    <row r="831" spans="1:18" x14ac:dyDescent="0.35">
      <c r="A831" s="32">
        <f t="shared" si="24"/>
        <v>0</v>
      </c>
      <c r="B831" s="33"/>
      <c r="C831" s="34">
        <f t="shared" si="25"/>
        <v>0</v>
      </c>
      <c r="D831" s="42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4"/>
    </row>
    <row r="832" spans="1:18" x14ac:dyDescent="0.35">
      <c r="A832" s="32">
        <f t="shared" si="24"/>
        <v>0</v>
      </c>
      <c r="B832" s="33"/>
      <c r="C832" s="34">
        <f t="shared" si="25"/>
        <v>0</v>
      </c>
      <c r="D832" s="42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4"/>
    </row>
    <row r="833" spans="1:18" x14ac:dyDescent="0.35">
      <c r="A833" s="32">
        <f t="shared" si="24"/>
        <v>0</v>
      </c>
      <c r="B833" s="33"/>
      <c r="C833" s="34">
        <f t="shared" si="25"/>
        <v>0</v>
      </c>
      <c r="D833" s="42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4"/>
    </row>
    <row r="834" spans="1:18" x14ac:dyDescent="0.35">
      <c r="A834" s="32">
        <f t="shared" si="24"/>
        <v>0</v>
      </c>
      <c r="B834" s="33"/>
      <c r="C834" s="34">
        <f t="shared" si="25"/>
        <v>0</v>
      </c>
      <c r="D834" s="42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4"/>
    </row>
    <row r="835" spans="1:18" x14ac:dyDescent="0.35">
      <c r="A835" s="32">
        <f t="shared" si="24"/>
        <v>0</v>
      </c>
      <c r="B835" s="33"/>
      <c r="C835" s="34">
        <f t="shared" si="25"/>
        <v>0</v>
      </c>
      <c r="D835" s="42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4"/>
    </row>
    <row r="836" spans="1:18" x14ac:dyDescent="0.35">
      <c r="A836" s="32">
        <f t="shared" ref="A836:A899" si="26">F836</f>
        <v>0</v>
      </c>
      <c r="B836" s="33"/>
      <c r="C836" s="34">
        <f t="shared" ref="C836:C899" si="27">F836</f>
        <v>0</v>
      </c>
      <c r="D836" s="42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4"/>
    </row>
    <row r="837" spans="1:18" x14ac:dyDescent="0.35">
      <c r="A837" s="32">
        <f t="shared" si="26"/>
        <v>0</v>
      </c>
      <c r="B837" s="33"/>
      <c r="C837" s="34">
        <f t="shared" si="27"/>
        <v>0</v>
      </c>
      <c r="D837" s="42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4"/>
    </row>
    <row r="838" spans="1:18" x14ac:dyDescent="0.35">
      <c r="A838" s="32">
        <f t="shared" si="26"/>
        <v>0</v>
      </c>
      <c r="B838" s="33"/>
      <c r="C838" s="34">
        <f t="shared" si="27"/>
        <v>0</v>
      </c>
      <c r="D838" s="42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4"/>
    </row>
    <row r="839" spans="1:18" x14ac:dyDescent="0.35">
      <c r="A839" s="32">
        <f t="shared" si="26"/>
        <v>0</v>
      </c>
      <c r="B839" s="33"/>
      <c r="C839" s="34">
        <f t="shared" si="27"/>
        <v>0</v>
      </c>
      <c r="D839" s="42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4"/>
    </row>
    <row r="840" spans="1:18" x14ac:dyDescent="0.35">
      <c r="A840" s="32">
        <f t="shared" si="26"/>
        <v>0</v>
      </c>
      <c r="B840" s="33"/>
      <c r="C840" s="34">
        <f t="shared" si="27"/>
        <v>0</v>
      </c>
      <c r="D840" s="42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4"/>
    </row>
    <row r="841" spans="1:18" x14ac:dyDescent="0.35">
      <c r="A841" s="32">
        <f t="shared" si="26"/>
        <v>0</v>
      </c>
      <c r="B841" s="33"/>
      <c r="C841" s="34">
        <f t="shared" si="27"/>
        <v>0</v>
      </c>
      <c r="D841" s="42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4"/>
    </row>
    <row r="842" spans="1:18" x14ac:dyDescent="0.35">
      <c r="A842" s="32">
        <f t="shared" si="26"/>
        <v>0</v>
      </c>
      <c r="B842" s="33"/>
      <c r="C842" s="34">
        <f t="shared" si="27"/>
        <v>0</v>
      </c>
      <c r="D842" s="42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4"/>
    </row>
    <row r="843" spans="1:18" x14ac:dyDescent="0.35">
      <c r="A843" s="32">
        <f t="shared" si="26"/>
        <v>0</v>
      </c>
      <c r="B843" s="33"/>
      <c r="C843" s="34">
        <f t="shared" si="27"/>
        <v>0</v>
      </c>
      <c r="D843" s="42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4"/>
    </row>
    <row r="844" spans="1:18" x14ac:dyDescent="0.35">
      <c r="A844" s="32">
        <f t="shared" si="26"/>
        <v>0</v>
      </c>
      <c r="B844" s="33"/>
      <c r="C844" s="34">
        <f t="shared" si="27"/>
        <v>0</v>
      </c>
      <c r="D844" s="42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4"/>
    </row>
    <row r="845" spans="1:18" x14ac:dyDescent="0.35">
      <c r="A845" s="32">
        <f t="shared" si="26"/>
        <v>0</v>
      </c>
      <c r="B845" s="33"/>
      <c r="C845" s="34">
        <f t="shared" si="27"/>
        <v>0</v>
      </c>
      <c r="D845" s="42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4"/>
    </row>
    <row r="846" spans="1:18" x14ac:dyDescent="0.35">
      <c r="A846" s="32">
        <f t="shared" si="26"/>
        <v>0</v>
      </c>
      <c r="B846" s="33"/>
      <c r="C846" s="34">
        <f t="shared" si="27"/>
        <v>0</v>
      </c>
      <c r="D846" s="42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4"/>
    </row>
    <row r="847" spans="1:18" x14ac:dyDescent="0.35">
      <c r="A847" s="32">
        <f t="shared" si="26"/>
        <v>0</v>
      </c>
      <c r="B847" s="33"/>
      <c r="C847" s="34">
        <f t="shared" si="27"/>
        <v>0</v>
      </c>
      <c r="D847" s="42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4"/>
    </row>
    <row r="848" spans="1:18" x14ac:dyDescent="0.35">
      <c r="A848" s="32">
        <f t="shared" si="26"/>
        <v>0</v>
      </c>
      <c r="B848" s="33"/>
      <c r="C848" s="34">
        <f t="shared" si="27"/>
        <v>0</v>
      </c>
      <c r="D848" s="42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4"/>
    </row>
    <row r="849" spans="1:18" x14ac:dyDescent="0.35">
      <c r="A849" s="32">
        <f t="shared" si="26"/>
        <v>0</v>
      </c>
      <c r="B849" s="33"/>
      <c r="C849" s="34">
        <f t="shared" si="27"/>
        <v>0</v>
      </c>
      <c r="D849" s="42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4"/>
    </row>
    <row r="850" spans="1:18" x14ac:dyDescent="0.35">
      <c r="A850" s="32">
        <f t="shared" si="26"/>
        <v>0</v>
      </c>
      <c r="B850" s="33"/>
      <c r="C850" s="34">
        <f t="shared" si="27"/>
        <v>0</v>
      </c>
      <c r="D850" s="42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4"/>
    </row>
    <row r="851" spans="1:18" x14ac:dyDescent="0.35">
      <c r="A851" s="32">
        <f t="shared" si="26"/>
        <v>0</v>
      </c>
      <c r="B851" s="33"/>
      <c r="C851" s="34">
        <f t="shared" si="27"/>
        <v>0</v>
      </c>
      <c r="D851" s="42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4"/>
    </row>
    <row r="852" spans="1:18" x14ac:dyDescent="0.35">
      <c r="A852" s="32">
        <f t="shared" si="26"/>
        <v>0</v>
      </c>
      <c r="B852" s="33"/>
      <c r="C852" s="34">
        <f t="shared" si="27"/>
        <v>0</v>
      </c>
      <c r="D852" s="42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4"/>
    </row>
    <row r="853" spans="1:18" x14ac:dyDescent="0.35">
      <c r="A853" s="32">
        <f t="shared" si="26"/>
        <v>0</v>
      </c>
      <c r="B853" s="33"/>
      <c r="C853" s="34">
        <f t="shared" si="27"/>
        <v>0</v>
      </c>
      <c r="D853" s="42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4"/>
    </row>
    <row r="854" spans="1:18" x14ac:dyDescent="0.35">
      <c r="A854" s="32">
        <f t="shared" si="26"/>
        <v>0</v>
      </c>
      <c r="B854" s="33"/>
      <c r="C854" s="34">
        <f t="shared" si="27"/>
        <v>0</v>
      </c>
      <c r="D854" s="42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4"/>
    </row>
    <row r="855" spans="1:18" x14ac:dyDescent="0.35">
      <c r="A855" s="32">
        <f t="shared" si="26"/>
        <v>0</v>
      </c>
      <c r="B855" s="33"/>
      <c r="C855" s="34">
        <f t="shared" si="27"/>
        <v>0</v>
      </c>
      <c r="D855" s="42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4"/>
    </row>
    <row r="856" spans="1:18" x14ac:dyDescent="0.35">
      <c r="A856" s="32">
        <f t="shared" si="26"/>
        <v>0</v>
      </c>
      <c r="B856" s="33"/>
      <c r="C856" s="34">
        <f t="shared" si="27"/>
        <v>0</v>
      </c>
      <c r="D856" s="42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4"/>
    </row>
    <row r="857" spans="1:18" x14ac:dyDescent="0.35">
      <c r="A857" s="32">
        <f t="shared" si="26"/>
        <v>0</v>
      </c>
      <c r="B857" s="33"/>
      <c r="C857" s="34">
        <f t="shared" si="27"/>
        <v>0</v>
      </c>
      <c r="D857" s="42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4"/>
    </row>
    <row r="858" spans="1:18" x14ac:dyDescent="0.35">
      <c r="A858" s="32">
        <f t="shared" si="26"/>
        <v>0</v>
      </c>
      <c r="B858" s="33"/>
      <c r="C858" s="34">
        <f t="shared" si="27"/>
        <v>0</v>
      </c>
      <c r="D858" s="42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4"/>
    </row>
    <row r="859" spans="1:18" x14ac:dyDescent="0.35">
      <c r="A859" s="32">
        <f t="shared" si="26"/>
        <v>0</v>
      </c>
      <c r="B859" s="33"/>
      <c r="C859" s="34">
        <f t="shared" si="27"/>
        <v>0</v>
      </c>
      <c r="D859" s="42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4"/>
    </row>
    <row r="860" spans="1:18" x14ac:dyDescent="0.35">
      <c r="A860" s="32">
        <f t="shared" si="26"/>
        <v>0</v>
      </c>
      <c r="B860" s="33"/>
      <c r="C860" s="34">
        <f t="shared" si="27"/>
        <v>0</v>
      </c>
      <c r="D860" s="42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4"/>
    </row>
    <row r="861" spans="1:18" x14ac:dyDescent="0.35">
      <c r="A861" s="32">
        <f t="shared" si="26"/>
        <v>0</v>
      </c>
      <c r="B861" s="33"/>
      <c r="C861" s="34">
        <f t="shared" si="27"/>
        <v>0</v>
      </c>
      <c r="D861" s="42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4"/>
    </row>
    <row r="862" spans="1:18" x14ac:dyDescent="0.35">
      <c r="A862" s="32">
        <f t="shared" si="26"/>
        <v>0</v>
      </c>
      <c r="B862" s="33"/>
      <c r="C862" s="34">
        <f t="shared" si="27"/>
        <v>0</v>
      </c>
      <c r="D862" s="42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4"/>
    </row>
    <row r="863" spans="1:18" x14ac:dyDescent="0.35">
      <c r="A863" s="32">
        <f t="shared" si="26"/>
        <v>0</v>
      </c>
      <c r="B863" s="33"/>
      <c r="C863" s="34">
        <f t="shared" si="27"/>
        <v>0</v>
      </c>
      <c r="D863" s="42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4"/>
    </row>
    <row r="864" spans="1:18" x14ac:dyDescent="0.35">
      <c r="A864" s="32">
        <f t="shared" si="26"/>
        <v>0</v>
      </c>
      <c r="B864" s="33"/>
      <c r="C864" s="34">
        <f t="shared" si="27"/>
        <v>0</v>
      </c>
      <c r="D864" s="42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4"/>
    </row>
    <row r="865" spans="1:18" x14ac:dyDescent="0.35">
      <c r="A865" s="32">
        <f t="shared" si="26"/>
        <v>0</v>
      </c>
      <c r="B865" s="33"/>
      <c r="C865" s="34">
        <f t="shared" si="27"/>
        <v>0</v>
      </c>
      <c r="D865" s="42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4"/>
    </row>
    <row r="866" spans="1:18" x14ac:dyDescent="0.35">
      <c r="A866" s="32">
        <f t="shared" si="26"/>
        <v>0</v>
      </c>
      <c r="B866" s="33"/>
      <c r="C866" s="34">
        <f t="shared" si="27"/>
        <v>0</v>
      </c>
      <c r="D866" s="42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4"/>
    </row>
    <row r="867" spans="1:18" x14ac:dyDescent="0.35">
      <c r="A867" s="32">
        <f t="shared" si="26"/>
        <v>0</v>
      </c>
      <c r="B867" s="33"/>
      <c r="C867" s="34">
        <f t="shared" si="27"/>
        <v>0</v>
      </c>
      <c r="D867" s="42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4"/>
    </row>
    <row r="868" spans="1:18" x14ac:dyDescent="0.35">
      <c r="A868" s="32">
        <f t="shared" si="26"/>
        <v>0</v>
      </c>
      <c r="B868" s="33"/>
      <c r="C868" s="34">
        <f t="shared" si="27"/>
        <v>0</v>
      </c>
      <c r="D868" s="42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4"/>
    </row>
    <row r="869" spans="1:18" x14ac:dyDescent="0.35">
      <c r="A869" s="32">
        <f t="shared" si="26"/>
        <v>0</v>
      </c>
      <c r="B869" s="33"/>
      <c r="C869" s="34">
        <f t="shared" si="27"/>
        <v>0</v>
      </c>
      <c r="D869" s="42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4"/>
    </row>
    <row r="870" spans="1:18" x14ac:dyDescent="0.35">
      <c r="A870" s="32">
        <f t="shared" si="26"/>
        <v>0</v>
      </c>
      <c r="B870" s="33"/>
      <c r="C870" s="34">
        <f t="shared" si="27"/>
        <v>0</v>
      </c>
      <c r="D870" s="42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4"/>
    </row>
    <row r="871" spans="1:18" x14ac:dyDescent="0.35">
      <c r="A871" s="32">
        <f t="shared" si="26"/>
        <v>0</v>
      </c>
      <c r="B871" s="33"/>
      <c r="C871" s="34">
        <f t="shared" si="27"/>
        <v>0</v>
      </c>
      <c r="D871" s="42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4"/>
    </row>
    <row r="872" spans="1:18" x14ac:dyDescent="0.35">
      <c r="A872" s="32">
        <f t="shared" si="26"/>
        <v>0</v>
      </c>
      <c r="B872" s="33"/>
      <c r="C872" s="34">
        <f t="shared" si="27"/>
        <v>0</v>
      </c>
      <c r="D872" s="42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4"/>
    </row>
    <row r="873" spans="1:18" x14ac:dyDescent="0.35">
      <c r="A873" s="32">
        <f t="shared" si="26"/>
        <v>0</v>
      </c>
      <c r="B873" s="33"/>
      <c r="C873" s="34">
        <f t="shared" si="27"/>
        <v>0</v>
      </c>
      <c r="D873" s="42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4"/>
    </row>
    <row r="874" spans="1:18" x14ac:dyDescent="0.35">
      <c r="A874" s="32">
        <f t="shared" si="26"/>
        <v>0</v>
      </c>
      <c r="B874" s="33"/>
      <c r="C874" s="34">
        <f t="shared" si="27"/>
        <v>0</v>
      </c>
      <c r="D874" s="42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4"/>
    </row>
    <row r="875" spans="1:18" x14ac:dyDescent="0.35">
      <c r="A875" s="32">
        <f t="shared" si="26"/>
        <v>0</v>
      </c>
      <c r="B875" s="33"/>
      <c r="C875" s="34">
        <f t="shared" si="27"/>
        <v>0</v>
      </c>
      <c r="D875" s="42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4"/>
    </row>
    <row r="876" spans="1:18" x14ac:dyDescent="0.35">
      <c r="A876" s="32">
        <f t="shared" si="26"/>
        <v>0</v>
      </c>
      <c r="B876" s="33"/>
      <c r="C876" s="34">
        <f t="shared" si="27"/>
        <v>0</v>
      </c>
      <c r="D876" s="42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4"/>
    </row>
    <row r="877" spans="1:18" x14ac:dyDescent="0.35">
      <c r="A877" s="32">
        <f t="shared" si="26"/>
        <v>0</v>
      </c>
      <c r="B877" s="33"/>
      <c r="C877" s="34">
        <f t="shared" si="27"/>
        <v>0</v>
      </c>
      <c r="D877" s="42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4"/>
    </row>
    <row r="878" spans="1:18" x14ac:dyDescent="0.35">
      <c r="A878" s="32">
        <f t="shared" si="26"/>
        <v>0</v>
      </c>
      <c r="B878" s="33"/>
      <c r="C878" s="34">
        <f t="shared" si="27"/>
        <v>0</v>
      </c>
      <c r="D878" s="42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4"/>
    </row>
    <row r="879" spans="1:18" x14ac:dyDescent="0.35">
      <c r="A879" s="32">
        <f t="shared" si="26"/>
        <v>0</v>
      </c>
      <c r="B879" s="33"/>
      <c r="C879" s="34">
        <f t="shared" si="27"/>
        <v>0</v>
      </c>
      <c r="D879" s="42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4"/>
    </row>
    <row r="880" spans="1:18" x14ac:dyDescent="0.35">
      <c r="A880" s="32">
        <f t="shared" si="26"/>
        <v>0</v>
      </c>
      <c r="B880" s="33"/>
      <c r="C880" s="34">
        <f t="shared" si="27"/>
        <v>0</v>
      </c>
      <c r="D880" s="42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4"/>
    </row>
    <row r="881" spans="1:18" x14ac:dyDescent="0.35">
      <c r="A881" s="32">
        <f t="shared" si="26"/>
        <v>0</v>
      </c>
      <c r="B881" s="33"/>
      <c r="C881" s="34">
        <f t="shared" si="27"/>
        <v>0</v>
      </c>
      <c r="D881" s="42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4"/>
    </row>
    <row r="882" spans="1:18" x14ac:dyDescent="0.35">
      <c r="A882" s="32">
        <f t="shared" si="26"/>
        <v>0</v>
      </c>
      <c r="B882" s="33"/>
      <c r="C882" s="34">
        <f t="shared" si="27"/>
        <v>0</v>
      </c>
      <c r="D882" s="42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4"/>
    </row>
    <row r="883" spans="1:18" x14ac:dyDescent="0.35">
      <c r="A883" s="32">
        <f t="shared" si="26"/>
        <v>0</v>
      </c>
      <c r="B883" s="33"/>
      <c r="C883" s="34">
        <f t="shared" si="27"/>
        <v>0</v>
      </c>
      <c r="D883" s="42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4"/>
    </row>
    <row r="884" spans="1:18" x14ac:dyDescent="0.35">
      <c r="A884" s="32">
        <f t="shared" si="26"/>
        <v>0</v>
      </c>
      <c r="B884" s="33"/>
      <c r="C884" s="34">
        <f t="shared" si="27"/>
        <v>0</v>
      </c>
      <c r="D884" s="42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4"/>
    </row>
    <row r="885" spans="1:18" x14ac:dyDescent="0.35">
      <c r="A885" s="32">
        <f t="shared" si="26"/>
        <v>0</v>
      </c>
      <c r="B885" s="33"/>
      <c r="C885" s="34">
        <f t="shared" si="27"/>
        <v>0</v>
      </c>
      <c r="D885" s="42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4"/>
    </row>
    <row r="886" spans="1:18" x14ac:dyDescent="0.35">
      <c r="A886" s="32">
        <f t="shared" si="26"/>
        <v>0</v>
      </c>
      <c r="B886" s="33"/>
      <c r="C886" s="34">
        <f t="shared" si="27"/>
        <v>0</v>
      </c>
      <c r="D886" s="42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4"/>
    </row>
    <row r="887" spans="1:18" x14ac:dyDescent="0.35">
      <c r="A887" s="32">
        <f t="shared" si="26"/>
        <v>0</v>
      </c>
      <c r="B887" s="33"/>
      <c r="C887" s="34">
        <f t="shared" si="27"/>
        <v>0</v>
      </c>
      <c r="D887" s="42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4"/>
    </row>
    <row r="888" spans="1:18" x14ac:dyDescent="0.35">
      <c r="A888" s="32">
        <f t="shared" si="26"/>
        <v>0</v>
      </c>
      <c r="B888" s="33"/>
      <c r="C888" s="34">
        <f t="shared" si="27"/>
        <v>0</v>
      </c>
      <c r="D888" s="42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4"/>
    </row>
    <row r="889" spans="1:18" x14ac:dyDescent="0.35">
      <c r="A889" s="32">
        <f t="shared" si="26"/>
        <v>0</v>
      </c>
      <c r="B889" s="33"/>
      <c r="C889" s="34">
        <f t="shared" si="27"/>
        <v>0</v>
      </c>
      <c r="D889" s="42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4"/>
    </row>
    <row r="890" spans="1:18" x14ac:dyDescent="0.35">
      <c r="A890" s="32">
        <f t="shared" si="26"/>
        <v>0</v>
      </c>
      <c r="B890" s="33"/>
      <c r="C890" s="34">
        <f t="shared" si="27"/>
        <v>0</v>
      </c>
      <c r="D890" s="42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4"/>
    </row>
    <row r="891" spans="1:18" x14ac:dyDescent="0.35">
      <c r="A891" s="32">
        <f t="shared" si="26"/>
        <v>0</v>
      </c>
      <c r="B891" s="33"/>
      <c r="C891" s="34">
        <f t="shared" si="27"/>
        <v>0</v>
      </c>
      <c r="D891" s="42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4"/>
    </row>
    <row r="892" spans="1:18" x14ac:dyDescent="0.35">
      <c r="A892" s="32">
        <f t="shared" si="26"/>
        <v>0</v>
      </c>
      <c r="B892" s="33"/>
      <c r="C892" s="34">
        <f t="shared" si="27"/>
        <v>0</v>
      </c>
      <c r="D892" s="42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4"/>
    </row>
    <row r="893" spans="1:18" x14ac:dyDescent="0.35">
      <c r="A893" s="32">
        <f t="shared" si="26"/>
        <v>0</v>
      </c>
      <c r="B893" s="33"/>
      <c r="C893" s="34">
        <f t="shared" si="27"/>
        <v>0</v>
      </c>
      <c r="D893" s="42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4"/>
    </row>
    <row r="894" spans="1:18" x14ac:dyDescent="0.35">
      <c r="A894" s="32">
        <f t="shared" si="26"/>
        <v>0</v>
      </c>
      <c r="B894" s="33"/>
      <c r="C894" s="34">
        <f t="shared" si="27"/>
        <v>0</v>
      </c>
      <c r="D894" s="42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4"/>
    </row>
    <row r="895" spans="1:18" x14ac:dyDescent="0.35">
      <c r="A895" s="32">
        <f t="shared" si="26"/>
        <v>0</v>
      </c>
      <c r="B895" s="33"/>
      <c r="C895" s="34">
        <f t="shared" si="27"/>
        <v>0</v>
      </c>
      <c r="D895" s="42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4"/>
    </row>
    <row r="896" spans="1:18" x14ac:dyDescent="0.35">
      <c r="A896" s="32">
        <f t="shared" si="26"/>
        <v>0</v>
      </c>
      <c r="B896" s="33"/>
      <c r="C896" s="34">
        <f t="shared" si="27"/>
        <v>0</v>
      </c>
      <c r="D896" s="42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4"/>
    </row>
    <row r="897" spans="1:18" x14ac:dyDescent="0.35">
      <c r="A897" s="32">
        <f t="shared" si="26"/>
        <v>0</v>
      </c>
      <c r="B897" s="33"/>
      <c r="C897" s="34">
        <f t="shared" si="27"/>
        <v>0</v>
      </c>
      <c r="D897" s="42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4"/>
    </row>
    <row r="898" spans="1:18" x14ac:dyDescent="0.35">
      <c r="A898" s="32">
        <f t="shared" si="26"/>
        <v>0</v>
      </c>
      <c r="B898" s="33"/>
      <c r="C898" s="34">
        <f t="shared" si="27"/>
        <v>0</v>
      </c>
      <c r="D898" s="42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4"/>
    </row>
    <row r="899" spans="1:18" x14ac:dyDescent="0.35">
      <c r="A899" s="32">
        <f t="shared" si="26"/>
        <v>0</v>
      </c>
      <c r="B899" s="33"/>
      <c r="C899" s="34">
        <f t="shared" si="27"/>
        <v>0</v>
      </c>
      <c r="D899" s="42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4"/>
    </row>
    <row r="900" spans="1:18" x14ac:dyDescent="0.35">
      <c r="A900" s="32">
        <f t="shared" ref="A900:A963" si="28">F900</f>
        <v>0</v>
      </c>
      <c r="B900" s="33"/>
      <c r="C900" s="34">
        <f t="shared" ref="C900:C963" si="29">F900</f>
        <v>0</v>
      </c>
      <c r="D900" s="42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4"/>
    </row>
    <row r="901" spans="1:18" x14ac:dyDescent="0.35">
      <c r="A901" s="32">
        <f t="shared" si="28"/>
        <v>0</v>
      </c>
      <c r="B901" s="33"/>
      <c r="C901" s="34">
        <f t="shared" si="29"/>
        <v>0</v>
      </c>
      <c r="D901" s="42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4"/>
    </row>
    <row r="902" spans="1:18" x14ac:dyDescent="0.35">
      <c r="A902" s="32">
        <f t="shared" si="28"/>
        <v>0</v>
      </c>
      <c r="B902" s="33"/>
      <c r="C902" s="34">
        <f t="shared" si="29"/>
        <v>0</v>
      </c>
      <c r="D902" s="42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4"/>
    </row>
    <row r="903" spans="1:18" x14ac:dyDescent="0.35">
      <c r="A903" s="32">
        <f t="shared" si="28"/>
        <v>0</v>
      </c>
      <c r="B903" s="33"/>
      <c r="C903" s="34">
        <f t="shared" si="29"/>
        <v>0</v>
      </c>
      <c r="D903" s="42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4"/>
    </row>
    <row r="904" spans="1:18" x14ac:dyDescent="0.35">
      <c r="A904" s="32">
        <f t="shared" si="28"/>
        <v>0</v>
      </c>
      <c r="B904" s="33"/>
      <c r="C904" s="34">
        <f t="shared" si="29"/>
        <v>0</v>
      </c>
      <c r="D904" s="42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4"/>
    </row>
    <row r="905" spans="1:18" x14ac:dyDescent="0.35">
      <c r="A905" s="32">
        <f t="shared" si="28"/>
        <v>0</v>
      </c>
      <c r="B905" s="33"/>
      <c r="C905" s="34">
        <f t="shared" si="29"/>
        <v>0</v>
      </c>
      <c r="D905" s="42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4"/>
    </row>
    <row r="906" spans="1:18" x14ac:dyDescent="0.35">
      <c r="A906" s="32">
        <f t="shared" si="28"/>
        <v>0</v>
      </c>
      <c r="B906" s="33"/>
      <c r="C906" s="34">
        <f t="shared" si="29"/>
        <v>0</v>
      </c>
      <c r="D906" s="42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4"/>
    </row>
    <row r="907" spans="1:18" x14ac:dyDescent="0.35">
      <c r="A907" s="32">
        <f t="shared" si="28"/>
        <v>0</v>
      </c>
      <c r="B907" s="33"/>
      <c r="C907" s="34">
        <f t="shared" si="29"/>
        <v>0</v>
      </c>
      <c r="D907" s="42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4"/>
    </row>
    <row r="908" spans="1:18" x14ac:dyDescent="0.35">
      <c r="A908" s="32">
        <f t="shared" si="28"/>
        <v>0</v>
      </c>
      <c r="B908" s="33"/>
      <c r="C908" s="34">
        <f t="shared" si="29"/>
        <v>0</v>
      </c>
      <c r="D908" s="42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4"/>
    </row>
    <row r="909" spans="1:18" x14ac:dyDescent="0.35">
      <c r="A909" s="32">
        <f t="shared" si="28"/>
        <v>0</v>
      </c>
      <c r="B909" s="33"/>
      <c r="C909" s="34">
        <f t="shared" si="29"/>
        <v>0</v>
      </c>
      <c r="D909" s="42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4"/>
    </row>
    <row r="910" spans="1:18" x14ac:dyDescent="0.35">
      <c r="A910" s="32">
        <f t="shared" si="28"/>
        <v>0</v>
      </c>
      <c r="B910" s="33"/>
      <c r="C910" s="34">
        <f t="shared" si="29"/>
        <v>0</v>
      </c>
      <c r="D910" s="42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4"/>
    </row>
    <row r="911" spans="1:18" x14ac:dyDescent="0.35">
      <c r="A911" s="32">
        <f t="shared" si="28"/>
        <v>0</v>
      </c>
      <c r="B911" s="33"/>
      <c r="C911" s="34">
        <f t="shared" si="29"/>
        <v>0</v>
      </c>
      <c r="D911" s="42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4"/>
    </row>
    <row r="912" spans="1:18" x14ac:dyDescent="0.35">
      <c r="A912" s="32">
        <f t="shared" si="28"/>
        <v>0</v>
      </c>
      <c r="B912" s="33"/>
      <c r="C912" s="34">
        <f t="shared" si="29"/>
        <v>0</v>
      </c>
      <c r="D912" s="42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4"/>
    </row>
    <row r="913" spans="1:18" x14ac:dyDescent="0.35">
      <c r="A913" s="32">
        <f t="shared" si="28"/>
        <v>0</v>
      </c>
      <c r="B913" s="33"/>
      <c r="C913" s="34">
        <f t="shared" si="29"/>
        <v>0</v>
      </c>
      <c r="D913" s="42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4"/>
    </row>
    <row r="914" spans="1:18" x14ac:dyDescent="0.35">
      <c r="A914" s="32">
        <f t="shared" si="28"/>
        <v>0</v>
      </c>
      <c r="B914" s="33"/>
      <c r="C914" s="34">
        <f t="shared" si="29"/>
        <v>0</v>
      </c>
      <c r="D914" s="42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4"/>
    </row>
    <row r="915" spans="1:18" x14ac:dyDescent="0.35">
      <c r="A915" s="32">
        <f t="shared" si="28"/>
        <v>0</v>
      </c>
      <c r="B915" s="33"/>
      <c r="C915" s="34">
        <f t="shared" si="29"/>
        <v>0</v>
      </c>
      <c r="D915" s="42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4"/>
    </row>
    <row r="916" spans="1:18" x14ac:dyDescent="0.35">
      <c r="A916" s="32">
        <f t="shared" si="28"/>
        <v>0</v>
      </c>
      <c r="B916" s="33"/>
      <c r="C916" s="34">
        <f t="shared" si="29"/>
        <v>0</v>
      </c>
      <c r="D916" s="42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4"/>
    </row>
    <row r="917" spans="1:18" x14ac:dyDescent="0.35">
      <c r="A917" s="32">
        <f t="shared" si="28"/>
        <v>0</v>
      </c>
      <c r="B917" s="33"/>
      <c r="C917" s="34">
        <f t="shared" si="29"/>
        <v>0</v>
      </c>
      <c r="D917" s="42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4"/>
    </row>
    <row r="918" spans="1:18" x14ac:dyDescent="0.35">
      <c r="A918" s="32">
        <f t="shared" si="28"/>
        <v>0</v>
      </c>
      <c r="B918" s="33"/>
      <c r="C918" s="34">
        <f t="shared" si="29"/>
        <v>0</v>
      </c>
      <c r="D918" s="42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4"/>
    </row>
    <row r="919" spans="1:18" x14ac:dyDescent="0.35">
      <c r="A919" s="32">
        <f t="shared" si="28"/>
        <v>0</v>
      </c>
      <c r="B919" s="33"/>
      <c r="C919" s="34">
        <f t="shared" si="29"/>
        <v>0</v>
      </c>
      <c r="D919" s="42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4"/>
    </row>
    <row r="920" spans="1:18" x14ac:dyDescent="0.35">
      <c r="A920" s="32">
        <f t="shared" si="28"/>
        <v>0</v>
      </c>
      <c r="B920" s="33"/>
      <c r="C920" s="34">
        <f t="shared" si="29"/>
        <v>0</v>
      </c>
      <c r="D920" s="42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4"/>
    </row>
    <row r="921" spans="1:18" x14ac:dyDescent="0.35">
      <c r="A921" s="32">
        <f t="shared" si="28"/>
        <v>0</v>
      </c>
      <c r="B921" s="33"/>
      <c r="C921" s="34">
        <f t="shared" si="29"/>
        <v>0</v>
      </c>
      <c r="D921" s="42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4"/>
    </row>
    <row r="922" spans="1:18" x14ac:dyDescent="0.35">
      <c r="A922" s="32">
        <f t="shared" si="28"/>
        <v>0</v>
      </c>
      <c r="B922" s="33"/>
      <c r="C922" s="34">
        <f t="shared" si="29"/>
        <v>0</v>
      </c>
      <c r="D922" s="42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4"/>
    </row>
    <row r="923" spans="1:18" x14ac:dyDescent="0.35">
      <c r="A923" s="32">
        <f t="shared" si="28"/>
        <v>0</v>
      </c>
      <c r="B923" s="33"/>
      <c r="C923" s="34">
        <f t="shared" si="29"/>
        <v>0</v>
      </c>
      <c r="D923" s="42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4"/>
    </row>
    <row r="924" spans="1:18" x14ac:dyDescent="0.35">
      <c r="A924" s="32">
        <f t="shared" si="28"/>
        <v>0</v>
      </c>
      <c r="B924" s="33"/>
      <c r="C924" s="34">
        <f t="shared" si="29"/>
        <v>0</v>
      </c>
      <c r="D924" s="42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4"/>
    </row>
    <row r="925" spans="1:18" x14ac:dyDescent="0.35">
      <c r="A925" s="32">
        <f t="shared" si="28"/>
        <v>0</v>
      </c>
      <c r="B925" s="33"/>
      <c r="C925" s="34">
        <f t="shared" si="29"/>
        <v>0</v>
      </c>
      <c r="D925" s="42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4"/>
    </row>
    <row r="926" spans="1:18" x14ac:dyDescent="0.35">
      <c r="A926" s="32">
        <f t="shared" si="28"/>
        <v>0</v>
      </c>
      <c r="B926" s="33"/>
      <c r="C926" s="34">
        <f t="shared" si="29"/>
        <v>0</v>
      </c>
      <c r="D926" s="42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4"/>
    </row>
    <row r="927" spans="1:18" x14ac:dyDescent="0.35">
      <c r="A927" s="32">
        <f t="shared" si="28"/>
        <v>0</v>
      </c>
      <c r="B927" s="33"/>
      <c r="C927" s="34">
        <f t="shared" si="29"/>
        <v>0</v>
      </c>
      <c r="D927" s="42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4"/>
    </row>
    <row r="928" spans="1:18" x14ac:dyDescent="0.35">
      <c r="A928" s="32">
        <f t="shared" si="28"/>
        <v>0</v>
      </c>
      <c r="B928" s="33"/>
      <c r="C928" s="34">
        <f t="shared" si="29"/>
        <v>0</v>
      </c>
      <c r="D928" s="42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4"/>
    </row>
    <row r="929" spans="1:18" x14ac:dyDescent="0.35">
      <c r="A929" s="32">
        <f t="shared" si="28"/>
        <v>0</v>
      </c>
      <c r="B929" s="33"/>
      <c r="C929" s="34">
        <f t="shared" si="29"/>
        <v>0</v>
      </c>
      <c r="D929" s="42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4"/>
    </row>
    <row r="930" spans="1:18" x14ac:dyDescent="0.35">
      <c r="A930" s="32">
        <f t="shared" si="28"/>
        <v>0</v>
      </c>
      <c r="B930" s="33"/>
      <c r="C930" s="34">
        <f t="shared" si="29"/>
        <v>0</v>
      </c>
      <c r="D930" s="42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4"/>
    </row>
    <row r="931" spans="1:18" x14ac:dyDescent="0.35">
      <c r="A931" s="32">
        <f t="shared" si="28"/>
        <v>0</v>
      </c>
      <c r="B931" s="33"/>
      <c r="C931" s="34">
        <f t="shared" si="29"/>
        <v>0</v>
      </c>
      <c r="D931" s="42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4"/>
    </row>
    <row r="932" spans="1:18" x14ac:dyDescent="0.35">
      <c r="A932" s="32">
        <f t="shared" si="28"/>
        <v>0</v>
      </c>
      <c r="B932" s="33"/>
      <c r="C932" s="34">
        <f t="shared" si="29"/>
        <v>0</v>
      </c>
      <c r="D932" s="42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4"/>
    </row>
    <row r="933" spans="1:18" x14ac:dyDescent="0.35">
      <c r="A933" s="32">
        <f t="shared" si="28"/>
        <v>0</v>
      </c>
      <c r="B933" s="33"/>
      <c r="C933" s="34">
        <f t="shared" si="29"/>
        <v>0</v>
      </c>
      <c r="D933" s="42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4"/>
    </row>
    <row r="934" spans="1:18" x14ac:dyDescent="0.35">
      <c r="A934" s="32">
        <f t="shared" si="28"/>
        <v>0</v>
      </c>
      <c r="B934" s="33"/>
      <c r="C934" s="34">
        <f t="shared" si="29"/>
        <v>0</v>
      </c>
      <c r="D934" s="42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4"/>
    </row>
    <row r="935" spans="1:18" x14ac:dyDescent="0.35">
      <c r="A935" s="32">
        <f t="shared" si="28"/>
        <v>0</v>
      </c>
      <c r="B935" s="33"/>
      <c r="C935" s="34">
        <f t="shared" si="29"/>
        <v>0</v>
      </c>
      <c r="D935" s="42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4"/>
    </row>
    <row r="936" spans="1:18" x14ac:dyDescent="0.35">
      <c r="A936" s="32">
        <f t="shared" si="28"/>
        <v>0</v>
      </c>
      <c r="B936" s="33"/>
      <c r="C936" s="34">
        <f t="shared" si="29"/>
        <v>0</v>
      </c>
      <c r="D936" s="42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4"/>
    </row>
    <row r="937" spans="1:18" x14ac:dyDescent="0.35">
      <c r="A937" s="32">
        <f t="shared" si="28"/>
        <v>0</v>
      </c>
      <c r="B937" s="33"/>
      <c r="C937" s="34">
        <f t="shared" si="29"/>
        <v>0</v>
      </c>
      <c r="D937" s="42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4"/>
    </row>
    <row r="938" spans="1:18" x14ac:dyDescent="0.35">
      <c r="A938" s="32">
        <f t="shared" si="28"/>
        <v>0</v>
      </c>
      <c r="B938" s="33"/>
      <c r="C938" s="34">
        <f t="shared" si="29"/>
        <v>0</v>
      </c>
      <c r="D938" s="42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4"/>
    </row>
    <row r="939" spans="1:18" x14ac:dyDescent="0.35">
      <c r="A939" s="32">
        <f t="shared" si="28"/>
        <v>0</v>
      </c>
      <c r="B939" s="33"/>
      <c r="C939" s="34">
        <f t="shared" si="29"/>
        <v>0</v>
      </c>
      <c r="D939" s="42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4"/>
    </row>
    <row r="940" spans="1:18" x14ac:dyDescent="0.35">
      <c r="A940" s="32">
        <f t="shared" si="28"/>
        <v>0</v>
      </c>
      <c r="B940" s="33"/>
      <c r="C940" s="34">
        <f t="shared" si="29"/>
        <v>0</v>
      </c>
      <c r="D940" s="42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4"/>
    </row>
    <row r="941" spans="1:18" x14ac:dyDescent="0.35">
      <c r="A941" s="32">
        <f t="shared" si="28"/>
        <v>0</v>
      </c>
      <c r="B941" s="33"/>
      <c r="C941" s="34">
        <f t="shared" si="29"/>
        <v>0</v>
      </c>
      <c r="D941" s="42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4"/>
    </row>
    <row r="942" spans="1:18" x14ac:dyDescent="0.35">
      <c r="A942" s="32">
        <f t="shared" si="28"/>
        <v>0</v>
      </c>
      <c r="B942" s="33"/>
      <c r="C942" s="34">
        <f t="shared" si="29"/>
        <v>0</v>
      </c>
      <c r="D942" s="42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4"/>
    </row>
    <row r="943" spans="1:18" x14ac:dyDescent="0.35">
      <c r="A943" s="32">
        <f t="shared" si="28"/>
        <v>0</v>
      </c>
      <c r="B943" s="33"/>
      <c r="C943" s="34">
        <f t="shared" si="29"/>
        <v>0</v>
      </c>
      <c r="D943" s="42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4"/>
    </row>
    <row r="944" spans="1:18" x14ac:dyDescent="0.35">
      <c r="A944" s="32">
        <f t="shared" si="28"/>
        <v>0</v>
      </c>
      <c r="B944" s="33"/>
      <c r="C944" s="34">
        <f t="shared" si="29"/>
        <v>0</v>
      </c>
      <c r="D944" s="42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4"/>
    </row>
    <row r="945" spans="1:18" x14ac:dyDescent="0.35">
      <c r="A945" s="32">
        <f t="shared" si="28"/>
        <v>0</v>
      </c>
      <c r="B945" s="33"/>
      <c r="C945" s="34">
        <f t="shared" si="29"/>
        <v>0</v>
      </c>
      <c r="D945" s="42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4"/>
    </row>
    <row r="946" spans="1:18" x14ac:dyDescent="0.35">
      <c r="A946" s="32">
        <f t="shared" si="28"/>
        <v>0</v>
      </c>
      <c r="B946" s="33"/>
      <c r="C946" s="34">
        <f t="shared" si="29"/>
        <v>0</v>
      </c>
      <c r="D946" s="42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4"/>
    </row>
    <row r="947" spans="1:18" x14ac:dyDescent="0.35">
      <c r="A947" s="32">
        <f t="shared" si="28"/>
        <v>0</v>
      </c>
      <c r="B947" s="33"/>
      <c r="C947" s="34">
        <f t="shared" si="29"/>
        <v>0</v>
      </c>
      <c r="D947" s="42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4"/>
    </row>
    <row r="948" spans="1:18" x14ac:dyDescent="0.35">
      <c r="A948" s="32">
        <f t="shared" si="28"/>
        <v>0</v>
      </c>
      <c r="B948" s="33"/>
      <c r="C948" s="34">
        <f t="shared" si="29"/>
        <v>0</v>
      </c>
      <c r="D948" s="42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4"/>
    </row>
    <row r="949" spans="1:18" x14ac:dyDescent="0.35">
      <c r="A949" s="32">
        <f t="shared" si="28"/>
        <v>0</v>
      </c>
      <c r="B949" s="33"/>
      <c r="C949" s="34">
        <f t="shared" si="29"/>
        <v>0</v>
      </c>
      <c r="D949" s="42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4"/>
    </row>
    <row r="950" spans="1:18" x14ac:dyDescent="0.35">
      <c r="A950" s="32">
        <f t="shared" si="28"/>
        <v>0</v>
      </c>
      <c r="B950" s="33"/>
      <c r="C950" s="34">
        <f t="shared" si="29"/>
        <v>0</v>
      </c>
      <c r="D950" s="42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4"/>
    </row>
    <row r="951" spans="1:18" x14ac:dyDescent="0.35">
      <c r="A951" s="32">
        <f t="shared" si="28"/>
        <v>0</v>
      </c>
      <c r="B951" s="33"/>
      <c r="C951" s="34">
        <f t="shared" si="29"/>
        <v>0</v>
      </c>
      <c r="D951" s="42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4"/>
    </row>
    <row r="952" spans="1:18" x14ac:dyDescent="0.35">
      <c r="A952" s="32">
        <f t="shared" si="28"/>
        <v>0</v>
      </c>
      <c r="B952" s="33"/>
      <c r="C952" s="34">
        <f t="shared" si="29"/>
        <v>0</v>
      </c>
      <c r="D952" s="42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4"/>
    </row>
    <row r="953" spans="1:18" x14ac:dyDescent="0.35">
      <c r="A953" s="32">
        <f t="shared" si="28"/>
        <v>0</v>
      </c>
      <c r="B953" s="33"/>
      <c r="C953" s="34">
        <f t="shared" si="29"/>
        <v>0</v>
      </c>
      <c r="D953" s="42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4"/>
    </row>
    <row r="954" spans="1:18" x14ac:dyDescent="0.35">
      <c r="A954" s="32">
        <f t="shared" si="28"/>
        <v>0</v>
      </c>
      <c r="B954" s="33"/>
      <c r="C954" s="34">
        <f t="shared" si="29"/>
        <v>0</v>
      </c>
      <c r="D954" s="42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4"/>
    </row>
    <row r="955" spans="1:18" x14ac:dyDescent="0.35">
      <c r="A955" s="32">
        <f t="shared" si="28"/>
        <v>0</v>
      </c>
      <c r="B955" s="33"/>
      <c r="C955" s="34">
        <f t="shared" si="29"/>
        <v>0</v>
      </c>
      <c r="D955" s="42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4"/>
    </row>
    <row r="956" spans="1:18" x14ac:dyDescent="0.35">
      <c r="A956" s="32">
        <f t="shared" si="28"/>
        <v>0</v>
      </c>
      <c r="B956" s="33"/>
      <c r="C956" s="34">
        <f t="shared" si="29"/>
        <v>0</v>
      </c>
      <c r="D956" s="42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4"/>
    </row>
    <row r="957" spans="1:18" x14ac:dyDescent="0.35">
      <c r="A957" s="32">
        <f t="shared" si="28"/>
        <v>0</v>
      </c>
      <c r="B957" s="33"/>
      <c r="C957" s="34">
        <f t="shared" si="29"/>
        <v>0</v>
      </c>
      <c r="D957" s="42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4"/>
    </row>
    <row r="958" spans="1:18" x14ac:dyDescent="0.35">
      <c r="A958" s="32">
        <f t="shared" si="28"/>
        <v>0</v>
      </c>
      <c r="B958" s="33"/>
      <c r="C958" s="34">
        <f t="shared" si="29"/>
        <v>0</v>
      </c>
      <c r="D958" s="42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4"/>
    </row>
    <row r="959" spans="1:18" x14ac:dyDescent="0.35">
      <c r="A959" s="32">
        <f t="shared" si="28"/>
        <v>0</v>
      </c>
      <c r="B959" s="33"/>
      <c r="C959" s="34">
        <f t="shared" si="29"/>
        <v>0</v>
      </c>
      <c r="D959" s="42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4"/>
    </row>
    <row r="960" spans="1:18" x14ac:dyDescent="0.35">
      <c r="A960" s="32">
        <f t="shared" si="28"/>
        <v>0</v>
      </c>
      <c r="B960" s="33"/>
      <c r="C960" s="34">
        <f t="shared" si="29"/>
        <v>0</v>
      </c>
      <c r="D960" s="42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4"/>
    </row>
    <row r="961" spans="1:18" x14ac:dyDescent="0.35">
      <c r="A961" s="32">
        <f t="shared" si="28"/>
        <v>0</v>
      </c>
      <c r="B961" s="33"/>
      <c r="C961" s="34">
        <f t="shared" si="29"/>
        <v>0</v>
      </c>
      <c r="D961" s="42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4"/>
    </row>
    <row r="962" spans="1:18" x14ac:dyDescent="0.35">
      <c r="A962" s="32">
        <f t="shared" si="28"/>
        <v>0</v>
      </c>
      <c r="B962" s="33"/>
      <c r="C962" s="34">
        <f t="shared" si="29"/>
        <v>0</v>
      </c>
      <c r="D962" s="42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4"/>
    </row>
    <row r="963" spans="1:18" x14ac:dyDescent="0.35">
      <c r="A963" s="32">
        <f t="shared" si="28"/>
        <v>0</v>
      </c>
      <c r="B963" s="33"/>
      <c r="C963" s="34">
        <f t="shared" si="29"/>
        <v>0</v>
      </c>
      <c r="D963" s="42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4"/>
    </row>
    <row r="964" spans="1:18" x14ac:dyDescent="0.35">
      <c r="A964" s="32">
        <f t="shared" ref="A964:A1027" si="30">F964</f>
        <v>0</v>
      </c>
      <c r="B964" s="33"/>
      <c r="C964" s="34">
        <f t="shared" ref="C964:C1027" si="31">F964</f>
        <v>0</v>
      </c>
      <c r="D964" s="42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4"/>
    </row>
    <row r="965" spans="1:18" x14ac:dyDescent="0.35">
      <c r="A965" s="32">
        <f t="shared" si="30"/>
        <v>0</v>
      </c>
      <c r="B965" s="33"/>
      <c r="C965" s="34">
        <f t="shared" si="31"/>
        <v>0</v>
      </c>
      <c r="D965" s="42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4"/>
    </row>
    <row r="966" spans="1:18" x14ac:dyDescent="0.35">
      <c r="A966" s="32">
        <f t="shared" si="30"/>
        <v>0</v>
      </c>
      <c r="B966" s="33"/>
      <c r="C966" s="34">
        <f t="shared" si="31"/>
        <v>0</v>
      </c>
      <c r="D966" s="42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4"/>
    </row>
    <row r="967" spans="1:18" x14ac:dyDescent="0.35">
      <c r="A967" s="32">
        <f t="shared" si="30"/>
        <v>0</v>
      </c>
      <c r="B967" s="33"/>
      <c r="C967" s="34">
        <f t="shared" si="31"/>
        <v>0</v>
      </c>
      <c r="D967" s="42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4"/>
    </row>
    <row r="968" spans="1:18" x14ac:dyDescent="0.35">
      <c r="A968" s="32">
        <f t="shared" si="30"/>
        <v>0</v>
      </c>
      <c r="B968" s="33"/>
      <c r="C968" s="34">
        <f t="shared" si="31"/>
        <v>0</v>
      </c>
      <c r="D968" s="42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4"/>
    </row>
    <row r="969" spans="1:18" x14ac:dyDescent="0.35">
      <c r="A969" s="32">
        <f t="shared" si="30"/>
        <v>0</v>
      </c>
      <c r="B969" s="33"/>
      <c r="C969" s="34">
        <f t="shared" si="31"/>
        <v>0</v>
      </c>
      <c r="D969" s="42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4"/>
    </row>
    <row r="970" spans="1:18" x14ac:dyDescent="0.35">
      <c r="A970" s="32">
        <f t="shared" si="30"/>
        <v>0</v>
      </c>
      <c r="B970" s="33"/>
      <c r="C970" s="34">
        <f t="shared" si="31"/>
        <v>0</v>
      </c>
      <c r="D970" s="42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4"/>
    </row>
    <row r="971" spans="1:18" x14ac:dyDescent="0.35">
      <c r="A971" s="32">
        <f t="shared" si="30"/>
        <v>0</v>
      </c>
      <c r="B971" s="33"/>
      <c r="C971" s="34">
        <f t="shared" si="31"/>
        <v>0</v>
      </c>
      <c r="D971" s="42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4"/>
    </row>
    <row r="972" spans="1:18" x14ac:dyDescent="0.35">
      <c r="A972" s="32">
        <f t="shared" si="30"/>
        <v>0</v>
      </c>
      <c r="B972" s="33"/>
      <c r="C972" s="34">
        <f t="shared" si="31"/>
        <v>0</v>
      </c>
      <c r="D972" s="42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4"/>
    </row>
    <row r="973" spans="1:18" x14ac:dyDescent="0.35">
      <c r="A973" s="32">
        <f t="shared" si="30"/>
        <v>0</v>
      </c>
      <c r="B973" s="33"/>
      <c r="C973" s="34">
        <f t="shared" si="31"/>
        <v>0</v>
      </c>
      <c r="D973" s="42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4"/>
    </row>
    <row r="974" spans="1:18" x14ac:dyDescent="0.35">
      <c r="A974" s="32">
        <f t="shared" si="30"/>
        <v>0</v>
      </c>
      <c r="B974" s="33"/>
      <c r="C974" s="34">
        <f t="shared" si="31"/>
        <v>0</v>
      </c>
      <c r="D974" s="42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4"/>
    </row>
    <row r="975" spans="1:18" x14ac:dyDescent="0.35">
      <c r="A975" s="32">
        <f t="shared" si="30"/>
        <v>0</v>
      </c>
      <c r="B975" s="33"/>
      <c r="C975" s="34">
        <f t="shared" si="31"/>
        <v>0</v>
      </c>
      <c r="D975" s="42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4"/>
    </row>
    <row r="976" spans="1:18" x14ac:dyDescent="0.35">
      <c r="A976" s="32">
        <f t="shared" si="30"/>
        <v>0</v>
      </c>
      <c r="B976" s="33"/>
      <c r="C976" s="34">
        <f t="shared" si="31"/>
        <v>0</v>
      </c>
      <c r="D976" s="42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4"/>
    </row>
    <row r="977" spans="1:18" x14ac:dyDescent="0.35">
      <c r="A977" s="32">
        <f t="shared" si="30"/>
        <v>0</v>
      </c>
      <c r="B977" s="33"/>
      <c r="C977" s="34">
        <f t="shared" si="31"/>
        <v>0</v>
      </c>
      <c r="D977" s="42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4"/>
    </row>
    <row r="978" spans="1:18" x14ac:dyDescent="0.35">
      <c r="A978" s="32">
        <f t="shared" si="30"/>
        <v>0</v>
      </c>
      <c r="B978" s="33"/>
      <c r="C978" s="34">
        <f t="shared" si="31"/>
        <v>0</v>
      </c>
      <c r="D978" s="42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4"/>
    </row>
    <row r="979" spans="1:18" x14ac:dyDescent="0.35">
      <c r="A979" s="32">
        <f t="shared" si="30"/>
        <v>0</v>
      </c>
      <c r="B979" s="33"/>
      <c r="C979" s="34">
        <f t="shared" si="31"/>
        <v>0</v>
      </c>
      <c r="D979" s="42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4"/>
    </row>
    <row r="980" spans="1:18" x14ac:dyDescent="0.35">
      <c r="A980" s="32">
        <f t="shared" si="30"/>
        <v>0</v>
      </c>
      <c r="B980" s="33"/>
      <c r="C980" s="34">
        <f t="shared" si="31"/>
        <v>0</v>
      </c>
      <c r="D980" s="42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4"/>
    </row>
    <row r="981" spans="1:18" x14ac:dyDescent="0.35">
      <c r="A981" s="32">
        <f t="shared" si="30"/>
        <v>0</v>
      </c>
      <c r="B981" s="33"/>
      <c r="C981" s="34">
        <f t="shared" si="31"/>
        <v>0</v>
      </c>
      <c r="D981" s="42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4"/>
    </row>
    <row r="982" spans="1:18" x14ac:dyDescent="0.35">
      <c r="A982" s="32">
        <f t="shared" si="30"/>
        <v>0</v>
      </c>
      <c r="B982" s="33"/>
      <c r="C982" s="34">
        <f t="shared" si="31"/>
        <v>0</v>
      </c>
      <c r="D982" s="42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4"/>
    </row>
    <row r="983" spans="1:18" x14ac:dyDescent="0.35">
      <c r="A983" s="32">
        <f t="shared" si="30"/>
        <v>0</v>
      </c>
      <c r="B983" s="33"/>
      <c r="C983" s="34">
        <f t="shared" si="31"/>
        <v>0</v>
      </c>
      <c r="D983" s="42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4"/>
    </row>
    <row r="984" spans="1:18" x14ac:dyDescent="0.35">
      <c r="A984" s="32">
        <f t="shared" si="30"/>
        <v>0</v>
      </c>
      <c r="B984" s="33"/>
      <c r="C984" s="34">
        <f t="shared" si="31"/>
        <v>0</v>
      </c>
      <c r="D984" s="42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4"/>
    </row>
    <row r="985" spans="1:18" x14ac:dyDescent="0.35">
      <c r="A985" s="32">
        <f t="shared" si="30"/>
        <v>0</v>
      </c>
      <c r="B985" s="33"/>
      <c r="C985" s="34">
        <f t="shared" si="31"/>
        <v>0</v>
      </c>
      <c r="D985" s="42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4"/>
    </row>
    <row r="986" spans="1:18" x14ac:dyDescent="0.35">
      <c r="A986" s="32">
        <f t="shared" si="30"/>
        <v>0</v>
      </c>
      <c r="B986" s="33"/>
      <c r="C986" s="34">
        <f t="shared" si="31"/>
        <v>0</v>
      </c>
      <c r="D986" s="42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4"/>
    </row>
    <row r="987" spans="1:18" x14ac:dyDescent="0.35">
      <c r="A987" s="32">
        <f t="shared" si="30"/>
        <v>0</v>
      </c>
      <c r="B987" s="33"/>
      <c r="C987" s="34">
        <f t="shared" si="31"/>
        <v>0</v>
      </c>
      <c r="D987" s="42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4"/>
    </row>
    <row r="988" spans="1:18" x14ac:dyDescent="0.35">
      <c r="A988" s="32">
        <f t="shared" si="30"/>
        <v>0</v>
      </c>
      <c r="B988" s="33"/>
      <c r="C988" s="34">
        <f t="shared" si="31"/>
        <v>0</v>
      </c>
      <c r="D988" s="42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4"/>
    </row>
    <row r="989" spans="1:18" x14ac:dyDescent="0.35">
      <c r="A989" s="32">
        <f t="shared" si="30"/>
        <v>0</v>
      </c>
      <c r="B989" s="33"/>
      <c r="C989" s="34">
        <f t="shared" si="31"/>
        <v>0</v>
      </c>
      <c r="D989" s="42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4"/>
    </row>
    <row r="990" spans="1:18" x14ac:dyDescent="0.35">
      <c r="A990" s="32">
        <f t="shared" si="30"/>
        <v>0</v>
      </c>
      <c r="B990" s="33"/>
      <c r="C990" s="34">
        <f t="shared" si="31"/>
        <v>0</v>
      </c>
      <c r="D990" s="42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4"/>
    </row>
    <row r="991" spans="1:18" x14ac:dyDescent="0.35">
      <c r="A991" s="32">
        <f t="shared" si="30"/>
        <v>0</v>
      </c>
      <c r="B991" s="33"/>
      <c r="C991" s="34">
        <f t="shared" si="31"/>
        <v>0</v>
      </c>
      <c r="D991" s="42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4"/>
    </row>
    <row r="992" spans="1:18" x14ac:dyDescent="0.35">
      <c r="A992" s="32">
        <f t="shared" si="30"/>
        <v>0</v>
      </c>
      <c r="B992" s="33"/>
      <c r="C992" s="34">
        <f t="shared" si="31"/>
        <v>0</v>
      </c>
      <c r="D992" s="42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4"/>
    </row>
    <row r="993" spans="1:18" x14ac:dyDescent="0.35">
      <c r="A993" s="32">
        <f t="shared" si="30"/>
        <v>0</v>
      </c>
      <c r="B993" s="33"/>
      <c r="C993" s="34">
        <f t="shared" si="31"/>
        <v>0</v>
      </c>
      <c r="D993" s="42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4"/>
    </row>
    <row r="994" spans="1:18" x14ac:dyDescent="0.35">
      <c r="A994" s="32">
        <f t="shared" si="30"/>
        <v>0</v>
      </c>
      <c r="B994" s="33"/>
      <c r="C994" s="34">
        <f t="shared" si="31"/>
        <v>0</v>
      </c>
      <c r="D994" s="42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4"/>
    </row>
    <row r="995" spans="1:18" x14ac:dyDescent="0.35">
      <c r="A995" s="32">
        <f t="shared" si="30"/>
        <v>0</v>
      </c>
      <c r="B995" s="33"/>
      <c r="C995" s="34">
        <f t="shared" si="31"/>
        <v>0</v>
      </c>
      <c r="D995" s="42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4"/>
    </row>
    <row r="996" spans="1:18" x14ac:dyDescent="0.35">
      <c r="A996" s="32">
        <f t="shared" si="30"/>
        <v>0</v>
      </c>
      <c r="B996" s="33"/>
      <c r="C996" s="34">
        <f t="shared" si="31"/>
        <v>0</v>
      </c>
      <c r="D996" s="42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4"/>
    </row>
    <row r="997" spans="1:18" x14ac:dyDescent="0.35">
      <c r="A997" s="32">
        <f t="shared" si="30"/>
        <v>0</v>
      </c>
      <c r="B997" s="33"/>
      <c r="C997" s="34">
        <f t="shared" si="31"/>
        <v>0</v>
      </c>
      <c r="D997" s="42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4"/>
    </row>
    <row r="998" spans="1:18" x14ac:dyDescent="0.35">
      <c r="A998" s="32">
        <f t="shared" si="30"/>
        <v>0</v>
      </c>
      <c r="B998" s="33"/>
      <c r="C998" s="34">
        <f t="shared" si="31"/>
        <v>0</v>
      </c>
      <c r="D998" s="42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4"/>
    </row>
    <row r="999" spans="1:18" x14ac:dyDescent="0.35">
      <c r="A999" s="32">
        <f t="shared" si="30"/>
        <v>0</v>
      </c>
      <c r="B999" s="33"/>
      <c r="C999" s="34">
        <f t="shared" si="31"/>
        <v>0</v>
      </c>
      <c r="D999" s="42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4"/>
    </row>
    <row r="1000" spans="1:18" x14ac:dyDescent="0.35">
      <c r="A1000" s="32">
        <f t="shared" si="30"/>
        <v>0</v>
      </c>
      <c r="B1000" s="33"/>
      <c r="C1000" s="34">
        <f t="shared" si="31"/>
        <v>0</v>
      </c>
      <c r="D1000" s="42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4"/>
    </row>
    <row r="1001" spans="1:18" x14ac:dyDescent="0.35">
      <c r="A1001" s="32">
        <f t="shared" si="30"/>
        <v>0</v>
      </c>
      <c r="B1001" s="33"/>
      <c r="C1001" s="34">
        <f t="shared" si="31"/>
        <v>0</v>
      </c>
      <c r="D1001" s="42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4"/>
    </row>
    <row r="1002" spans="1:18" x14ac:dyDescent="0.35">
      <c r="A1002" s="32">
        <f t="shared" si="30"/>
        <v>0</v>
      </c>
      <c r="B1002" s="33"/>
      <c r="C1002" s="34">
        <f t="shared" si="31"/>
        <v>0</v>
      </c>
      <c r="D1002" s="42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4"/>
    </row>
    <row r="1003" spans="1:18" x14ac:dyDescent="0.35">
      <c r="A1003" s="32">
        <f t="shared" si="30"/>
        <v>0</v>
      </c>
      <c r="B1003" s="33"/>
      <c r="C1003" s="34">
        <f t="shared" si="31"/>
        <v>0</v>
      </c>
      <c r="D1003" s="42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4"/>
    </row>
    <row r="1004" spans="1:18" x14ac:dyDescent="0.35">
      <c r="A1004" s="32">
        <f t="shared" si="30"/>
        <v>0</v>
      </c>
      <c r="B1004" s="33"/>
      <c r="C1004" s="34">
        <f t="shared" si="31"/>
        <v>0</v>
      </c>
      <c r="D1004" s="42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4"/>
    </row>
    <row r="1005" spans="1:18" x14ac:dyDescent="0.35">
      <c r="A1005" s="32">
        <f t="shared" si="30"/>
        <v>0</v>
      </c>
      <c r="B1005" s="33"/>
      <c r="C1005" s="34">
        <f t="shared" si="31"/>
        <v>0</v>
      </c>
      <c r="D1005" s="42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4"/>
    </row>
    <row r="1006" spans="1:18" x14ac:dyDescent="0.35">
      <c r="A1006" s="32">
        <f t="shared" si="30"/>
        <v>0</v>
      </c>
      <c r="B1006" s="33"/>
      <c r="C1006" s="34">
        <f t="shared" si="31"/>
        <v>0</v>
      </c>
      <c r="D1006" s="42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4"/>
    </row>
    <row r="1007" spans="1:18" x14ac:dyDescent="0.35">
      <c r="A1007" s="32">
        <f t="shared" si="30"/>
        <v>0</v>
      </c>
      <c r="B1007" s="33"/>
      <c r="C1007" s="34">
        <f t="shared" si="31"/>
        <v>0</v>
      </c>
      <c r="D1007" s="42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4"/>
    </row>
    <row r="1008" spans="1:18" x14ac:dyDescent="0.35">
      <c r="A1008" s="32">
        <f t="shared" si="30"/>
        <v>0</v>
      </c>
      <c r="B1008" s="33"/>
      <c r="C1008" s="34">
        <f t="shared" si="31"/>
        <v>0</v>
      </c>
      <c r="D1008" s="42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4"/>
    </row>
    <row r="1009" spans="1:18" x14ac:dyDescent="0.35">
      <c r="A1009" s="32">
        <f t="shared" si="30"/>
        <v>0</v>
      </c>
      <c r="B1009" s="33"/>
      <c r="C1009" s="34">
        <f t="shared" si="31"/>
        <v>0</v>
      </c>
      <c r="D1009" s="42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4"/>
    </row>
    <row r="1010" spans="1:18" x14ac:dyDescent="0.35">
      <c r="A1010" s="32">
        <f t="shared" si="30"/>
        <v>0</v>
      </c>
      <c r="B1010" s="33"/>
      <c r="C1010" s="34">
        <f t="shared" si="31"/>
        <v>0</v>
      </c>
      <c r="D1010" s="42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4"/>
    </row>
    <row r="1011" spans="1:18" x14ac:dyDescent="0.35">
      <c r="A1011" s="32">
        <f t="shared" si="30"/>
        <v>0</v>
      </c>
      <c r="B1011" s="33"/>
      <c r="C1011" s="34">
        <f t="shared" si="31"/>
        <v>0</v>
      </c>
      <c r="D1011" s="42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4"/>
    </row>
    <row r="1012" spans="1:18" x14ac:dyDescent="0.35">
      <c r="A1012" s="32">
        <f t="shared" si="30"/>
        <v>0</v>
      </c>
      <c r="B1012" s="33"/>
      <c r="C1012" s="34">
        <f t="shared" si="31"/>
        <v>0</v>
      </c>
      <c r="D1012" s="42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4"/>
    </row>
    <row r="1013" spans="1:18" x14ac:dyDescent="0.35">
      <c r="A1013" s="32">
        <f t="shared" si="30"/>
        <v>0</v>
      </c>
      <c r="B1013" s="33"/>
      <c r="C1013" s="34">
        <f t="shared" si="31"/>
        <v>0</v>
      </c>
      <c r="D1013" s="42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4"/>
    </row>
    <row r="1014" spans="1:18" x14ac:dyDescent="0.35">
      <c r="A1014" s="32">
        <f t="shared" si="30"/>
        <v>0</v>
      </c>
      <c r="B1014" s="33"/>
      <c r="C1014" s="34">
        <f t="shared" si="31"/>
        <v>0</v>
      </c>
      <c r="D1014" s="42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4"/>
    </row>
    <row r="1015" spans="1:18" x14ac:dyDescent="0.35">
      <c r="A1015" s="32">
        <f t="shared" si="30"/>
        <v>0</v>
      </c>
      <c r="B1015" s="33"/>
      <c r="C1015" s="34">
        <f t="shared" si="31"/>
        <v>0</v>
      </c>
      <c r="D1015" s="42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4"/>
    </row>
    <row r="1016" spans="1:18" x14ac:dyDescent="0.35">
      <c r="A1016" s="32">
        <f t="shared" si="30"/>
        <v>0</v>
      </c>
      <c r="B1016" s="33"/>
      <c r="C1016" s="34">
        <f t="shared" si="31"/>
        <v>0</v>
      </c>
      <c r="D1016" s="42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4"/>
    </row>
    <row r="1017" spans="1:18" x14ac:dyDescent="0.35">
      <c r="A1017" s="32">
        <f t="shared" si="30"/>
        <v>0</v>
      </c>
      <c r="B1017" s="33"/>
      <c r="C1017" s="34">
        <f t="shared" si="31"/>
        <v>0</v>
      </c>
      <c r="D1017" s="42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4"/>
    </row>
    <row r="1018" spans="1:18" x14ac:dyDescent="0.35">
      <c r="A1018" s="32">
        <f t="shared" si="30"/>
        <v>0</v>
      </c>
      <c r="B1018" s="33"/>
      <c r="C1018" s="34">
        <f t="shared" si="31"/>
        <v>0</v>
      </c>
      <c r="D1018" s="42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4"/>
    </row>
    <row r="1019" spans="1:18" x14ac:dyDescent="0.35">
      <c r="A1019" s="32">
        <f t="shared" si="30"/>
        <v>0</v>
      </c>
      <c r="B1019" s="33"/>
      <c r="C1019" s="34">
        <f t="shared" si="31"/>
        <v>0</v>
      </c>
      <c r="D1019" s="42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4"/>
    </row>
    <row r="1020" spans="1:18" x14ac:dyDescent="0.35">
      <c r="A1020" s="32">
        <f t="shared" si="30"/>
        <v>0</v>
      </c>
      <c r="B1020" s="33"/>
      <c r="C1020" s="34">
        <f t="shared" si="31"/>
        <v>0</v>
      </c>
      <c r="D1020" s="42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4"/>
    </row>
    <row r="1021" spans="1:18" x14ac:dyDescent="0.35">
      <c r="A1021" s="32">
        <f t="shared" si="30"/>
        <v>0</v>
      </c>
      <c r="B1021" s="33"/>
      <c r="C1021" s="34">
        <f t="shared" si="31"/>
        <v>0</v>
      </c>
      <c r="D1021" s="42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4"/>
    </row>
    <row r="1022" spans="1:18" x14ac:dyDescent="0.35">
      <c r="A1022" s="32">
        <f t="shared" si="30"/>
        <v>0</v>
      </c>
      <c r="B1022" s="33"/>
      <c r="C1022" s="34">
        <f t="shared" si="31"/>
        <v>0</v>
      </c>
      <c r="D1022" s="42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4"/>
    </row>
    <row r="1023" spans="1:18" x14ac:dyDescent="0.35">
      <c r="A1023" s="32">
        <f t="shared" si="30"/>
        <v>0</v>
      </c>
      <c r="B1023" s="33"/>
      <c r="C1023" s="34">
        <f t="shared" si="31"/>
        <v>0</v>
      </c>
      <c r="D1023" s="42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4"/>
    </row>
    <row r="1024" spans="1:18" x14ac:dyDescent="0.35">
      <c r="A1024" s="32">
        <f t="shared" si="30"/>
        <v>0</v>
      </c>
      <c r="B1024" s="33"/>
      <c r="C1024" s="34">
        <f t="shared" si="31"/>
        <v>0</v>
      </c>
      <c r="D1024" s="42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4"/>
    </row>
    <row r="1025" spans="1:18" x14ac:dyDescent="0.35">
      <c r="A1025" s="32">
        <f t="shared" si="30"/>
        <v>0</v>
      </c>
      <c r="B1025" s="33"/>
      <c r="C1025" s="34">
        <f t="shared" si="31"/>
        <v>0</v>
      </c>
      <c r="D1025" s="42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4"/>
    </row>
    <row r="1026" spans="1:18" x14ac:dyDescent="0.35">
      <c r="A1026" s="32">
        <f t="shared" si="30"/>
        <v>0</v>
      </c>
      <c r="B1026" s="33"/>
      <c r="C1026" s="34">
        <f t="shared" si="31"/>
        <v>0</v>
      </c>
      <c r="D1026" s="42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4"/>
    </row>
    <row r="1027" spans="1:18" x14ac:dyDescent="0.35">
      <c r="A1027" s="32">
        <f t="shared" si="30"/>
        <v>0</v>
      </c>
      <c r="B1027" s="33"/>
      <c r="C1027" s="34">
        <f t="shared" si="31"/>
        <v>0</v>
      </c>
      <c r="D1027" s="42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4"/>
    </row>
    <row r="1028" spans="1:18" x14ac:dyDescent="0.35">
      <c r="A1028" s="32">
        <f t="shared" ref="A1028:A1091" si="32">F1028</f>
        <v>0</v>
      </c>
      <c r="B1028" s="33"/>
      <c r="C1028" s="34">
        <f t="shared" ref="C1028:C1091" si="33">F1028</f>
        <v>0</v>
      </c>
      <c r="D1028" s="42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4"/>
    </row>
    <row r="1029" spans="1:18" x14ac:dyDescent="0.35">
      <c r="A1029" s="32">
        <f t="shared" si="32"/>
        <v>0</v>
      </c>
      <c r="B1029" s="33"/>
      <c r="C1029" s="34">
        <f t="shared" si="33"/>
        <v>0</v>
      </c>
      <c r="D1029" s="42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4"/>
    </row>
    <row r="1030" spans="1:18" x14ac:dyDescent="0.35">
      <c r="A1030" s="32">
        <f t="shared" si="32"/>
        <v>0</v>
      </c>
      <c r="B1030" s="33"/>
      <c r="C1030" s="34">
        <f t="shared" si="33"/>
        <v>0</v>
      </c>
      <c r="D1030" s="42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4"/>
    </row>
    <row r="1031" spans="1:18" x14ac:dyDescent="0.35">
      <c r="A1031" s="32">
        <f t="shared" si="32"/>
        <v>0</v>
      </c>
      <c r="B1031" s="33"/>
      <c r="C1031" s="34">
        <f t="shared" si="33"/>
        <v>0</v>
      </c>
      <c r="D1031" s="42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4"/>
    </row>
    <row r="1032" spans="1:18" x14ac:dyDescent="0.35">
      <c r="A1032" s="32">
        <f t="shared" si="32"/>
        <v>0</v>
      </c>
      <c r="B1032" s="33"/>
      <c r="C1032" s="34">
        <f t="shared" si="33"/>
        <v>0</v>
      </c>
      <c r="D1032" s="42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4"/>
    </row>
    <row r="1033" spans="1:18" x14ac:dyDescent="0.35">
      <c r="A1033" s="32">
        <f t="shared" si="32"/>
        <v>0</v>
      </c>
      <c r="B1033" s="33"/>
      <c r="C1033" s="34">
        <f t="shared" si="33"/>
        <v>0</v>
      </c>
      <c r="D1033" s="42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4"/>
    </row>
    <row r="1034" spans="1:18" x14ac:dyDescent="0.35">
      <c r="A1034" s="32">
        <f t="shared" si="32"/>
        <v>0</v>
      </c>
      <c r="B1034" s="33"/>
      <c r="C1034" s="34">
        <f t="shared" si="33"/>
        <v>0</v>
      </c>
      <c r="D1034" s="42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4"/>
    </row>
    <row r="1035" spans="1:18" x14ac:dyDescent="0.35">
      <c r="A1035" s="32">
        <f t="shared" si="32"/>
        <v>0</v>
      </c>
      <c r="B1035" s="33"/>
      <c r="C1035" s="34">
        <f t="shared" si="33"/>
        <v>0</v>
      </c>
      <c r="D1035" s="42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4"/>
    </row>
    <row r="1036" spans="1:18" x14ac:dyDescent="0.35">
      <c r="A1036" s="32">
        <f t="shared" si="32"/>
        <v>0</v>
      </c>
      <c r="B1036" s="33"/>
      <c r="C1036" s="34">
        <f t="shared" si="33"/>
        <v>0</v>
      </c>
      <c r="D1036" s="42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4"/>
    </row>
    <row r="1037" spans="1:18" x14ac:dyDescent="0.35">
      <c r="A1037" s="32">
        <f t="shared" si="32"/>
        <v>0</v>
      </c>
      <c r="B1037" s="33"/>
      <c r="C1037" s="34">
        <f t="shared" si="33"/>
        <v>0</v>
      </c>
      <c r="D1037" s="42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4"/>
    </row>
    <row r="1038" spans="1:18" x14ac:dyDescent="0.35">
      <c r="A1038" s="32">
        <f t="shared" si="32"/>
        <v>0</v>
      </c>
      <c r="B1038" s="33"/>
      <c r="C1038" s="34">
        <f t="shared" si="33"/>
        <v>0</v>
      </c>
      <c r="D1038" s="42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4"/>
    </row>
    <row r="1039" spans="1:18" x14ac:dyDescent="0.35">
      <c r="A1039" s="32">
        <f t="shared" si="32"/>
        <v>0</v>
      </c>
      <c r="B1039" s="33"/>
      <c r="C1039" s="34">
        <f t="shared" si="33"/>
        <v>0</v>
      </c>
      <c r="D1039" s="42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4"/>
    </row>
    <row r="1040" spans="1:18" x14ac:dyDescent="0.35">
      <c r="A1040" s="32">
        <f t="shared" si="32"/>
        <v>0</v>
      </c>
      <c r="B1040" s="33"/>
      <c r="C1040" s="34">
        <f t="shared" si="33"/>
        <v>0</v>
      </c>
      <c r="D1040" s="42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4"/>
    </row>
    <row r="1041" spans="1:18" x14ac:dyDescent="0.35">
      <c r="A1041" s="32">
        <f t="shared" si="32"/>
        <v>0</v>
      </c>
      <c r="B1041" s="33"/>
      <c r="C1041" s="34">
        <f t="shared" si="33"/>
        <v>0</v>
      </c>
      <c r="D1041" s="42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4"/>
    </row>
    <row r="1042" spans="1:18" x14ac:dyDescent="0.35">
      <c r="A1042" s="32">
        <f t="shared" si="32"/>
        <v>0</v>
      </c>
      <c r="B1042" s="33"/>
      <c r="C1042" s="34">
        <f t="shared" si="33"/>
        <v>0</v>
      </c>
      <c r="D1042" s="42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4"/>
    </row>
    <row r="1043" spans="1:18" x14ac:dyDescent="0.35">
      <c r="A1043" s="32">
        <f t="shared" si="32"/>
        <v>0</v>
      </c>
      <c r="B1043" s="33"/>
      <c r="C1043" s="34">
        <f t="shared" si="33"/>
        <v>0</v>
      </c>
      <c r="D1043" s="42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4"/>
    </row>
    <row r="1044" spans="1:18" x14ac:dyDescent="0.35">
      <c r="A1044" s="32">
        <f t="shared" si="32"/>
        <v>0</v>
      </c>
      <c r="B1044" s="33"/>
      <c r="C1044" s="34">
        <f t="shared" si="33"/>
        <v>0</v>
      </c>
      <c r="D1044" s="42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4"/>
    </row>
    <row r="1045" spans="1:18" x14ac:dyDescent="0.35">
      <c r="A1045" s="32">
        <f t="shared" si="32"/>
        <v>0</v>
      </c>
      <c r="B1045" s="33"/>
      <c r="C1045" s="34">
        <f t="shared" si="33"/>
        <v>0</v>
      </c>
      <c r="D1045" s="42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4"/>
    </row>
    <row r="1046" spans="1:18" x14ac:dyDescent="0.35">
      <c r="A1046" s="32">
        <f t="shared" si="32"/>
        <v>0</v>
      </c>
      <c r="B1046" s="33"/>
      <c r="C1046" s="34">
        <f t="shared" si="33"/>
        <v>0</v>
      </c>
      <c r="D1046" s="42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4"/>
    </row>
    <row r="1047" spans="1:18" x14ac:dyDescent="0.35">
      <c r="A1047" s="32">
        <f t="shared" si="32"/>
        <v>0</v>
      </c>
      <c r="B1047" s="33"/>
      <c r="C1047" s="34">
        <f t="shared" si="33"/>
        <v>0</v>
      </c>
      <c r="D1047" s="42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4"/>
    </row>
    <row r="1048" spans="1:18" x14ac:dyDescent="0.35">
      <c r="A1048" s="32">
        <f t="shared" si="32"/>
        <v>0</v>
      </c>
      <c r="B1048" s="33"/>
      <c r="C1048" s="34">
        <f t="shared" si="33"/>
        <v>0</v>
      </c>
      <c r="D1048" s="42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4"/>
    </row>
    <row r="1049" spans="1:18" x14ac:dyDescent="0.35">
      <c r="A1049" s="32">
        <f t="shared" si="32"/>
        <v>0</v>
      </c>
      <c r="B1049" s="33"/>
      <c r="C1049" s="34">
        <f t="shared" si="33"/>
        <v>0</v>
      </c>
      <c r="D1049" s="42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4"/>
    </row>
    <row r="1050" spans="1:18" x14ac:dyDescent="0.35">
      <c r="A1050" s="32">
        <f t="shared" si="32"/>
        <v>0</v>
      </c>
      <c r="B1050" s="33"/>
      <c r="C1050" s="34">
        <f t="shared" si="33"/>
        <v>0</v>
      </c>
      <c r="D1050" s="42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4"/>
    </row>
    <row r="1051" spans="1:18" x14ac:dyDescent="0.35">
      <c r="A1051" s="32">
        <f t="shared" si="32"/>
        <v>0</v>
      </c>
      <c r="B1051" s="33"/>
      <c r="C1051" s="34">
        <f t="shared" si="33"/>
        <v>0</v>
      </c>
      <c r="D1051" s="42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4"/>
    </row>
    <row r="1052" spans="1:18" x14ac:dyDescent="0.35">
      <c r="A1052" s="32">
        <f t="shared" si="32"/>
        <v>0</v>
      </c>
      <c r="B1052" s="33"/>
      <c r="C1052" s="34">
        <f t="shared" si="33"/>
        <v>0</v>
      </c>
      <c r="D1052" s="42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4"/>
    </row>
    <row r="1053" spans="1:18" x14ac:dyDescent="0.35">
      <c r="A1053" s="32">
        <f t="shared" si="32"/>
        <v>0</v>
      </c>
      <c r="B1053" s="33"/>
      <c r="C1053" s="34">
        <f t="shared" si="33"/>
        <v>0</v>
      </c>
      <c r="D1053" s="42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4"/>
    </row>
    <row r="1054" spans="1:18" x14ac:dyDescent="0.35">
      <c r="A1054" s="32">
        <f t="shared" si="32"/>
        <v>0</v>
      </c>
      <c r="B1054" s="33"/>
      <c r="C1054" s="34">
        <f t="shared" si="33"/>
        <v>0</v>
      </c>
      <c r="D1054" s="42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4"/>
    </row>
    <row r="1055" spans="1:18" x14ac:dyDescent="0.35">
      <c r="A1055" s="32">
        <f t="shared" si="32"/>
        <v>0</v>
      </c>
      <c r="B1055" s="33"/>
      <c r="C1055" s="34">
        <f t="shared" si="33"/>
        <v>0</v>
      </c>
      <c r="D1055" s="42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4"/>
    </row>
    <row r="1056" spans="1:18" x14ac:dyDescent="0.35">
      <c r="A1056" s="32">
        <f t="shared" si="32"/>
        <v>0</v>
      </c>
      <c r="B1056" s="33"/>
      <c r="C1056" s="34">
        <f t="shared" si="33"/>
        <v>0</v>
      </c>
      <c r="D1056" s="42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4"/>
    </row>
    <row r="1057" spans="1:18" x14ac:dyDescent="0.35">
      <c r="A1057" s="32">
        <f t="shared" si="32"/>
        <v>0</v>
      </c>
      <c r="B1057" s="33"/>
      <c r="C1057" s="34">
        <f t="shared" si="33"/>
        <v>0</v>
      </c>
      <c r="D1057" s="42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4"/>
    </row>
    <row r="1058" spans="1:18" x14ac:dyDescent="0.35">
      <c r="A1058" s="32">
        <f t="shared" si="32"/>
        <v>0</v>
      </c>
      <c r="B1058" s="33"/>
      <c r="C1058" s="34">
        <f t="shared" si="33"/>
        <v>0</v>
      </c>
      <c r="D1058" s="42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4"/>
    </row>
    <row r="1059" spans="1:18" x14ac:dyDescent="0.35">
      <c r="A1059" s="32">
        <f t="shared" si="32"/>
        <v>0</v>
      </c>
      <c r="B1059" s="33"/>
      <c r="C1059" s="34">
        <f t="shared" si="33"/>
        <v>0</v>
      </c>
      <c r="D1059" s="42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4"/>
    </row>
    <row r="1060" spans="1:18" x14ac:dyDescent="0.35">
      <c r="A1060" s="32">
        <f t="shared" si="32"/>
        <v>0</v>
      </c>
      <c r="B1060" s="33"/>
      <c r="C1060" s="34">
        <f t="shared" si="33"/>
        <v>0</v>
      </c>
      <c r="D1060" s="42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4"/>
    </row>
    <row r="1061" spans="1:18" x14ac:dyDescent="0.35">
      <c r="A1061" s="32">
        <f t="shared" si="32"/>
        <v>0</v>
      </c>
      <c r="B1061" s="33"/>
      <c r="C1061" s="34">
        <f t="shared" si="33"/>
        <v>0</v>
      </c>
      <c r="D1061" s="42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4"/>
    </row>
    <row r="1062" spans="1:18" x14ac:dyDescent="0.35">
      <c r="A1062" s="32">
        <f t="shared" si="32"/>
        <v>0</v>
      </c>
      <c r="B1062" s="33"/>
      <c r="C1062" s="34">
        <f t="shared" si="33"/>
        <v>0</v>
      </c>
      <c r="D1062" s="42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4"/>
    </row>
    <row r="1063" spans="1:18" x14ac:dyDescent="0.35">
      <c r="A1063" s="32">
        <f t="shared" si="32"/>
        <v>0</v>
      </c>
      <c r="B1063" s="33"/>
      <c r="C1063" s="34">
        <f t="shared" si="33"/>
        <v>0</v>
      </c>
      <c r="D1063" s="42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4"/>
    </row>
    <row r="1064" spans="1:18" x14ac:dyDescent="0.35">
      <c r="A1064" s="32">
        <f t="shared" si="32"/>
        <v>0</v>
      </c>
      <c r="B1064" s="33"/>
      <c r="C1064" s="34">
        <f t="shared" si="33"/>
        <v>0</v>
      </c>
      <c r="D1064" s="42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4"/>
    </row>
    <row r="1065" spans="1:18" x14ac:dyDescent="0.35">
      <c r="A1065" s="32">
        <f t="shared" si="32"/>
        <v>0</v>
      </c>
      <c r="B1065" s="33"/>
      <c r="C1065" s="34">
        <f t="shared" si="33"/>
        <v>0</v>
      </c>
      <c r="D1065" s="42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4"/>
    </row>
    <row r="1066" spans="1:18" x14ac:dyDescent="0.35">
      <c r="A1066" s="32">
        <f t="shared" si="32"/>
        <v>0</v>
      </c>
      <c r="B1066" s="33"/>
      <c r="C1066" s="34">
        <f t="shared" si="33"/>
        <v>0</v>
      </c>
      <c r="D1066" s="42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4"/>
    </row>
    <row r="1067" spans="1:18" x14ac:dyDescent="0.35">
      <c r="A1067" s="32">
        <f t="shared" si="32"/>
        <v>0</v>
      </c>
      <c r="B1067" s="33"/>
      <c r="C1067" s="34">
        <f t="shared" si="33"/>
        <v>0</v>
      </c>
      <c r="D1067" s="42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4"/>
    </row>
    <row r="1068" spans="1:18" x14ac:dyDescent="0.35">
      <c r="A1068" s="32">
        <f t="shared" si="32"/>
        <v>0</v>
      </c>
      <c r="B1068" s="33"/>
      <c r="C1068" s="34">
        <f t="shared" si="33"/>
        <v>0</v>
      </c>
      <c r="D1068" s="42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4"/>
    </row>
    <row r="1069" spans="1:18" x14ac:dyDescent="0.35">
      <c r="A1069" s="32">
        <f t="shared" si="32"/>
        <v>0</v>
      </c>
      <c r="B1069" s="33"/>
      <c r="C1069" s="34">
        <f t="shared" si="33"/>
        <v>0</v>
      </c>
      <c r="D1069" s="42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4"/>
    </row>
    <row r="1070" spans="1:18" x14ac:dyDescent="0.35">
      <c r="A1070" s="32">
        <f t="shared" si="32"/>
        <v>0</v>
      </c>
      <c r="B1070" s="33"/>
      <c r="C1070" s="34">
        <f t="shared" si="33"/>
        <v>0</v>
      </c>
      <c r="D1070" s="42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4"/>
    </row>
    <row r="1071" spans="1:18" x14ac:dyDescent="0.35">
      <c r="A1071" s="32">
        <f t="shared" si="32"/>
        <v>0</v>
      </c>
      <c r="B1071" s="33"/>
      <c r="C1071" s="34">
        <f t="shared" si="33"/>
        <v>0</v>
      </c>
      <c r="D1071" s="42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4"/>
    </row>
    <row r="1072" spans="1:18" x14ac:dyDescent="0.35">
      <c r="A1072" s="32">
        <f t="shared" si="32"/>
        <v>0</v>
      </c>
      <c r="B1072" s="33"/>
      <c r="C1072" s="34">
        <f t="shared" si="33"/>
        <v>0</v>
      </c>
      <c r="D1072" s="42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4"/>
    </row>
    <row r="1073" spans="1:18" x14ac:dyDescent="0.35">
      <c r="A1073" s="32">
        <f t="shared" si="32"/>
        <v>0</v>
      </c>
      <c r="B1073" s="33"/>
      <c r="C1073" s="34">
        <f t="shared" si="33"/>
        <v>0</v>
      </c>
      <c r="D1073" s="42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4"/>
    </row>
    <row r="1074" spans="1:18" x14ac:dyDescent="0.35">
      <c r="A1074" s="32">
        <f t="shared" si="32"/>
        <v>0</v>
      </c>
      <c r="B1074" s="33"/>
      <c r="C1074" s="34">
        <f t="shared" si="33"/>
        <v>0</v>
      </c>
      <c r="D1074" s="42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4"/>
    </row>
    <row r="1075" spans="1:18" x14ac:dyDescent="0.35">
      <c r="A1075" s="32">
        <f t="shared" si="32"/>
        <v>0</v>
      </c>
      <c r="B1075" s="33"/>
      <c r="C1075" s="34">
        <f t="shared" si="33"/>
        <v>0</v>
      </c>
      <c r="D1075" s="42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4"/>
    </row>
    <row r="1076" spans="1:18" x14ac:dyDescent="0.35">
      <c r="A1076" s="32">
        <f t="shared" si="32"/>
        <v>0</v>
      </c>
      <c r="B1076" s="33"/>
      <c r="C1076" s="34">
        <f t="shared" si="33"/>
        <v>0</v>
      </c>
      <c r="D1076" s="42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4"/>
    </row>
    <row r="1077" spans="1:18" x14ac:dyDescent="0.35">
      <c r="A1077" s="32">
        <f t="shared" si="32"/>
        <v>0</v>
      </c>
      <c r="B1077" s="33"/>
      <c r="C1077" s="34">
        <f t="shared" si="33"/>
        <v>0</v>
      </c>
      <c r="D1077" s="42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4"/>
    </row>
    <row r="1078" spans="1:18" x14ac:dyDescent="0.35">
      <c r="A1078" s="32">
        <f t="shared" si="32"/>
        <v>0</v>
      </c>
      <c r="B1078" s="33"/>
      <c r="C1078" s="34">
        <f t="shared" si="33"/>
        <v>0</v>
      </c>
      <c r="D1078" s="42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4"/>
    </row>
    <row r="1079" spans="1:18" x14ac:dyDescent="0.35">
      <c r="A1079" s="32">
        <f t="shared" si="32"/>
        <v>0</v>
      </c>
      <c r="B1079" s="33"/>
      <c r="C1079" s="34">
        <f t="shared" si="33"/>
        <v>0</v>
      </c>
      <c r="D1079" s="42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4"/>
    </row>
    <row r="1080" spans="1:18" x14ac:dyDescent="0.35">
      <c r="A1080" s="32">
        <f t="shared" si="32"/>
        <v>0</v>
      </c>
      <c r="B1080" s="33"/>
      <c r="C1080" s="34">
        <f t="shared" si="33"/>
        <v>0</v>
      </c>
      <c r="D1080" s="42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4"/>
    </row>
    <row r="1081" spans="1:18" x14ac:dyDescent="0.35">
      <c r="A1081" s="32">
        <f t="shared" si="32"/>
        <v>0</v>
      </c>
      <c r="B1081" s="33"/>
      <c r="C1081" s="34">
        <f t="shared" si="33"/>
        <v>0</v>
      </c>
      <c r="D1081" s="42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4"/>
    </row>
    <row r="1082" spans="1:18" x14ac:dyDescent="0.35">
      <c r="A1082" s="32">
        <f t="shared" si="32"/>
        <v>0</v>
      </c>
      <c r="B1082" s="33"/>
      <c r="C1082" s="34">
        <f t="shared" si="33"/>
        <v>0</v>
      </c>
      <c r="D1082" s="42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4"/>
    </row>
    <row r="1083" spans="1:18" x14ac:dyDescent="0.35">
      <c r="A1083" s="32">
        <f t="shared" si="32"/>
        <v>0</v>
      </c>
      <c r="B1083" s="33"/>
      <c r="C1083" s="34">
        <f t="shared" si="33"/>
        <v>0</v>
      </c>
      <c r="D1083" s="42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4"/>
    </row>
    <row r="1084" spans="1:18" x14ac:dyDescent="0.35">
      <c r="A1084" s="32">
        <f t="shared" si="32"/>
        <v>0</v>
      </c>
      <c r="B1084" s="33"/>
      <c r="C1084" s="34">
        <f t="shared" si="33"/>
        <v>0</v>
      </c>
      <c r="D1084" s="42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4"/>
    </row>
    <row r="1085" spans="1:18" x14ac:dyDescent="0.35">
      <c r="A1085" s="32">
        <f t="shared" si="32"/>
        <v>0</v>
      </c>
      <c r="B1085" s="33"/>
      <c r="C1085" s="34">
        <f t="shared" si="33"/>
        <v>0</v>
      </c>
      <c r="D1085" s="42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4"/>
    </row>
    <row r="1086" spans="1:18" x14ac:dyDescent="0.35">
      <c r="A1086" s="32">
        <f t="shared" si="32"/>
        <v>0</v>
      </c>
      <c r="B1086" s="33"/>
      <c r="C1086" s="34">
        <f t="shared" si="33"/>
        <v>0</v>
      </c>
      <c r="D1086" s="42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4"/>
    </row>
    <row r="1087" spans="1:18" x14ac:dyDescent="0.35">
      <c r="A1087" s="32">
        <f t="shared" si="32"/>
        <v>0</v>
      </c>
      <c r="B1087" s="33"/>
      <c r="C1087" s="34">
        <f t="shared" si="33"/>
        <v>0</v>
      </c>
      <c r="D1087" s="42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4"/>
    </row>
    <row r="1088" spans="1:18" x14ac:dyDescent="0.35">
      <c r="A1088" s="32">
        <f t="shared" si="32"/>
        <v>0</v>
      </c>
      <c r="B1088" s="33"/>
      <c r="C1088" s="34">
        <f t="shared" si="33"/>
        <v>0</v>
      </c>
      <c r="D1088" s="42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4"/>
    </row>
    <row r="1089" spans="1:18" x14ac:dyDescent="0.35">
      <c r="A1089" s="32">
        <f t="shared" si="32"/>
        <v>0</v>
      </c>
      <c r="B1089" s="33"/>
      <c r="C1089" s="34">
        <f t="shared" si="33"/>
        <v>0</v>
      </c>
      <c r="D1089" s="42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4"/>
    </row>
    <row r="1090" spans="1:18" x14ac:dyDescent="0.35">
      <c r="A1090" s="32">
        <f t="shared" si="32"/>
        <v>0</v>
      </c>
      <c r="B1090" s="33"/>
      <c r="C1090" s="34">
        <f t="shared" si="33"/>
        <v>0</v>
      </c>
      <c r="D1090" s="42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4"/>
    </row>
    <row r="1091" spans="1:18" x14ac:dyDescent="0.35">
      <c r="A1091" s="32">
        <f t="shared" si="32"/>
        <v>0</v>
      </c>
      <c r="B1091" s="33"/>
      <c r="C1091" s="34">
        <f t="shared" si="33"/>
        <v>0</v>
      </c>
      <c r="D1091" s="42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4"/>
    </row>
    <row r="1092" spans="1:18" x14ac:dyDescent="0.35">
      <c r="A1092" s="32">
        <f t="shared" ref="A1092:A1155" si="34">F1092</f>
        <v>0</v>
      </c>
      <c r="B1092" s="33"/>
      <c r="C1092" s="34">
        <f t="shared" ref="C1092:C1155" si="35">F1092</f>
        <v>0</v>
      </c>
      <c r="D1092" s="42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4"/>
    </row>
    <row r="1093" spans="1:18" x14ac:dyDescent="0.35">
      <c r="A1093" s="32">
        <f t="shared" si="34"/>
        <v>0</v>
      </c>
      <c r="B1093" s="33"/>
      <c r="C1093" s="34">
        <f t="shared" si="35"/>
        <v>0</v>
      </c>
      <c r="D1093" s="42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4"/>
    </row>
    <row r="1094" spans="1:18" x14ac:dyDescent="0.35">
      <c r="A1094" s="32">
        <f t="shared" si="34"/>
        <v>0</v>
      </c>
      <c r="B1094" s="33"/>
      <c r="C1094" s="34">
        <f t="shared" si="35"/>
        <v>0</v>
      </c>
      <c r="D1094" s="42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4"/>
    </row>
    <row r="1095" spans="1:18" x14ac:dyDescent="0.35">
      <c r="A1095" s="32">
        <f t="shared" si="34"/>
        <v>0</v>
      </c>
      <c r="B1095" s="33"/>
      <c r="C1095" s="34">
        <f t="shared" si="35"/>
        <v>0</v>
      </c>
      <c r="D1095" s="42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4"/>
    </row>
    <row r="1096" spans="1:18" x14ac:dyDescent="0.35">
      <c r="A1096" s="32">
        <f t="shared" si="34"/>
        <v>0</v>
      </c>
      <c r="B1096" s="33"/>
      <c r="C1096" s="34">
        <f t="shared" si="35"/>
        <v>0</v>
      </c>
      <c r="D1096" s="42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4"/>
    </row>
    <row r="1097" spans="1:18" x14ac:dyDescent="0.35">
      <c r="A1097" s="32">
        <f t="shared" si="34"/>
        <v>0</v>
      </c>
      <c r="B1097" s="33"/>
      <c r="C1097" s="34">
        <f t="shared" si="35"/>
        <v>0</v>
      </c>
      <c r="D1097" s="42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4"/>
    </row>
    <row r="1098" spans="1:18" x14ac:dyDescent="0.35">
      <c r="A1098" s="32">
        <f t="shared" si="34"/>
        <v>0</v>
      </c>
      <c r="B1098" s="33"/>
      <c r="C1098" s="34">
        <f t="shared" si="35"/>
        <v>0</v>
      </c>
      <c r="D1098" s="42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4"/>
    </row>
    <row r="1099" spans="1:18" x14ac:dyDescent="0.35">
      <c r="A1099" s="32">
        <f t="shared" si="34"/>
        <v>0</v>
      </c>
      <c r="B1099" s="33"/>
      <c r="C1099" s="34">
        <f t="shared" si="35"/>
        <v>0</v>
      </c>
      <c r="D1099" s="42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4"/>
    </row>
    <row r="1100" spans="1:18" x14ac:dyDescent="0.35">
      <c r="A1100" s="32">
        <f t="shared" si="34"/>
        <v>0</v>
      </c>
      <c r="B1100" s="33"/>
      <c r="C1100" s="34">
        <f t="shared" si="35"/>
        <v>0</v>
      </c>
      <c r="D1100" s="42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4"/>
    </row>
    <row r="1101" spans="1:18" x14ac:dyDescent="0.35">
      <c r="A1101" s="32">
        <f t="shared" si="34"/>
        <v>0</v>
      </c>
      <c r="B1101" s="33"/>
      <c r="C1101" s="34">
        <f t="shared" si="35"/>
        <v>0</v>
      </c>
      <c r="D1101" s="42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4"/>
    </row>
    <row r="1102" spans="1:18" x14ac:dyDescent="0.35">
      <c r="A1102" s="32">
        <f t="shared" si="34"/>
        <v>0</v>
      </c>
      <c r="B1102" s="33"/>
      <c r="C1102" s="34">
        <f t="shared" si="35"/>
        <v>0</v>
      </c>
      <c r="D1102" s="42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4"/>
    </row>
    <row r="1103" spans="1:18" x14ac:dyDescent="0.35">
      <c r="A1103" s="32">
        <f t="shared" si="34"/>
        <v>0</v>
      </c>
      <c r="B1103" s="33"/>
      <c r="C1103" s="34">
        <f t="shared" si="35"/>
        <v>0</v>
      </c>
      <c r="D1103" s="42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4"/>
    </row>
    <row r="1104" spans="1:18" x14ac:dyDescent="0.35">
      <c r="A1104" s="32">
        <f t="shared" si="34"/>
        <v>0</v>
      </c>
      <c r="B1104" s="33"/>
      <c r="C1104" s="34">
        <f t="shared" si="35"/>
        <v>0</v>
      </c>
      <c r="D1104" s="42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4"/>
    </row>
    <row r="1105" spans="1:18" x14ac:dyDescent="0.35">
      <c r="A1105" s="32">
        <f t="shared" si="34"/>
        <v>0</v>
      </c>
      <c r="B1105" s="33"/>
      <c r="C1105" s="34">
        <f t="shared" si="35"/>
        <v>0</v>
      </c>
      <c r="D1105" s="42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4"/>
    </row>
    <row r="1106" spans="1:18" x14ac:dyDescent="0.35">
      <c r="A1106" s="32">
        <f t="shared" si="34"/>
        <v>0</v>
      </c>
      <c r="B1106" s="33"/>
      <c r="C1106" s="34">
        <f t="shared" si="35"/>
        <v>0</v>
      </c>
      <c r="D1106" s="42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4"/>
    </row>
    <row r="1107" spans="1:18" x14ac:dyDescent="0.35">
      <c r="A1107" s="32">
        <f t="shared" si="34"/>
        <v>0</v>
      </c>
      <c r="B1107" s="33"/>
      <c r="C1107" s="34">
        <f t="shared" si="35"/>
        <v>0</v>
      </c>
      <c r="D1107" s="42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4"/>
    </row>
    <row r="1108" spans="1:18" x14ac:dyDescent="0.35">
      <c r="A1108" s="32">
        <f t="shared" si="34"/>
        <v>0</v>
      </c>
      <c r="B1108" s="33"/>
      <c r="C1108" s="34">
        <f t="shared" si="35"/>
        <v>0</v>
      </c>
      <c r="D1108" s="42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4"/>
    </row>
    <row r="1109" spans="1:18" x14ac:dyDescent="0.35">
      <c r="A1109" s="32">
        <f t="shared" si="34"/>
        <v>0</v>
      </c>
      <c r="B1109" s="33"/>
      <c r="C1109" s="34">
        <f t="shared" si="35"/>
        <v>0</v>
      </c>
      <c r="D1109" s="42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4"/>
    </row>
    <row r="1110" spans="1:18" x14ac:dyDescent="0.35">
      <c r="A1110" s="32">
        <f t="shared" si="34"/>
        <v>0</v>
      </c>
      <c r="B1110" s="33"/>
      <c r="C1110" s="34">
        <f t="shared" si="35"/>
        <v>0</v>
      </c>
      <c r="D1110" s="42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4"/>
    </row>
    <row r="1111" spans="1:18" x14ac:dyDescent="0.35">
      <c r="A1111" s="32">
        <f t="shared" si="34"/>
        <v>0</v>
      </c>
      <c r="B1111" s="33"/>
      <c r="C1111" s="34">
        <f t="shared" si="35"/>
        <v>0</v>
      </c>
      <c r="D1111" s="42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4"/>
    </row>
    <row r="1112" spans="1:18" x14ac:dyDescent="0.35">
      <c r="A1112" s="32">
        <f t="shared" si="34"/>
        <v>0</v>
      </c>
      <c r="B1112" s="33"/>
      <c r="C1112" s="34">
        <f t="shared" si="35"/>
        <v>0</v>
      </c>
      <c r="D1112" s="42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4"/>
    </row>
    <row r="1113" spans="1:18" x14ac:dyDescent="0.35">
      <c r="A1113" s="32">
        <f t="shared" si="34"/>
        <v>0</v>
      </c>
      <c r="B1113" s="33"/>
      <c r="C1113" s="34">
        <f t="shared" si="35"/>
        <v>0</v>
      </c>
      <c r="D1113" s="42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4"/>
    </row>
    <row r="1114" spans="1:18" x14ac:dyDescent="0.35">
      <c r="A1114" s="32">
        <f t="shared" si="34"/>
        <v>0</v>
      </c>
      <c r="B1114" s="33"/>
      <c r="C1114" s="34">
        <f t="shared" si="35"/>
        <v>0</v>
      </c>
      <c r="D1114" s="42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4"/>
    </row>
    <row r="1115" spans="1:18" x14ac:dyDescent="0.35">
      <c r="A1115" s="32">
        <f t="shared" si="34"/>
        <v>0</v>
      </c>
      <c r="B1115" s="33"/>
      <c r="C1115" s="34">
        <f t="shared" si="35"/>
        <v>0</v>
      </c>
      <c r="D1115" s="42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4"/>
    </row>
    <row r="1116" spans="1:18" x14ac:dyDescent="0.35">
      <c r="A1116" s="32">
        <f t="shared" si="34"/>
        <v>0</v>
      </c>
      <c r="B1116" s="33"/>
      <c r="C1116" s="34">
        <f t="shared" si="35"/>
        <v>0</v>
      </c>
      <c r="D1116" s="42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4"/>
    </row>
    <row r="1117" spans="1:18" x14ac:dyDescent="0.35">
      <c r="A1117" s="32">
        <f t="shared" si="34"/>
        <v>0</v>
      </c>
      <c r="B1117" s="33"/>
      <c r="C1117" s="34">
        <f t="shared" si="35"/>
        <v>0</v>
      </c>
      <c r="D1117" s="42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4"/>
    </row>
    <row r="1118" spans="1:18" x14ac:dyDescent="0.35">
      <c r="A1118" s="32">
        <f t="shared" si="34"/>
        <v>0</v>
      </c>
      <c r="B1118" s="33"/>
      <c r="C1118" s="34">
        <f t="shared" si="35"/>
        <v>0</v>
      </c>
      <c r="D1118" s="42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4"/>
    </row>
    <row r="1119" spans="1:18" x14ac:dyDescent="0.35">
      <c r="A1119" s="32">
        <f t="shared" si="34"/>
        <v>0</v>
      </c>
      <c r="B1119" s="33"/>
      <c r="C1119" s="34">
        <f t="shared" si="35"/>
        <v>0</v>
      </c>
      <c r="D1119" s="42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4"/>
    </row>
    <row r="1120" spans="1:18" x14ac:dyDescent="0.35">
      <c r="A1120" s="32">
        <f t="shared" si="34"/>
        <v>0</v>
      </c>
      <c r="B1120" s="33"/>
      <c r="C1120" s="34">
        <f t="shared" si="35"/>
        <v>0</v>
      </c>
      <c r="D1120" s="42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4"/>
    </row>
    <row r="1121" spans="1:18" x14ac:dyDescent="0.35">
      <c r="A1121" s="32">
        <f t="shared" si="34"/>
        <v>0</v>
      </c>
      <c r="B1121" s="33"/>
      <c r="C1121" s="34">
        <f t="shared" si="35"/>
        <v>0</v>
      </c>
      <c r="D1121" s="42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4"/>
    </row>
    <row r="1122" spans="1:18" x14ac:dyDescent="0.35">
      <c r="A1122" s="32">
        <f t="shared" si="34"/>
        <v>0</v>
      </c>
      <c r="B1122" s="33"/>
      <c r="C1122" s="34">
        <f t="shared" si="35"/>
        <v>0</v>
      </c>
      <c r="D1122" s="42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4"/>
    </row>
    <row r="1123" spans="1:18" x14ac:dyDescent="0.35">
      <c r="A1123" s="32">
        <f t="shared" si="34"/>
        <v>0</v>
      </c>
      <c r="B1123" s="33"/>
      <c r="C1123" s="34">
        <f t="shared" si="35"/>
        <v>0</v>
      </c>
      <c r="D1123" s="42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4"/>
    </row>
    <row r="1124" spans="1:18" x14ac:dyDescent="0.35">
      <c r="A1124" s="32">
        <f t="shared" si="34"/>
        <v>0</v>
      </c>
      <c r="B1124" s="33"/>
      <c r="C1124" s="34">
        <f t="shared" si="35"/>
        <v>0</v>
      </c>
      <c r="D1124" s="42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4"/>
    </row>
    <row r="1125" spans="1:18" x14ac:dyDescent="0.35">
      <c r="A1125" s="32">
        <f t="shared" si="34"/>
        <v>0</v>
      </c>
      <c r="B1125" s="33"/>
      <c r="C1125" s="34">
        <f t="shared" si="35"/>
        <v>0</v>
      </c>
      <c r="D1125" s="42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4"/>
    </row>
    <row r="1126" spans="1:18" x14ac:dyDescent="0.35">
      <c r="A1126" s="32">
        <f t="shared" si="34"/>
        <v>0</v>
      </c>
      <c r="B1126" s="33"/>
      <c r="C1126" s="34">
        <f t="shared" si="35"/>
        <v>0</v>
      </c>
      <c r="D1126" s="42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4"/>
    </row>
    <row r="1127" spans="1:18" x14ac:dyDescent="0.35">
      <c r="A1127" s="32">
        <f t="shared" si="34"/>
        <v>0</v>
      </c>
      <c r="B1127" s="33"/>
      <c r="C1127" s="34">
        <f t="shared" si="35"/>
        <v>0</v>
      </c>
      <c r="D1127" s="42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4"/>
    </row>
    <row r="1128" spans="1:18" x14ac:dyDescent="0.35">
      <c r="A1128" s="32">
        <f t="shared" si="34"/>
        <v>0</v>
      </c>
      <c r="B1128" s="33"/>
      <c r="C1128" s="34">
        <f t="shared" si="35"/>
        <v>0</v>
      </c>
      <c r="D1128" s="42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4"/>
    </row>
    <row r="1129" spans="1:18" x14ac:dyDescent="0.35">
      <c r="A1129" s="32">
        <f t="shared" si="34"/>
        <v>0</v>
      </c>
      <c r="B1129" s="33"/>
      <c r="C1129" s="34">
        <f t="shared" si="35"/>
        <v>0</v>
      </c>
      <c r="D1129" s="42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4"/>
    </row>
    <row r="1130" spans="1:18" x14ac:dyDescent="0.35">
      <c r="A1130" s="32">
        <f t="shared" si="34"/>
        <v>0</v>
      </c>
      <c r="B1130" s="33"/>
      <c r="C1130" s="34">
        <f t="shared" si="35"/>
        <v>0</v>
      </c>
      <c r="D1130" s="42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4"/>
    </row>
    <row r="1131" spans="1:18" x14ac:dyDescent="0.35">
      <c r="A1131" s="32">
        <f t="shared" si="34"/>
        <v>0</v>
      </c>
      <c r="B1131" s="33"/>
      <c r="C1131" s="34">
        <f t="shared" si="35"/>
        <v>0</v>
      </c>
      <c r="D1131" s="42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4"/>
    </row>
    <row r="1132" spans="1:18" x14ac:dyDescent="0.35">
      <c r="A1132" s="32">
        <f t="shared" si="34"/>
        <v>0</v>
      </c>
      <c r="B1132" s="33"/>
      <c r="C1132" s="34">
        <f t="shared" si="35"/>
        <v>0</v>
      </c>
      <c r="D1132" s="42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4"/>
    </row>
    <row r="1133" spans="1:18" x14ac:dyDescent="0.35">
      <c r="A1133" s="32">
        <f t="shared" si="34"/>
        <v>0</v>
      </c>
      <c r="B1133" s="33"/>
      <c r="C1133" s="34">
        <f t="shared" si="35"/>
        <v>0</v>
      </c>
      <c r="D1133" s="42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4"/>
    </row>
    <row r="1134" spans="1:18" x14ac:dyDescent="0.35">
      <c r="A1134" s="32">
        <f t="shared" si="34"/>
        <v>0</v>
      </c>
      <c r="B1134" s="33"/>
      <c r="C1134" s="34">
        <f t="shared" si="35"/>
        <v>0</v>
      </c>
      <c r="D1134" s="42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4"/>
    </row>
    <row r="1135" spans="1:18" x14ac:dyDescent="0.35">
      <c r="A1135" s="32">
        <f t="shared" si="34"/>
        <v>0</v>
      </c>
      <c r="B1135" s="33"/>
      <c r="C1135" s="34">
        <f t="shared" si="35"/>
        <v>0</v>
      </c>
      <c r="D1135" s="42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4"/>
    </row>
    <row r="1136" spans="1:18" x14ac:dyDescent="0.35">
      <c r="A1136" s="32">
        <f t="shared" si="34"/>
        <v>0</v>
      </c>
      <c r="B1136" s="33"/>
      <c r="C1136" s="34">
        <f t="shared" si="35"/>
        <v>0</v>
      </c>
      <c r="D1136" s="42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4"/>
    </row>
    <row r="1137" spans="1:18" x14ac:dyDescent="0.35">
      <c r="A1137" s="32">
        <f t="shared" si="34"/>
        <v>0</v>
      </c>
      <c r="B1137" s="33"/>
      <c r="C1137" s="34">
        <f t="shared" si="35"/>
        <v>0</v>
      </c>
      <c r="D1137" s="42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4"/>
    </row>
    <row r="1138" spans="1:18" x14ac:dyDescent="0.35">
      <c r="A1138" s="32">
        <f t="shared" si="34"/>
        <v>0</v>
      </c>
      <c r="B1138" s="33"/>
      <c r="C1138" s="34">
        <f t="shared" si="35"/>
        <v>0</v>
      </c>
      <c r="D1138" s="42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4"/>
    </row>
    <row r="1139" spans="1:18" x14ac:dyDescent="0.35">
      <c r="A1139" s="32">
        <f t="shared" si="34"/>
        <v>0</v>
      </c>
      <c r="B1139" s="33"/>
      <c r="C1139" s="34">
        <f t="shared" si="35"/>
        <v>0</v>
      </c>
      <c r="D1139" s="42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4"/>
    </row>
    <row r="1140" spans="1:18" x14ac:dyDescent="0.35">
      <c r="A1140" s="32">
        <f t="shared" si="34"/>
        <v>0</v>
      </c>
      <c r="B1140" s="33"/>
      <c r="C1140" s="34">
        <f t="shared" si="35"/>
        <v>0</v>
      </c>
      <c r="D1140" s="42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4"/>
    </row>
    <row r="1141" spans="1:18" x14ac:dyDescent="0.35">
      <c r="A1141" s="32">
        <f t="shared" si="34"/>
        <v>0</v>
      </c>
      <c r="B1141" s="33"/>
      <c r="C1141" s="34">
        <f t="shared" si="35"/>
        <v>0</v>
      </c>
      <c r="D1141" s="42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4"/>
    </row>
    <row r="1142" spans="1:18" x14ac:dyDescent="0.35">
      <c r="A1142" s="32">
        <f t="shared" si="34"/>
        <v>0</v>
      </c>
      <c r="B1142" s="33"/>
      <c r="C1142" s="34">
        <f t="shared" si="35"/>
        <v>0</v>
      </c>
      <c r="D1142" s="42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4"/>
    </row>
    <row r="1143" spans="1:18" x14ac:dyDescent="0.35">
      <c r="A1143" s="32">
        <f t="shared" si="34"/>
        <v>0</v>
      </c>
      <c r="B1143" s="33"/>
      <c r="C1143" s="34">
        <f t="shared" si="35"/>
        <v>0</v>
      </c>
      <c r="D1143" s="42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4"/>
    </row>
    <row r="1144" spans="1:18" x14ac:dyDescent="0.35">
      <c r="A1144" s="32">
        <f t="shared" si="34"/>
        <v>0</v>
      </c>
      <c r="B1144" s="33"/>
      <c r="C1144" s="34">
        <f t="shared" si="35"/>
        <v>0</v>
      </c>
      <c r="D1144" s="42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4"/>
    </row>
    <row r="1145" spans="1:18" x14ac:dyDescent="0.35">
      <c r="A1145" s="32">
        <f t="shared" si="34"/>
        <v>0</v>
      </c>
      <c r="B1145" s="33"/>
      <c r="C1145" s="34">
        <f t="shared" si="35"/>
        <v>0</v>
      </c>
      <c r="D1145" s="42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4"/>
    </row>
    <row r="1146" spans="1:18" x14ac:dyDescent="0.35">
      <c r="A1146" s="32">
        <f t="shared" si="34"/>
        <v>0</v>
      </c>
      <c r="B1146" s="33"/>
      <c r="C1146" s="34">
        <f t="shared" si="35"/>
        <v>0</v>
      </c>
      <c r="D1146" s="42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4"/>
    </row>
    <row r="1147" spans="1:18" x14ac:dyDescent="0.35">
      <c r="A1147" s="32">
        <f t="shared" si="34"/>
        <v>0</v>
      </c>
      <c r="B1147" s="33"/>
      <c r="C1147" s="34">
        <f t="shared" si="35"/>
        <v>0</v>
      </c>
      <c r="D1147" s="42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4"/>
    </row>
    <row r="1148" spans="1:18" x14ac:dyDescent="0.35">
      <c r="A1148" s="32">
        <f t="shared" si="34"/>
        <v>0</v>
      </c>
      <c r="B1148" s="33"/>
      <c r="C1148" s="34">
        <f t="shared" si="35"/>
        <v>0</v>
      </c>
      <c r="D1148" s="42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4"/>
    </row>
    <row r="1149" spans="1:18" x14ac:dyDescent="0.35">
      <c r="A1149" s="32">
        <f t="shared" si="34"/>
        <v>0</v>
      </c>
      <c r="B1149" s="33"/>
      <c r="C1149" s="34">
        <f t="shared" si="35"/>
        <v>0</v>
      </c>
      <c r="D1149" s="42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4"/>
    </row>
    <row r="1150" spans="1:18" x14ac:dyDescent="0.35">
      <c r="A1150" s="32">
        <f t="shared" si="34"/>
        <v>0</v>
      </c>
      <c r="B1150" s="33"/>
      <c r="C1150" s="34">
        <f t="shared" si="35"/>
        <v>0</v>
      </c>
      <c r="D1150" s="42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4"/>
    </row>
    <row r="1151" spans="1:18" x14ac:dyDescent="0.35">
      <c r="A1151" s="32">
        <f t="shared" si="34"/>
        <v>0</v>
      </c>
      <c r="B1151" s="33"/>
      <c r="C1151" s="34">
        <f t="shared" si="35"/>
        <v>0</v>
      </c>
      <c r="D1151" s="42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4"/>
    </row>
    <row r="1152" spans="1:18" x14ac:dyDescent="0.35">
      <c r="A1152" s="32">
        <f t="shared" si="34"/>
        <v>0</v>
      </c>
      <c r="B1152" s="33"/>
      <c r="C1152" s="34">
        <f t="shared" si="35"/>
        <v>0</v>
      </c>
      <c r="D1152" s="42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4"/>
    </row>
    <row r="1153" spans="1:18" x14ac:dyDescent="0.35">
      <c r="A1153" s="32">
        <f t="shared" si="34"/>
        <v>0</v>
      </c>
      <c r="B1153" s="33"/>
      <c r="C1153" s="34">
        <f t="shared" si="35"/>
        <v>0</v>
      </c>
      <c r="D1153" s="42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4"/>
    </row>
    <row r="1154" spans="1:18" x14ac:dyDescent="0.35">
      <c r="A1154" s="32">
        <f t="shared" si="34"/>
        <v>0</v>
      </c>
      <c r="B1154" s="33"/>
      <c r="C1154" s="34">
        <f t="shared" si="35"/>
        <v>0</v>
      </c>
      <c r="D1154" s="42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4"/>
    </row>
    <row r="1155" spans="1:18" x14ac:dyDescent="0.35">
      <c r="A1155" s="32">
        <f t="shared" si="34"/>
        <v>0</v>
      </c>
      <c r="B1155" s="33"/>
      <c r="C1155" s="34">
        <f t="shared" si="35"/>
        <v>0</v>
      </c>
      <c r="D1155" s="42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4"/>
    </row>
    <row r="1156" spans="1:18" x14ac:dyDescent="0.35">
      <c r="A1156" s="32">
        <f t="shared" ref="A1156:A1219" si="36">F1156</f>
        <v>0</v>
      </c>
      <c r="B1156" s="33"/>
      <c r="C1156" s="34">
        <f t="shared" ref="C1156:C1219" si="37">F1156</f>
        <v>0</v>
      </c>
      <c r="D1156" s="42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4"/>
    </row>
    <row r="1157" spans="1:18" x14ac:dyDescent="0.35">
      <c r="A1157" s="32">
        <f t="shared" si="36"/>
        <v>0</v>
      </c>
      <c r="B1157" s="33"/>
      <c r="C1157" s="34">
        <f t="shared" si="37"/>
        <v>0</v>
      </c>
      <c r="D1157" s="42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4"/>
    </row>
    <row r="1158" spans="1:18" x14ac:dyDescent="0.35">
      <c r="A1158" s="32">
        <f t="shared" si="36"/>
        <v>0</v>
      </c>
      <c r="B1158" s="33"/>
      <c r="C1158" s="34">
        <f t="shared" si="37"/>
        <v>0</v>
      </c>
      <c r="D1158" s="42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4"/>
    </row>
    <row r="1159" spans="1:18" x14ac:dyDescent="0.35">
      <c r="A1159" s="32">
        <f t="shared" si="36"/>
        <v>0</v>
      </c>
      <c r="B1159" s="33"/>
      <c r="C1159" s="34">
        <f t="shared" si="37"/>
        <v>0</v>
      </c>
      <c r="D1159" s="42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4"/>
    </row>
    <row r="1160" spans="1:18" x14ac:dyDescent="0.35">
      <c r="A1160" s="32">
        <f t="shared" si="36"/>
        <v>0</v>
      </c>
      <c r="B1160" s="33"/>
      <c r="C1160" s="34">
        <f t="shared" si="37"/>
        <v>0</v>
      </c>
      <c r="D1160" s="42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4"/>
    </row>
    <row r="1161" spans="1:18" x14ac:dyDescent="0.35">
      <c r="A1161" s="32">
        <f t="shared" si="36"/>
        <v>0</v>
      </c>
      <c r="B1161" s="33"/>
      <c r="C1161" s="34">
        <f t="shared" si="37"/>
        <v>0</v>
      </c>
      <c r="D1161" s="42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4"/>
    </row>
    <row r="1162" spans="1:18" x14ac:dyDescent="0.35">
      <c r="A1162" s="32">
        <f t="shared" si="36"/>
        <v>0</v>
      </c>
      <c r="B1162" s="33"/>
      <c r="C1162" s="34">
        <f t="shared" si="37"/>
        <v>0</v>
      </c>
      <c r="D1162" s="42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4"/>
    </row>
    <row r="1163" spans="1:18" x14ac:dyDescent="0.35">
      <c r="A1163" s="32">
        <f t="shared" si="36"/>
        <v>0</v>
      </c>
      <c r="B1163" s="33"/>
      <c r="C1163" s="34">
        <f t="shared" si="37"/>
        <v>0</v>
      </c>
      <c r="D1163" s="42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4"/>
    </row>
    <row r="1164" spans="1:18" x14ac:dyDescent="0.35">
      <c r="A1164" s="32">
        <f t="shared" si="36"/>
        <v>0</v>
      </c>
      <c r="B1164" s="33"/>
      <c r="C1164" s="34">
        <f t="shared" si="37"/>
        <v>0</v>
      </c>
      <c r="D1164" s="42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4"/>
    </row>
    <row r="1165" spans="1:18" x14ac:dyDescent="0.35">
      <c r="A1165" s="32">
        <f t="shared" si="36"/>
        <v>0</v>
      </c>
      <c r="B1165" s="33"/>
      <c r="C1165" s="34">
        <f t="shared" si="37"/>
        <v>0</v>
      </c>
      <c r="D1165" s="42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4"/>
    </row>
    <row r="1166" spans="1:18" x14ac:dyDescent="0.35">
      <c r="A1166" s="32">
        <f t="shared" si="36"/>
        <v>0</v>
      </c>
      <c r="B1166" s="33"/>
      <c r="C1166" s="34">
        <f t="shared" si="37"/>
        <v>0</v>
      </c>
      <c r="D1166" s="42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4"/>
    </row>
    <row r="1167" spans="1:18" x14ac:dyDescent="0.35">
      <c r="A1167" s="32">
        <f t="shared" si="36"/>
        <v>0</v>
      </c>
      <c r="B1167" s="33"/>
      <c r="C1167" s="34">
        <f t="shared" si="37"/>
        <v>0</v>
      </c>
      <c r="D1167" s="42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4"/>
    </row>
    <row r="1168" spans="1:18" x14ac:dyDescent="0.35">
      <c r="A1168" s="32">
        <f t="shared" si="36"/>
        <v>0</v>
      </c>
      <c r="B1168" s="33"/>
      <c r="C1168" s="34">
        <f t="shared" si="37"/>
        <v>0</v>
      </c>
      <c r="D1168" s="42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4"/>
    </row>
    <row r="1169" spans="1:18" x14ac:dyDescent="0.35">
      <c r="A1169" s="32">
        <f t="shared" si="36"/>
        <v>0</v>
      </c>
      <c r="B1169" s="33"/>
      <c r="C1169" s="34">
        <f t="shared" si="37"/>
        <v>0</v>
      </c>
      <c r="D1169" s="42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4"/>
    </row>
    <row r="1170" spans="1:18" x14ac:dyDescent="0.35">
      <c r="A1170" s="32">
        <f t="shared" si="36"/>
        <v>0</v>
      </c>
      <c r="B1170" s="33"/>
      <c r="C1170" s="34">
        <f t="shared" si="37"/>
        <v>0</v>
      </c>
      <c r="D1170" s="42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4"/>
    </row>
    <row r="1171" spans="1:18" x14ac:dyDescent="0.35">
      <c r="A1171" s="32">
        <f t="shared" si="36"/>
        <v>0</v>
      </c>
      <c r="B1171" s="33"/>
      <c r="C1171" s="34">
        <f t="shared" si="37"/>
        <v>0</v>
      </c>
      <c r="D1171" s="42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4"/>
    </row>
    <row r="1172" spans="1:18" x14ac:dyDescent="0.35">
      <c r="A1172" s="32">
        <f t="shared" si="36"/>
        <v>0</v>
      </c>
      <c r="B1172" s="33"/>
      <c r="C1172" s="34">
        <f t="shared" si="37"/>
        <v>0</v>
      </c>
      <c r="D1172" s="42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4"/>
    </row>
    <row r="1173" spans="1:18" x14ac:dyDescent="0.35">
      <c r="A1173" s="32">
        <f t="shared" si="36"/>
        <v>0</v>
      </c>
      <c r="B1173" s="33"/>
      <c r="C1173" s="34">
        <f t="shared" si="37"/>
        <v>0</v>
      </c>
      <c r="D1173" s="42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4"/>
    </row>
    <row r="1174" spans="1:18" x14ac:dyDescent="0.35">
      <c r="A1174" s="32">
        <f t="shared" si="36"/>
        <v>0</v>
      </c>
      <c r="B1174" s="33"/>
      <c r="C1174" s="34">
        <f t="shared" si="37"/>
        <v>0</v>
      </c>
      <c r="D1174" s="42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4"/>
    </row>
    <row r="1175" spans="1:18" x14ac:dyDescent="0.35">
      <c r="A1175" s="32">
        <f t="shared" si="36"/>
        <v>0</v>
      </c>
      <c r="B1175" s="33"/>
      <c r="C1175" s="34">
        <f t="shared" si="37"/>
        <v>0</v>
      </c>
      <c r="D1175" s="42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4"/>
    </row>
    <row r="1176" spans="1:18" x14ac:dyDescent="0.35">
      <c r="A1176" s="32">
        <f t="shared" si="36"/>
        <v>0</v>
      </c>
      <c r="B1176" s="33"/>
      <c r="C1176" s="34">
        <f t="shared" si="37"/>
        <v>0</v>
      </c>
      <c r="D1176" s="42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4"/>
    </row>
    <row r="1177" spans="1:18" x14ac:dyDescent="0.35">
      <c r="A1177" s="32">
        <f t="shared" si="36"/>
        <v>0</v>
      </c>
      <c r="B1177" s="33"/>
      <c r="C1177" s="34">
        <f t="shared" si="37"/>
        <v>0</v>
      </c>
      <c r="D1177" s="42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4"/>
    </row>
    <row r="1178" spans="1:18" x14ac:dyDescent="0.35">
      <c r="A1178" s="32">
        <f t="shared" si="36"/>
        <v>0</v>
      </c>
      <c r="B1178" s="33"/>
      <c r="C1178" s="34">
        <f t="shared" si="37"/>
        <v>0</v>
      </c>
      <c r="D1178" s="42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4"/>
    </row>
    <row r="1179" spans="1:18" x14ac:dyDescent="0.35">
      <c r="A1179" s="32">
        <f t="shared" si="36"/>
        <v>0</v>
      </c>
      <c r="B1179" s="33"/>
      <c r="C1179" s="34">
        <f t="shared" si="37"/>
        <v>0</v>
      </c>
      <c r="D1179" s="42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4"/>
    </row>
    <row r="1180" spans="1:18" x14ac:dyDescent="0.35">
      <c r="A1180" s="32">
        <f t="shared" si="36"/>
        <v>0</v>
      </c>
      <c r="B1180" s="33"/>
      <c r="C1180" s="34">
        <f t="shared" si="37"/>
        <v>0</v>
      </c>
      <c r="D1180" s="42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4"/>
    </row>
    <row r="1181" spans="1:18" x14ac:dyDescent="0.35">
      <c r="A1181" s="32">
        <f t="shared" si="36"/>
        <v>0</v>
      </c>
      <c r="B1181" s="33"/>
      <c r="C1181" s="34">
        <f t="shared" si="37"/>
        <v>0</v>
      </c>
      <c r="D1181" s="42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4"/>
    </row>
    <row r="1182" spans="1:18" x14ac:dyDescent="0.35">
      <c r="A1182" s="32">
        <f t="shared" si="36"/>
        <v>0</v>
      </c>
      <c r="B1182" s="33"/>
      <c r="C1182" s="34">
        <f t="shared" si="37"/>
        <v>0</v>
      </c>
      <c r="D1182" s="42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4"/>
    </row>
    <row r="1183" spans="1:18" x14ac:dyDescent="0.35">
      <c r="A1183" s="32">
        <f t="shared" si="36"/>
        <v>0</v>
      </c>
      <c r="B1183" s="33"/>
      <c r="C1183" s="34">
        <f t="shared" si="37"/>
        <v>0</v>
      </c>
      <c r="D1183" s="42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4"/>
    </row>
    <row r="1184" spans="1:18" x14ac:dyDescent="0.35">
      <c r="A1184" s="32">
        <f t="shared" si="36"/>
        <v>0</v>
      </c>
      <c r="B1184" s="33"/>
      <c r="C1184" s="34">
        <f t="shared" si="37"/>
        <v>0</v>
      </c>
      <c r="D1184" s="42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4"/>
    </row>
    <row r="1185" spans="1:18" x14ac:dyDescent="0.35">
      <c r="A1185" s="32">
        <f t="shared" si="36"/>
        <v>0</v>
      </c>
      <c r="B1185" s="33"/>
      <c r="C1185" s="34">
        <f t="shared" si="37"/>
        <v>0</v>
      </c>
      <c r="D1185" s="42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4"/>
    </row>
    <row r="1186" spans="1:18" x14ac:dyDescent="0.35">
      <c r="A1186" s="32">
        <f t="shared" si="36"/>
        <v>0</v>
      </c>
      <c r="B1186" s="33"/>
      <c r="C1186" s="34">
        <f t="shared" si="37"/>
        <v>0</v>
      </c>
      <c r="D1186" s="42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4"/>
    </row>
    <row r="1187" spans="1:18" x14ac:dyDescent="0.35">
      <c r="A1187" s="32">
        <f t="shared" si="36"/>
        <v>0</v>
      </c>
      <c r="B1187" s="33"/>
      <c r="C1187" s="34">
        <f t="shared" si="37"/>
        <v>0</v>
      </c>
      <c r="D1187" s="42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4"/>
    </row>
    <row r="1188" spans="1:18" x14ac:dyDescent="0.35">
      <c r="A1188" s="32">
        <f t="shared" si="36"/>
        <v>0</v>
      </c>
      <c r="B1188" s="33"/>
      <c r="C1188" s="34">
        <f t="shared" si="37"/>
        <v>0</v>
      </c>
      <c r="D1188" s="42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4"/>
    </row>
    <row r="1189" spans="1:18" x14ac:dyDescent="0.35">
      <c r="A1189" s="32">
        <f t="shared" si="36"/>
        <v>0</v>
      </c>
      <c r="B1189" s="33"/>
      <c r="C1189" s="34">
        <f t="shared" si="37"/>
        <v>0</v>
      </c>
      <c r="D1189" s="42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4"/>
    </row>
    <row r="1190" spans="1:18" x14ac:dyDescent="0.35">
      <c r="A1190" s="32">
        <f t="shared" si="36"/>
        <v>0</v>
      </c>
      <c r="B1190" s="33"/>
      <c r="C1190" s="34">
        <f t="shared" si="37"/>
        <v>0</v>
      </c>
      <c r="D1190" s="42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4"/>
    </row>
    <row r="1191" spans="1:18" x14ac:dyDescent="0.35">
      <c r="A1191" s="32">
        <f t="shared" si="36"/>
        <v>0</v>
      </c>
      <c r="B1191" s="33"/>
      <c r="C1191" s="34">
        <f t="shared" si="37"/>
        <v>0</v>
      </c>
      <c r="D1191" s="42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4"/>
    </row>
    <row r="1192" spans="1:18" x14ac:dyDescent="0.35">
      <c r="A1192" s="32">
        <f t="shared" si="36"/>
        <v>0</v>
      </c>
      <c r="B1192" s="33"/>
      <c r="C1192" s="34">
        <f t="shared" si="37"/>
        <v>0</v>
      </c>
      <c r="D1192" s="42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4"/>
    </row>
    <row r="1193" spans="1:18" x14ac:dyDescent="0.35">
      <c r="A1193" s="32">
        <f t="shared" si="36"/>
        <v>0</v>
      </c>
      <c r="B1193" s="33"/>
      <c r="C1193" s="34">
        <f t="shared" si="37"/>
        <v>0</v>
      </c>
      <c r="D1193" s="42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4"/>
    </row>
    <row r="1194" spans="1:18" x14ac:dyDescent="0.35">
      <c r="A1194" s="32">
        <f t="shared" si="36"/>
        <v>0</v>
      </c>
      <c r="B1194" s="33"/>
      <c r="C1194" s="34">
        <f t="shared" si="37"/>
        <v>0</v>
      </c>
      <c r="D1194" s="42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4"/>
    </row>
    <row r="1195" spans="1:18" x14ac:dyDescent="0.35">
      <c r="A1195" s="32">
        <f t="shared" si="36"/>
        <v>0</v>
      </c>
      <c r="B1195" s="33"/>
      <c r="C1195" s="34">
        <f t="shared" si="37"/>
        <v>0</v>
      </c>
      <c r="D1195" s="42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4"/>
    </row>
    <row r="1196" spans="1:18" x14ac:dyDescent="0.35">
      <c r="A1196" s="32">
        <f t="shared" si="36"/>
        <v>0</v>
      </c>
      <c r="B1196" s="33"/>
      <c r="C1196" s="34">
        <f t="shared" si="37"/>
        <v>0</v>
      </c>
      <c r="D1196" s="42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4"/>
    </row>
    <row r="1197" spans="1:18" x14ac:dyDescent="0.35">
      <c r="A1197" s="32">
        <f t="shared" si="36"/>
        <v>0</v>
      </c>
      <c r="B1197" s="33"/>
      <c r="C1197" s="34">
        <f t="shared" si="37"/>
        <v>0</v>
      </c>
      <c r="D1197" s="42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4"/>
    </row>
    <row r="1198" spans="1:18" x14ac:dyDescent="0.35">
      <c r="A1198" s="32">
        <f t="shared" si="36"/>
        <v>0</v>
      </c>
      <c r="B1198" s="33"/>
      <c r="C1198" s="34">
        <f t="shared" si="37"/>
        <v>0</v>
      </c>
      <c r="D1198" s="42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4"/>
    </row>
    <row r="1199" spans="1:18" x14ac:dyDescent="0.35">
      <c r="A1199" s="32">
        <f t="shared" si="36"/>
        <v>0</v>
      </c>
      <c r="B1199" s="33"/>
      <c r="C1199" s="34">
        <f t="shared" si="37"/>
        <v>0</v>
      </c>
      <c r="D1199" s="42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4"/>
    </row>
    <row r="1200" spans="1:18" x14ac:dyDescent="0.35">
      <c r="A1200" s="32">
        <f t="shared" si="36"/>
        <v>0</v>
      </c>
      <c r="B1200" s="33"/>
      <c r="C1200" s="34">
        <f t="shared" si="37"/>
        <v>0</v>
      </c>
      <c r="D1200" s="42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4"/>
    </row>
    <row r="1201" spans="1:18" x14ac:dyDescent="0.35">
      <c r="A1201" s="32">
        <f t="shared" si="36"/>
        <v>0</v>
      </c>
      <c r="B1201" s="33"/>
      <c r="C1201" s="34">
        <f t="shared" si="37"/>
        <v>0</v>
      </c>
      <c r="D1201" s="42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4"/>
    </row>
    <row r="1202" spans="1:18" x14ac:dyDescent="0.35">
      <c r="A1202" s="32">
        <f t="shared" si="36"/>
        <v>0</v>
      </c>
      <c r="B1202" s="33"/>
      <c r="C1202" s="34">
        <f t="shared" si="37"/>
        <v>0</v>
      </c>
      <c r="D1202" s="42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4"/>
    </row>
    <row r="1203" spans="1:18" x14ac:dyDescent="0.35">
      <c r="A1203" s="32">
        <f t="shared" si="36"/>
        <v>0</v>
      </c>
      <c r="B1203" s="33"/>
      <c r="C1203" s="34">
        <f t="shared" si="37"/>
        <v>0</v>
      </c>
      <c r="D1203" s="42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4"/>
    </row>
    <row r="1204" spans="1:18" x14ac:dyDescent="0.35">
      <c r="A1204" s="32">
        <f t="shared" si="36"/>
        <v>0</v>
      </c>
      <c r="B1204" s="33"/>
      <c r="C1204" s="34">
        <f t="shared" si="37"/>
        <v>0</v>
      </c>
      <c r="D1204" s="42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4"/>
    </row>
    <row r="1205" spans="1:18" x14ac:dyDescent="0.35">
      <c r="A1205" s="32">
        <f t="shared" si="36"/>
        <v>0</v>
      </c>
      <c r="B1205" s="33"/>
      <c r="C1205" s="34">
        <f t="shared" si="37"/>
        <v>0</v>
      </c>
      <c r="D1205" s="42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4"/>
    </row>
    <row r="1206" spans="1:18" x14ac:dyDescent="0.35">
      <c r="A1206" s="32">
        <f t="shared" si="36"/>
        <v>0</v>
      </c>
      <c r="B1206" s="33"/>
      <c r="C1206" s="34">
        <f t="shared" si="37"/>
        <v>0</v>
      </c>
      <c r="D1206" s="42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4"/>
    </row>
    <row r="1207" spans="1:18" x14ac:dyDescent="0.35">
      <c r="A1207" s="32">
        <f t="shared" si="36"/>
        <v>0</v>
      </c>
      <c r="B1207" s="33"/>
      <c r="C1207" s="34">
        <f t="shared" si="37"/>
        <v>0</v>
      </c>
      <c r="D1207" s="42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4"/>
    </row>
    <row r="1208" spans="1:18" x14ac:dyDescent="0.35">
      <c r="A1208" s="32">
        <f t="shared" si="36"/>
        <v>0</v>
      </c>
      <c r="B1208" s="33"/>
      <c r="C1208" s="34">
        <f t="shared" si="37"/>
        <v>0</v>
      </c>
      <c r="D1208" s="42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4"/>
    </row>
    <row r="1209" spans="1:18" x14ac:dyDescent="0.35">
      <c r="A1209" s="32">
        <f t="shared" si="36"/>
        <v>0</v>
      </c>
      <c r="B1209" s="33"/>
      <c r="C1209" s="34">
        <f t="shared" si="37"/>
        <v>0</v>
      </c>
      <c r="D1209" s="42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4"/>
    </row>
    <row r="1210" spans="1:18" x14ac:dyDescent="0.35">
      <c r="A1210" s="32">
        <f t="shared" si="36"/>
        <v>0</v>
      </c>
      <c r="B1210" s="33"/>
      <c r="C1210" s="34">
        <f t="shared" si="37"/>
        <v>0</v>
      </c>
      <c r="D1210" s="42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4"/>
    </row>
    <row r="1211" spans="1:18" x14ac:dyDescent="0.35">
      <c r="A1211" s="32">
        <f t="shared" si="36"/>
        <v>0</v>
      </c>
      <c r="B1211" s="33"/>
      <c r="C1211" s="34">
        <f t="shared" si="37"/>
        <v>0</v>
      </c>
      <c r="D1211" s="42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4"/>
    </row>
    <row r="1212" spans="1:18" x14ac:dyDescent="0.35">
      <c r="A1212" s="32">
        <f t="shared" si="36"/>
        <v>0</v>
      </c>
      <c r="B1212" s="33"/>
      <c r="C1212" s="34">
        <f t="shared" si="37"/>
        <v>0</v>
      </c>
      <c r="D1212" s="42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4"/>
    </row>
    <row r="1213" spans="1:18" x14ac:dyDescent="0.35">
      <c r="A1213" s="32">
        <f t="shared" si="36"/>
        <v>0</v>
      </c>
      <c r="B1213" s="33"/>
      <c r="C1213" s="34">
        <f t="shared" si="37"/>
        <v>0</v>
      </c>
      <c r="D1213" s="42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4"/>
    </row>
    <row r="1214" spans="1:18" x14ac:dyDescent="0.35">
      <c r="A1214" s="32">
        <f t="shared" si="36"/>
        <v>0</v>
      </c>
      <c r="B1214" s="33"/>
      <c r="C1214" s="34">
        <f t="shared" si="37"/>
        <v>0</v>
      </c>
      <c r="D1214" s="42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4"/>
    </row>
    <row r="1215" spans="1:18" x14ac:dyDescent="0.35">
      <c r="A1215" s="32">
        <f t="shared" si="36"/>
        <v>0</v>
      </c>
      <c r="B1215" s="33"/>
      <c r="C1215" s="34">
        <f t="shared" si="37"/>
        <v>0</v>
      </c>
      <c r="D1215" s="42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4"/>
    </row>
    <row r="1216" spans="1:18" x14ac:dyDescent="0.35">
      <c r="A1216" s="32">
        <f t="shared" si="36"/>
        <v>0</v>
      </c>
      <c r="B1216" s="33"/>
      <c r="C1216" s="34">
        <f t="shared" si="37"/>
        <v>0</v>
      </c>
      <c r="D1216" s="42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4"/>
    </row>
    <row r="1217" spans="1:18" x14ac:dyDescent="0.35">
      <c r="A1217" s="32">
        <f t="shared" si="36"/>
        <v>0</v>
      </c>
      <c r="B1217" s="33"/>
      <c r="C1217" s="34">
        <f t="shared" si="37"/>
        <v>0</v>
      </c>
      <c r="D1217" s="42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4"/>
    </row>
    <row r="1218" spans="1:18" x14ac:dyDescent="0.35">
      <c r="A1218" s="32">
        <f t="shared" si="36"/>
        <v>0</v>
      </c>
      <c r="B1218" s="33"/>
      <c r="C1218" s="34">
        <f t="shared" si="37"/>
        <v>0</v>
      </c>
      <c r="D1218" s="42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4"/>
    </row>
    <row r="1219" spans="1:18" x14ac:dyDescent="0.35">
      <c r="A1219" s="32">
        <f t="shared" si="36"/>
        <v>0</v>
      </c>
      <c r="B1219" s="33"/>
      <c r="C1219" s="34">
        <f t="shared" si="37"/>
        <v>0</v>
      </c>
      <c r="D1219" s="42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4"/>
    </row>
    <row r="1220" spans="1:18" x14ac:dyDescent="0.35">
      <c r="A1220" s="32">
        <f t="shared" ref="A1220:A1283" si="38">F1220</f>
        <v>0</v>
      </c>
      <c r="B1220" s="33"/>
      <c r="C1220" s="34">
        <f t="shared" ref="C1220:C1283" si="39">F1220</f>
        <v>0</v>
      </c>
      <c r="D1220" s="42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4"/>
    </row>
    <row r="1221" spans="1:18" x14ac:dyDescent="0.35">
      <c r="A1221" s="32">
        <f t="shared" si="38"/>
        <v>0</v>
      </c>
      <c r="B1221" s="33"/>
      <c r="C1221" s="34">
        <f t="shared" si="39"/>
        <v>0</v>
      </c>
      <c r="D1221" s="42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4"/>
    </row>
    <row r="1222" spans="1:18" x14ac:dyDescent="0.35">
      <c r="A1222" s="32">
        <f t="shared" si="38"/>
        <v>0</v>
      </c>
      <c r="B1222" s="33"/>
      <c r="C1222" s="34">
        <f t="shared" si="39"/>
        <v>0</v>
      </c>
      <c r="D1222" s="42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4"/>
    </row>
    <row r="1223" spans="1:18" x14ac:dyDescent="0.35">
      <c r="A1223" s="32">
        <f t="shared" si="38"/>
        <v>0</v>
      </c>
      <c r="B1223" s="33"/>
      <c r="C1223" s="34">
        <f t="shared" si="39"/>
        <v>0</v>
      </c>
      <c r="D1223" s="42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4"/>
    </row>
    <row r="1224" spans="1:18" x14ac:dyDescent="0.35">
      <c r="A1224" s="32">
        <f t="shared" si="38"/>
        <v>0</v>
      </c>
      <c r="B1224" s="33"/>
      <c r="C1224" s="34">
        <f t="shared" si="39"/>
        <v>0</v>
      </c>
      <c r="D1224" s="42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4"/>
    </row>
    <row r="1225" spans="1:18" x14ac:dyDescent="0.35">
      <c r="A1225" s="32">
        <f t="shared" si="38"/>
        <v>0</v>
      </c>
      <c r="B1225" s="33"/>
      <c r="C1225" s="34">
        <f t="shared" si="39"/>
        <v>0</v>
      </c>
      <c r="D1225" s="42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4"/>
    </row>
    <row r="1226" spans="1:18" x14ac:dyDescent="0.35">
      <c r="A1226" s="32">
        <f t="shared" si="38"/>
        <v>0</v>
      </c>
      <c r="B1226" s="33"/>
      <c r="C1226" s="34">
        <f t="shared" si="39"/>
        <v>0</v>
      </c>
      <c r="D1226" s="42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4"/>
    </row>
    <row r="1227" spans="1:18" x14ac:dyDescent="0.35">
      <c r="A1227" s="32">
        <f t="shared" si="38"/>
        <v>0</v>
      </c>
      <c r="B1227" s="33"/>
      <c r="C1227" s="34">
        <f t="shared" si="39"/>
        <v>0</v>
      </c>
      <c r="D1227" s="42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4"/>
    </row>
    <row r="1228" spans="1:18" x14ac:dyDescent="0.35">
      <c r="A1228" s="32">
        <f t="shared" si="38"/>
        <v>0</v>
      </c>
      <c r="B1228" s="33"/>
      <c r="C1228" s="34">
        <f t="shared" si="39"/>
        <v>0</v>
      </c>
      <c r="D1228" s="42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4"/>
    </row>
    <row r="1229" spans="1:18" x14ac:dyDescent="0.35">
      <c r="A1229" s="32">
        <f t="shared" si="38"/>
        <v>0</v>
      </c>
      <c r="B1229" s="33"/>
      <c r="C1229" s="34">
        <f t="shared" si="39"/>
        <v>0</v>
      </c>
      <c r="D1229" s="42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4"/>
    </row>
    <row r="1230" spans="1:18" x14ac:dyDescent="0.35">
      <c r="A1230" s="32">
        <f t="shared" si="38"/>
        <v>0</v>
      </c>
      <c r="B1230" s="33"/>
      <c r="C1230" s="34">
        <f t="shared" si="39"/>
        <v>0</v>
      </c>
      <c r="D1230" s="42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4"/>
    </row>
    <row r="1231" spans="1:18" x14ac:dyDescent="0.35">
      <c r="A1231" s="32">
        <f t="shared" si="38"/>
        <v>0</v>
      </c>
      <c r="B1231" s="33"/>
      <c r="C1231" s="34">
        <f t="shared" si="39"/>
        <v>0</v>
      </c>
      <c r="D1231" s="42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4"/>
    </row>
    <row r="1232" spans="1:18" x14ac:dyDescent="0.35">
      <c r="A1232" s="32">
        <f t="shared" si="38"/>
        <v>0</v>
      </c>
      <c r="B1232" s="33"/>
      <c r="C1232" s="34">
        <f t="shared" si="39"/>
        <v>0</v>
      </c>
      <c r="D1232" s="42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4"/>
    </row>
    <row r="1233" spans="1:18" x14ac:dyDescent="0.35">
      <c r="A1233" s="32">
        <f t="shared" si="38"/>
        <v>0</v>
      </c>
      <c r="B1233" s="33"/>
      <c r="C1233" s="34">
        <f t="shared" si="39"/>
        <v>0</v>
      </c>
      <c r="D1233" s="42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4"/>
    </row>
    <row r="1234" spans="1:18" x14ac:dyDescent="0.35">
      <c r="A1234" s="32">
        <f t="shared" si="38"/>
        <v>0</v>
      </c>
      <c r="B1234" s="33"/>
      <c r="C1234" s="34">
        <f t="shared" si="39"/>
        <v>0</v>
      </c>
      <c r="D1234" s="42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4"/>
    </row>
    <row r="1235" spans="1:18" x14ac:dyDescent="0.35">
      <c r="A1235" s="32">
        <f t="shared" si="38"/>
        <v>0</v>
      </c>
      <c r="B1235" s="33"/>
      <c r="C1235" s="34">
        <f t="shared" si="39"/>
        <v>0</v>
      </c>
      <c r="D1235" s="42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4"/>
    </row>
    <row r="1236" spans="1:18" x14ac:dyDescent="0.35">
      <c r="A1236" s="32">
        <f t="shared" si="38"/>
        <v>0</v>
      </c>
      <c r="B1236" s="33"/>
      <c r="C1236" s="34">
        <f t="shared" si="39"/>
        <v>0</v>
      </c>
      <c r="D1236" s="42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4"/>
    </row>
    <row r="1237" spans="1:18" x14ac:dyDescent="0.35">
      <c r="A1237" s="32">
        <f t="shared" si="38"/>
        <v>0</v>
      </c>
      <c r="B1237" s="33"/>
      <c r="C1237" s="34">
        <f t="shared" si="39"/>
        <v>0</v>
      </c>
      <c r="D1237" s="42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4"/>
    </row>
    <row r="1238" spans="1:18" x14ac:dyDescent="0.35">
      <c r="A1238" s="32">
        <f t="shared" si="38"/>
        <v>0</v>
      </c>
      <c r="B1238" s="33"/>
      <c r="C1238" s="34">
        <f t="shared" si="39"/>
        <v>0</v>
      </c>
      <c r="D1238" s="42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4"/>
    </row>
    <row r="1239" spans="1:18" x14ac:dyDescent="0.35">
      <c r="A1239" s="32">
        <f t="shared" si="38"/>
        <v>0</v>
      </c>
      <c r="B1239" s="33"/>
      <c r="C1239" s="34">
        <f t="shared" si="39"/>
        <v>0</v>
      </c>
      <c r="D1239" s="42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4"/>
    </row>
    <row r="1240" spans="1:18" x14ac:dyDescent="0.35">
      <c r="A1240" s="32">
        <f t="shared" si="38"/>
        <v>0</v>
      </c>
      <c r="B1240" s="33"/>
      <c r="C1240" s="34">
        <f t="shared" si="39"/>
        <v>0</v>
      </c>
      <c r="D1240" s="42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4"/>
    </row>
    <row r="1241" spans="1:18" x14ac:dyDescent="0.35">
      <c r="A1241" s="32">
        <f t="shared" si="38"/>
        <v>0</v>
      </c>
      <c r="B1241" s="33"/>
      <c r="C1241" s="34">
        <f t="shared" si="39"/>
        <v>0</v>
      </c>
      <c r="D1241" s="42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4"/>
    </row>
    <row r="1242" spans="1:18" x14ac:dyDescent="0.35">
      <c r="A1242" s="32">
        <f t="shared" si="38"/>
        <v>0</v>
      </c>
      <c r="B1242" s="33"/>
      <c r="C1242" s="34">
        <f t="shared" si="39"/>
        <v>0</v>
      </c>
      <c r="D1242" s="42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4"/>
    </row>
    <row r="1243" spans="1:18" x14ac:dyDescent="0.35">
      <c r="A1243" s="32">
        <f t="shared" si="38"/>
        <v>0</v>
      </c>
      <c r="B1243" s="33"/>
      <c r="C1243" s="34">
        <f t="shared" si="39"/>
        <v>0</v>
      </c>
      <c r="D1243" s="42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4"/>
    </row>
    <row r="1244" spans="1:18" x14ac:dyDescent="0.35">
      <c r="A1244" s="32">
        <f t="shared" si="38"/>
        <v>0</v>
      </c>
      <c r="B1244" s="33"/>
      <c r="C1244" s="34">
        <f t="shared" si="39"/>
        <v>0</v>
      </c>
      <c r="D1244" s="42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4"/>
    </row>
    <row r="1245" spans="1:18" x14ac:dyDescent="0.35">
      <c r="A1245" s="32">
        <f t="shared" si="38"/>
        <v>0</v>
      </c>
      <c r="B1245" s="33"/>
      <c r="C1245" s="34">
        <f t="shared" si="39"/>
        <v>0</v>
      </c>
      <c r="D1245" s="42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4"/>
    </row>
    <row r="1246" spans="1:18" x14ac:dyDescent="0.35">
      <c r="A1246" s="32">
        <f t="shared" si="38"/>
        <v>0</v>
      </c>
      <c r="B1246" s="33"/>
      <c r="C1246" s="34">
        <f t="shared" si="39"/>
        <v>0</v>
      </c>
      <c r="D1246" s="42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4"/>
    </row>
    <row r="1247" spans="1:18" x14ac:dyDescent="0.35">
      <c r="A1247" s="32">
        <f t="shared" si="38"/>
        <v>0</v>
      </c>
      <c r="B1247" s="33"/>
      <c r="C1247" s="34">
        <f t="shared" si="39"/>
        <v>0</v>
      </c>
      <c r="D1247" s="42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4"/>
    </row>
    <row r="1248" spans="1:18" x14ac:dyDescent="0.35">
      <c r="A1248" s="32">
        <f t="shared" si="38"/>
        <v>0</v>
      </c>
      <c r="B1248" s="33"/>
      <c r="C1248" s="34">
        <f t="shared" si="39"/>
        <v>0</v>
      </c>
      <c r="D1248" s="42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4"/>
    </row>
    <row r="1249" spans="1:18" x14ac:dyDescent="0.35">
      <c r="A1249" s="32">
        <f t="shared" si="38"/>
        <v>0</v>
      </c>
      <c r="B1249" s="33"/>
      <c r="C1249" s="34">
        <f t="shared" si="39"/>
        <v>0</v>
      </c>
      <c r="D1249" s="42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4"/>
    </row>
    <row r="1250" spans="1:18" x14ac:dyDescent="0.35">
      <c r="A1250" s="32">
        <f t="shared" si="38"/>
        <v>0</v>
      </c>
      <c r="B1250" s="33"/>
      <c r="C1250" s="34">
        <f t="shared" si="39"/>
        <v>0</v>
      </c>
      <c r="D1250" s="42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4"/>
    </row>
    <row r="1251" spans="1:18" x14ac:dyDescent="0.35">
      <c r="A1251" s="32">
        <f t="shared" si="38"/>
        <v>0</v>
      </c>
      <c r="B1251" s="33"/>
      <c r="C1251" s="34">
        <f t="shared" si="39"/>
        <v>0</v>
      </c>
      <c r="D1251" s="42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4"/>
    </row>
    <row r="1252" spans="1:18" x14ac:dyDescent="0.35">
      <c r="A1252" s="32">
        <f t="shared" si="38"/>
        <v>0</v>
      </c>
      <c r="B1252" s="33"/>
      <c r="C1252" s="34">
        <f t="shared" si="39"/>
        <v>0</v>
      </c>
      <c r="D1252" s="42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4"/>
    </row>
    <row r="1253" spans="1:18" x14ac:dyDescent="0.35">
      <c r="A1253" s="32">
        <f t="shared" si="38"/>
        <v>0</v>
      </c>
      <c r="B1253" s="33"/>
      <c r="C1253" s="34">
        <f t="shared" si="39"/>
        <v>0</v>
      </c>
      <c r="D1253" s="42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4"/>
    </row>
    <row r="1254" spans="1:18" x14ac:dyDescent="0.35">
      <c r="A1254" s="32">
        <f t="shared" si="38"/>
        <v>0</v>
      </c>
      <c r="B1254" s="33"/>
      <c r="C1254" s="34">
        <f t="shared" si="39"/>
        <v>0</v>
      </c>
      <c r="D1254" s="42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4"/>
    </row>
    <row r="1255" spans="1:18" x14ac:dyDescent="0.35">
      <c r="A1255" s="32">
        <f t="shared" si="38"/>
        <v>0</v>
      </c>
      <c r="B1255" s="33"/>
      <c r="C1255" s="34">
        <f t="shared" si="39"/>
        <v>0</v>
      </c>
      <c r="D1255" s="42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4"/>
    </row>
    <row r="1256" spans="1:18" x14ac:dyDescent="0.35">
      <c r="A1256" s="32">
        <f t="shared" si="38"/>
        <v>0</v>
      </c>
      <c r="B1256" s="33"/>
      <c r="C1256" s="34">
        <f t="shared" si="39"/>
        <v>0</v>
      </c>
      <c r="D1256" s="42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4"/>
    </row>
    <row r="1257" spans="1:18" x14ac:dyDescent="0.35">
      <c r="A1257" s="32">
        <f t="shared" si="38"/>
        <v>0</v>
      </c>
      <c r="B1257" s="33"/>
      <c r="C1257" s="34">
        <f t="shared" si="39"/>
        <v>0</v>
      </c>
      <c r="D1257" s="42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4"/>
    </row>
    <row r="1258" spans="1:18" x14ac:dyDescent="0.35">
      <c r="A1258" s="32">
        <f t="shared" si="38"/>
        <v>0</v>
      </c>
      <c r="B1258" s="33"/>
      <c r="C1258" s="34">
        <f t="shared" si="39"/>
        <v>0</v>
      </c>
      <c r="D1258" s="42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4"/>
    </row>
    <row r="1259" spans="1:18" x14ac:dyDescent="0.35">
      <c r="A1259" s="32">
        <f t="shared" si="38"/>
        <v>0</v>
      </c>
      <c r="B1259" s="33"/>
      <c r="C1259" s="34">
        <f t="shared" si="39"/>
        <v>0</v>
      </c>
      <c r="D1259" s="42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4"/>
    </row>
    <row r="1260" spans="1:18" x14ac:dyDescent="0.35">
      <c r="A1260" s="32">
        <f t="shared" si="38"/>
        <v>0</v>
      </c>
      <c r="B1260" s="33"/>
      <c r="C1260" s="34">
        <f t="shared" si="39"/>
        <v>0</v>
      </c>
      <c r="D1260" s="42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4"/>
    </row>
    <row r="1261" spans="1:18" x14ac:dyDescent="0.35">
      <c r="A1261" s="32">
        <f t="shared" si="38"/>
        <v>0</v>
      </c>
      <c r="B1261" s="33"/>
      <c r="C1261" s="34">
        <f t="shared" si="39"/>
        <v>0</v>
      </c>
      <c r="D1261" s="42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4"/>
    </row>
    <row r="1262" spans="1:18" x14ac:dyDescent="0.35">
      <c r="A1262" s="32">
        <f t="shared" si="38"/>
        <v>0</v>
      </c>
      <c r="B1262" s="33"/>
      <c r="C1262" s="34">
        <f t="shared" si="39"/>
        <v>0</v>
      </c>
      <c r="D1262" s="42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4"/>
    </row>
    <row r="1263" spans="1:18" x14ac:dyDescent="0.35">
      <c r="A1263" s="32">
        <f t="shared" si="38"/>
        <v>0</v>
      </c>
      <c r="B1263" s="33"/>
      <c r="C1263" s="34">
        <f t="shared" si="39"/>
        <v>0</v>
      </c>
      <c r="D1263" s="42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4"/>
    </row>
    <row r="1264" spans="1:18" x14ac:dyDescent="0.35">
      <c r="A1264" s="32">
        <f t="shared" si="38"/>
        <v>0</v>
      </c>
      <c r="B1264" s="33"/>
      <c r="C1264" s="34">
        <f t="shared" si="39"/>
        <v>0</v>
      </c>
      <c r="D1264" s="42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4"/>
    </row>
    <row r="1265" spans="1:18" x14ac:dyDescent="0.35">
      <c r="A1265" s="32">
        <f t="shared" si="38"/>
        <v>0</v>
      </c>
      <c r="B1265" s="33"/>
      <c r="C1265" s="34">
        <f t="shared" si="39"/>
        <v>0</v>
      </c>
      <c r="D1265" s="42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4"/>
    </row>
    <row r="1266" spans="1:18" x14ac:dyDescent="0.35">
      <c r="A1266" s="32">
        <f t="shared" si="38"/>
        <v>0</v>
      </c>
      <c r="B1266" s="33"/>
      <c r="C1266" s="34">
        <f t="shared" si="39"/>
        <v>0</v>
      </c>
      <c r="D1266" s="42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4"/>
    </row>
    <row r="1267" spans="1:18" x14ac:dyDescent="0.35">
      <c r="A1267" s="32">
        <f t="shared" si="38"/>
        <v>0</v>
      </c>
      <c r="B1267" s="33"/>
      <c r="C1267" s="34">
        <f t="shared" si="39"/>
        <v>0</v>
      </c>
      <c r="D1267" s="42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4"/>
    </row>
    <row r="1268" spans="1:18" x14ac:dyDescent="0.35">
      <c r="A1268" s="32">
        <f t="shared" si="38"/>
        <v>0</v>
      </c>
      <c r="B1268" s="33"/>
      <c r="C1268" s="34">
        <f t="shared" si="39"/>
        <v>0</v>
      </c>
      <c r="D1268" s="42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4"/>
    </row>
    <row r="1269" spans="1:18" x14ac:dyDescent="0.35">
      <c r="A1269" s="32">
        <f t="shared" si="38"/>
        <v>0</v>
      </c>
      <c r="B1269" s="33"/>
      <c r="C1269" s="34">
        <f t="shared" si="39"/>
        <v>0</v>
      </c>
      <c r="D1269" s="42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4"/>
    </row>
    <row r="1270" spans="1:18" x14ac:dyDescent="0.35">
      <c r="A1270" s="32">
        <f t="shared" si="38"/>
        <v>0</v>
      </c>
      <c r="B1270" s="33"/>
      <c r="C1270" s="34">
        <f t="shared" si="39"/>
        <v>0</v>
      </c>
      <c r="D1270" s="42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4"/>
    </row>
    <row r="1271" spans="1:18" x14ac:dyDescent="0.35">
      <c r="A1271" s="32">
        <f t="shared" si="38"/>
        <v>0</v>
      </c>
      <c r="B1271" s="33"/>
      <c r="C1271" s="34">
        <f t="shared" si="39"/>
        <v>0</v>
      </c>
      <c r="D1271" s="42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4"/>
    </row>
    <row r="1272" spans="1:18" x14ac:dyDescent="0.35">
      <c r="A1272" s="32">
        <f t="shared" si="38"/>
        <v>0</v>
      </c>
      <c r="B1272" s="33"/>
      <c r="C1272" s="34">
        <f t="shared" si="39"/>
        <v>0</v>
      </c>
      <c r="D1272" s="42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4"/>
    </row>
    <row r="1273" spans="1:18" x14ac:dyDescent="0.35">
      <c r="A1273" s="32">
        <f t="shared" si="38"/>
        <v>0</v>
      </c>
      <c r="B1273" s="33"/>
      <c r="C1273" s="34">
        <f t="shared" si="39"/>
        <v>0</v>
      </c>
      <c r="D1273" s="42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4"/>
    </row>
    <row r="1274" spans="1:18" x14ac:dyDescent="0.35">
      <c r="A1274" s="32">
        <f t="shared" si="38"/>
        <v>0</v>
      </c>
      <c r="B1274" s="33"/>
      <c r="C1274" s="34">
        <f t="shared" si="39"/>
        <v>0</v>
      </c>
      <c r="D1274" s="42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4"/>
    </row>
    <row r="1275" spans="1:18" x14ac:dyDescent="0.35">
      <c r="A1275" s="32">
        <f t="shared" si="38"/>
        <v>0</v>
      </c>
      <c r="B1275" s="33"/>
      <c r="C1275" s="34">
        <f t="shared" si="39"/>
        <v>0</v>
      </c>
      <c r="D1275" s="42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4"/>
    </row>
    <row r="1276" spans="1:18" x14ac:dyDescent="0.35">
      <c r="A1276" s="32">
        <f t="shared" si="38"/>
        <v>0</v>
      </c>
      <c r="B1276" s="33"/>
      <c r="C1276" s="34">
        <f t="shared" si="39"/>
        <v>0</v>
      </c>
      <c r="D1276" s="42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4"/>
    </row>
    <row r="1277" spans="1:18" x14ac:dyDescent="0.35">
      <c r="A1277" s="32">
        <f t="shared" si="38"/>
        <v>0</v>
      </c>
      <c r="B1277" s="33"/>
      <c r="C1277" s="34">
        <f t="shared" si="39"/>
        <v>0</v>
      </c>
      <c r="D1277" s="42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4"/>
    </row>
    <row r="1278" spans="1:18" x14ac:dyDescent="0.35">
      <c r="A1278" s="32">
        <f t="shared" si="38"/>
        <v>0</v>
      </c>
      <c r="B1278" s="33"/>
      <c r="C1278" s="34">
        <f t="shared" si="39"/>
        <v>0</v>
      </c>
      <c r="D1278" s="42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4"/>
    </row>
    <row r="1279" spans="1:18" x14ac:dyDescent="0.35">
      <c r="A1279" s="32">
        <f t="shared" si="38"/>
        <v>0</v>
      </c>
      <c r="B1279" s="33"/>
      <c r="C1279" s="34">
        <f t="shared" si="39"/>
        <v>0</v>
      </c>
      <c r="D1279" s="42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4"/>
    </row>
    <row r="1280" spans="1:18" x14ac:dyDescent="0.35">
      <c r="A1280" s="32">
        <f t="shared" si="38"/>
        <v>0</v>
      </c>
      <c r="B1280" s="33"/>
      <c r="C1280" s="34">
        <f t="shared" si="39"/>
        <v>0</v>
      </c>
      <c r="D1280" s="42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4"/>
    </row>
    <row r="1281" spans="1:18" x14ac:dyDescent="0.35">
      <c r="A1281" s="32">
        <f t="shared" si="38"/>
        <v>0</v>
      </c>
      <c r="B1281" s="33"/>
      <c r="C1281" s="34">
        <f t="shared" si="39"/>
        <v>0</v>
      </c>
      <c r="D1281" s="42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4"/>
    </row>
    <row r="1282" spans="1:18" x14ac:dyDescent="0.35">
      <c r="A1282" s="32">
        <f t="shared" si="38"/>
        <v>0</v>
      </c>
      <c r="B1282" s="33"/>
      <c r="C1282" s="34">
        <f t="shared" si="39"/>
        <v>0</v>
      </c>
      <c r="D1282" s="42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4"/>
    </row>
    <row r="1283" spans="1:18" x14ac:dyDescent="0.35">
      <c r="A1283" s="32">
        <f t="shared" si="38"/>
        <v>0</v>
      </c>
      <c r="B1283" s="33"/>
      <c r="C1283" s="34">
        <f t="shared" si="39"/>
        <v>0</v>
      </c>
      <c r="D1283" s="42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4"/>
    </row>
    <row r="1284" spans="1:18" x14ac:dyDescent="0.35">
      <c r="A1284" s="32">
        <f t="shared" ref="A1284:A1347" si="40">F1284</f>
        <v>0</v>
      </c>
      <c r="B1284" s="33"/>
      <c r="C1284" s="34">
        <f t="shared" ref="C1284:C1347" si="41">F1284</f>
        <v>0</v>
      </c>
      <c r="D1284" s="42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4"/>
    </row>
    <row r="1285" spans="1:18" x14ac:dyDescent="0.35">
      <c r="A1285" s="32">
        <f t="shared" si="40"/>
        <v>0</v>
      </c>
      <c r="B1285" s="33"/>
      <c r="C1285" s="34">
        <f t="shared" si="41"/>
        <v>0</v>
      </c>
      <c r="D1285" s="42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4"/>
    </row>
    <row r="1286" spans="1:18" x14ac:dyDescent="0.35">
      <c r="A1286" s="32">
        <f t="shared" si="40"/>
        <v>0</v>
      </c>
      <c r="B1286" s="33"/>
      <c r="C1286" s="34">
        <f t="shared" si="41"/>
        <v>0</v>
      </c>
      <c r="D1286" s="42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4"/>
    </row>
    <row r="1287" spans="1:18" x14ac:dyDescent="0.35">
      <c r="A1287" s="32">
        <f t="shared" si="40"/>
        <v>0</v>
      </c>
      <c r="B1287" s="33"/>
      <c r="C1287" s="34">
        <f t="shared" si="41"/>
        <v>0</v>
      </c>
      <c r="D1287" s="42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4"/>
    </row>
    <row r="1288" spans="1:18" x14ac:dyDescent="0.35">
      <c r="A1288" s="32">
        <f t="shared" si="40"/>
        <v>0</v>
      </c>
      <c r="B1288" s="33"/>
      <c r="C1288" s="34">
        <f t="shared" si="41"/>
        <v>0</v>
      </c>
      <c r="D1288" s="42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4"/>
    </row>
    <row r="1289" spans="1:18" x14ac:dyDescent="0.35">
      <c r="A1289" s="32">
        <f t="shared" si="40"/>
        <v>0</v>
      </c>
      <c r="B1289" s="33"/>
      <c r="C1289" s="34">
        <f t="shared" si="41"/>
        <v>0</v>
      </c>
      <c r="D1289" s="42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4"/>
    </row>
    <row r="1290" spans="1:18" x14ac:dyDescent="0.35">
      <c r="A1290" s="32">
        <f t="shared" si="40"/>
        <v>0</v>
      </c>
      <c r="B1290" s="33"/>
      <c r="C1290" s="34">
        <f t="shared" si="41"/>
        <v>0</v>
      </c>
      <c r="D1290" s="42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4"/>
    </row>
    <row r="1291" spans="1:18" x14ac:dyDescent="0.35">
      <c r="A1291" s="32">
        <f t="shared" si="40"/>
        <v>0</v>
      </c>
      <c r="B1291" s="33"/>
      <c r="C1291" s="34">
        <f t="shared" si="41"/>
        <v>0</v>
      </c>
      <c r="D1291" s="42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4"/>
    </row>
    <row r="1292" spans="1:18" x14ac:dyDescent="0.35">
      <c r="A1292" s="32">
        <f t="shared" si="40"/>
        <v>0</v>
      </c>
      <c r="B1292" s="33"/>
      <c r="C1292" s="34">
        <f t="shared" si="41"/>
        <v>0</v>
      </c>
      <c r="D1292" s="42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4"/>
    </row>
    <row r="1293" spans="1:18" x14ac:dyDescent="0.35">
      <c r="A1293" s="32">
        <f t="shared" si="40"/>
        <v>0</v>
      </c>
      <c r="B1293" s="33"/>
      <c r="C1293" s="34">
        <f t="shared" si="41"/>
        <v>0</v>
      </c>
      <c r="D1293" s="42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4"/>
    </row>
    <row r="1294" spans="1:18" x14ac:dyDescent="0.35">
      <c r="A1294" s="32">
        <f t="shared" si="40"/>
        <v>0</v>
      </c>
      <c r="B1294" s="33"/>
      <c r="C1294" s="34">
        <f t="shared" si="41"/>
        <v>0</v>
      </c>
      <c r="D1294" s="42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4"/>
    </row>
    <row r="1295" spans="1:18" x14ac:dyDescent="0.35">
      <c r="A1295" s="32">
        <f t="shared" si="40"/>
        <v>0</v>
      </c>
      <c r="B1295" s="33"/>
      <c r="C1295" s="34">
        <f t="shared" si="41"/>
        <v>0</v>
      </c>
      <c r="D1295" s="42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4"/>
    </row>
    <row r="1296" spans="1:18" x14ac:dyDescent="0.35">
      <c r="A1296" s="32">
        <f t="shared" si="40"/>
        <v>0</v>
      </c>
      <c r="B1296" s="33"/>
      <c r="C1296" s="34">
        <f t="shared" si="41"/>
        <v>0</v>
      </c>
      <c r="D1296" s="42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4"/>
    </row>
    <row r="1297" spans="1:18" x14ac:dyDescent="0.35">
      <c r="A1297" s="32">
        <f t="shared" si="40"/>
        <v>0</v>
      </c>
      <c r="B1297" s="33"/>
      <c r="C1297" s="34">
        <f t="shared" si="41"/>
        <v>0</v>
      </c>
      <c r="D1297" s="42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4"/>
    </row>
    <row r="1298" spans="1:18" x14ac:dyDescent="0.35">
      <c r="A1298" s="32">
        <f t="shared" si="40"/>
        <v>0</v>
      </c>
      <c r="B1298" s="33"/>
      <c r="C1298" s="34">
        <f t="shared" si="41"/>
        <v>0</v>
      </c>
      <c r="D1298" s="42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4"/>
    </row>
    <row r="1299" spans="1:18" x14ac:dyDescent="0.35">
      <c r="A1299" s="32">
        <f t="shared" si="40"/>
        <v>0</v>
      </c>
      <c r="B1299" s="33"/>
      <c r="C1299" s="34">
        <f t="shared" si="41"/>
        <v>0</v>
      </c>
      <c r="D1299" s="42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4"/>
    </row>
    <row r="1300" spans="1:18" x14ac:dyDescent="0.35">
      <c r="A1300" s="32">
        <f t="shared" si="40"/>
        <v>0</v>
      </c>
      <c r="B1300" s="33"/>
      <c r="C1300" s="34">
        <f t="shared" si="41"/>
        <v>0</v>
      </c>
      <c r="D1300" s="42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4"/>
    </row>
    <row r="1301" spans="1:18" x14ac:dyDescent="0.35">
      <c r="A1301" s="32">
        <f t="shared" si="40"/>
        <v>0</v>
      </c>
      <c r="B1301" s="33"/>
      <c r="C1301" s="34">
        <f t="shared" si="41"/>
        <v>0</v>
      </c>
      <c r="D1301" s="42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4"/>
    </row>
    <row r="1302" spans="1:18" x14ac:dyDescent="0.35">
      <c r="A1302" s="32">
        <f t="shared" si="40"/>
        <v>0</v>
      </c>
      <c r="B1302" s="33"/>
      <c r="C1302" s="34">
        <f t="shared" si="41"/>
        <v>0</v>
      </c>
      <c r="D1302" s="42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4"/>
    </row>
    <row r="1303" spans="1:18" x14ac:dyDescent="0.35">
      <c r="A1303" s="32">
        <f t="shared" si="40"/>
        <v>0</v>
      </c>
      <c r="B1303" s="33"/>
      <c r="C1303" s="34">
        <f t="shared" si="41"/>
        <v>0</v>
      </c>
      <c r="D1303" s="42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4"/>
    </row>
    <row r="1304" spans="1:18" x14ac:dyDescent="0.35">
      <c r="A1304" s="32">
        <f t="shared" si="40"/>
        <v>0</v>
      </c>
      <c r="B1304" s="33"/>
      <c r="C1304" s="34">
        <f t="shared" si="41"/>
        <v>0</v>
      </c>
      <c r="D1304" s="42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4"/>
    </row>
    <row r="1305" spans="1:18" x14ac:dyDescent="0.35">
      <c r="A1305" s="32">
        <f t="shared" si="40"/>
        <v>0</v>
      </c>
      <c r="B1305" s="33"/>
      <c r="C1305" s="34">
        <f t="shared" si="41"/>
        <v>0</v>
      </c>
      <c r="D1305" s="42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4"/>
    </row>
    <row r="1306" spans="1:18" x14ac:dyDescent="0.35">
      <c r="A1306" s="32">
        <f t="shared" si="40"/>
        <v>0</v>
      </c>
      <c r="B1306" s="33"/>
      <c r="C1306" s="34">
        <f t="shared" si="41"/>
        <v>0</v>
      </c>
      <c r="D1306" s="42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4"/>
    </row>
    <row r="1307" spans="1:18" x14ac:dyDescent="0.35">
      <c r="A1307" s="32">
        <f t="shared" si="40"/>
        <v>0</v>
      </c>
      <c r="B1307" s="33"/>
      <c r="C1307" s="34">
        <f t="shared" si="41"/>
        <v>0</v>
      </c>
      <c r="D1307" s="42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4"/>
    </row>
    <row r="1308" spans="1:18" x14ac:dyDescent="0.35">
      <c r="A1308" s="32">
        <f t="shared" si="40"/>
        <v>0</v>
      </c>
      <c r="B1308" s="33"/>
      <c r="C1308" s="34">
        <f t="shared" si="41"/>
        <v>0</v>
      </c>
      <c r="D1308" s="42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4"/>
    </row>
    <row r="1309" spans="1:18" x14ac:dyDescent="0.35">
      <c r="A1309" s="32">
        <f t="shared" si="40"/>
        <v>0</v>
      </c>
      <c r="B1309" s="33"/>
      <c r="C1309" s="34">
        <f t="shared" si="41"/>
        <v>0</v>
      </c>
      <c r="D1309" s="42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4"/>
    </row>
    <row r="1310" spans="1:18" x14ac:dyDescent="0.35">
      <c r="A1310" s="32">
        <f t="shared" si="40"/>
        <v>0</v>
      </c>
      <c r="B1310" s="33"/>
      <c r="C1310" s="34">
        <f t="shared" si="41"/>
        <v>0</v>
      </c>
      <c r="D1310" s="42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4"/>
    </row>
    <row r="1311" spans="1:18" x14ac:dyDescent="0.35">
      <c r="A1311" s="32">
        <f t="shared" si="40"/>
        <v>0</v>
      </c>
      <c r="B1311" s="33"/>
      <c r="C1311" s="34">
        <f t="shared" si="41"/>
        <v>0</v>
      </c>
      <c r="D1311" s="42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4"/>
    </row>
    <row r="1312" spans="1:18" x14ac:dyDescent="0.35">
      <c r="A1312" s="32">
        <f t="shared" si="40"/>
        <v>0</v>
      </c>
      <c r="B1312" s="33"/>
      <c r="C1312" s="34">
        <f t="shared" si="41"/>
        <v>0</v>
      </c>
      <c r="D1312" s="42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4"/>
    </row>
    <row r="1313" spans="1:18" x14ac:dyDescent="0.35">
      <c r="A1313" s="32">
        <f t="shared" si="40"/>
        <v>0</v>
      </c>
      <c r="B1313" s="33"/>
      <c r="C1313" s="34">
        <f t="shared" si="41"/>
        <v>0</v>
      </c>
      <c r="D1313" s="42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4"/>
    </row>
    <row r="1314" spans="1:18" x14ac:dyDescent="0.35">
      <c r="A1314" s="32">
        <f t="shared" si="40"/>
        <v>0</v>
      </c>
      <c r="B1314" s="33"/>
      <c r="C1314" s="34">
        <f t="shared" si="41"/>
        <v>0</v>
      </c>
      <c r="D1314" s="42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4"/>
    </row>
    <row r="1315" spans="1:18" x14ac:dyDescent="0.35">
      <c r="A1315" s="32">
        <f t="shared" si="40"/>
        <v>0</v>
      </c>
      <c r="B1315" s="33"/>
      <c r="C1315" s="34">
        <f t="shared" si="41"/>
        <v>0</v>
      </c>
      <c r="D1315" s="42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4"/>
    </row>
    <row r="1316" spans="1:18" x14ac:dyDescent="0.35">
      <c r="A1316" s="32">
        <f t="shared" si="40"/>
        <v>0</v>
      </c>
      <c r="B1316" s="33"/>
      <c r="C1316" s="34">
        <f t="shared" si="41"/>
        <v>0</v>
      </c>
      <c r="D1316" s="42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4"/>
    </row>
    <row r="1317" spans="1:18" x14ac:dyDescent="0.35">
      <c r="A1317" s="32">
        <f t="shared" si="40"/>
        <v>0</v>
      </c>
      <c r="B1317" s="33"/>
      <c r="C1317" s="34">
        <f t="shared" si="41"/>
        <v>0</v>
      </c>
      <c r="D1317" s="42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4"/>
    </row>
    <row r="1318" spans="1:18" x14ac:dyDescent="0.35">
      <c r="A1318" s="32">
        <f t="shared" si="40"/>
        <v>0</v>
      </c>
      <c r="B1318" s="33"/>
      <c r="C1318" s="34">
        <f t="shared" si="41"/>
        <v>0</v>
      </c>
      <c r="D1318" s="42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4"/>
    </row>
    <row r="1319" spans="1:18" x14ac:dyDescent="0.35">
      <c r="A1319" s="32">
        <f t="shared" si="40"/>
        <v>0</v>
      </c>
      <c r="B1319" s="33"/>
      <c r="C1319" s="34">
        <f t="shared" si="41"/>
        <v>0</v>
      </c>
      <c r="D1319" s="42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4"/>
    </row>
    <row r="1320" spans="1:18" x14ac:dyDescent="0.35">
      <c r="A1320" s="32">
        <f t="shared" si="40"/>
        <v>0</v>
      </c>
      <c r="B1320" s="33"/>
      <c r="C1320" s="34">
        <f t="shared" si="41"/>
        <v>0</v>
      </c>
      <c r="D1320" s="42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4"/>
    </row>
    <row r="1321" spans="1:18" x14ac:dyDescent="0.35">
      <c r="A1321" s="32">
        <f t="shared" si="40"/>
        <v>0</v>
      </c>
      <c r="B1321" s="33"/>
      <c r="C1321" s="34">
        <f t="shared" si="41"/>
        <v>0</v>
      </c>
      <c r="D1321" s="42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4"/>
    </row>
    <row r="1322" spans="1:18" x14ac:dyDescent="0.35">
      <c r="A1322" s="32">
        <f t="shared" si="40"/>
        <v>0</v>
      </c>
      <c r="B1322" s="33"/>
      <c r="C1322" s="34">
        <f t="shared" si="41"/>
        <v>0</v>
      </c>
      <c r="D1322" s="42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4"/>
    </row>
    <row r="1323" spans="1:18" x14ac:dyDescent="0.35">
      <c r="A1323" s="32">
        <f t="shared" si="40"/>
        <v>0</v>
      </c>
      <c r="B1323" s="33"/>
      <c r="C1323" s="34">
        <f t="shared" si="41"/>
        <v>0</v>
      </c>
      <c r="D1323" s="42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4"/>
    </row>
    <row r="1324" spans="1:18" x14ac:dyDescent="0.35">
      <c r="A1324" s="32">
        <f t="shared" si="40"/>
        <v>0</v>
      </c>
      <c r="B1324" s="33"/>
      <c r="C1324" s="34">
        <f t="shared" si="41"/>
        <v>0</v>
      </c>
      <c r="D1324" s="42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4"/>
    </row>
    <row r="1325" spans="1:18" x14ac:dyDescent="0.35">
      <c r="A1325" s="32">
        <f t="shared" si="40"/>
        <v>0</v>
      </c>
      <c r="B1325" s="33"/>
      <c r="C1325" s="34">
        <f t="shared" si="41"/>
        <v>0</v>
      </c>
      <c r="D1325" s="42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4"/>
    </row>
    <row r="1326" spans="1:18" x14ac:dyDescent="0.35">
      <c r="A1326" s="32">
        <f t="shared" si="40"/>
        <v>0</v>
      </c>
      <c r="B1326" s="33"/>
      <c r="C1326" s="34">
        <f t="shared" si="41"/>
        <v>0</v>
      </c>
      <c r="D1326" s="42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4"/>
    </row>
    <row r="1327" spans="1:18" x14ac:dyDescent="0.35">
      <c r="A1327" s="32">
        <f t="shared" si="40"/>
        <v>0</v>
      </c>
      <c r="B1327" s="33"/>
      <c r="C1327" s="34">
        <f t="shared" si="41"/>
        <v>0</v>
      </c>
      <c r="D1327" s="42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4"/>
    </row>
    <row r="1328" spans="1:18" x14ac:dyDescent="0.35">
      <c r="A1328" s="32">
        <f t="shared" si="40"/>
        <v>0</v>
      </c>
      <c r="B1328" s="33"/>
      <c r="C1328" s="34">
        <f t="shared" si="41"/>
        <v>0</v>
      </c>
      <c r="D1328" s="42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4"/>
    </row>
    <row r="1329" spans="1:18" x14ac:dyDescent="0.35">
      <c r="A1329" s="32">
        <f t="shared" si="40"/>
        <v>0</v>
      </c>
      <c r="B1329" s="33"/>
      <c r="C1329" s="34">
        <f t="shared" si="41"/>
        <v>0</v>
      </c>
      <c r="D1329" s="42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4"/>
    </row>
    <row r="1330" spans="1:18" x14ac:dyDescent="0.35">
      <c r="A1330" s="32">
        <f t="shared" si="40"/>
        <v>0</v>
      </c>
      <c r="B1330" s="33"/>
      <c r="C1330" s="34">
        <f t="shared" si="41"/>
        <v>0</v>
      </c>
      <c r="D1330" s="42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4"/>
    </row>
    <row r="1331" spans="1:18" x14ac:dyDescent="0.35">
      <c r="A1331" s="32">
        <f t="shared" si="40"/>
        <v>0</v>
      </c>
      <c r="B1331" s="33"/>
      <c r="C1331" s="34">
        <f t="shared" si="41"/>
        <v>0</v>
      </c>
      <c r="D1331" s="42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4"/>
    </row>
    <row r="1332" spans="1:18" x14ac:dyDescent="0.35">
      <c r="A1332" s="32">
        <f t="shared" si="40"/>
        <v>0</v>
      </c>
      <c r="B1332" s="33"/>
      <c r="C1332" s="34">
        <f t="shared" si="41"/>
        <v>0</v>
      </c>
      <c r="D1332" s="42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4"/>
    </row>
    <row r="1333" spans="1:18" x14ac:dyDescent="0.35">
      <c r="A1333" s="32">
        <f t="shared" si="40"/>
        <v>0</v>
      </c>
      <c r="B1333" s="33"/>
      <c r="C1333" s="34">
        <f t="shared" si="41"/>
        <v>0</v>
      </c>
      <c r="D1333" s="42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4"/>
    </row>
    <row r="1334" spans="1:18" x14ac:dyDescent="0.35">
      <c r="A1334" s="32">
        <f t="shared" si="40"/>
        <v>0</v>
      </c>
      <c r="B1334" s="33"/>
      <c r="C1334" s="34">
        <f t="shared" si="41"/>
        <v>0</v>
      </c>
      <c r="D1334" s="42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4"/>
    </row>
    <row r="1335" spans="1:18" x14ac:dyDescent="0.35">
      <c r="A1335" s="32">
        <f t="shared" si="40"/>
        <v>0</v>
      </c>
      <c r="B1335" s="33"/>
      <c r="C1335" s="34">
        <f t="shared" si="41"/>
        <v>0</v>
      </c>
      <c r="D1335" s="42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4"/>
    </row>
    <row r="1336" spans="1:18" x14ac:dyDescent="0.35">
      <c r="A1336" s="32">
        <f t="shared" si="40"/>
        <v>0</v>
      </c>
      <c r="B1336" s="33"/>
      <c r="C1336" s="34">
        <f t="shared" si="41"/>
        <v>0</v>
      </c>
      <c r="D1336" s="42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4"/>
    </row>
    <row r="1337" spans="1:18" x14ac:dyDescent="0.35">
      <c r="A1337" s="32">
        <f t="shared" si="40"/>
        <v>0</v>
      </c>
      <c r="B1337" s="33"/>
      <c r="C1337" s="34">
        <f t="shared" si="41"/>
        <v>0</v>
      </c>
      <c r="D1337" s="42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4"/>
    </row>
    <row r="1338" spans="1:18" x14ac:dyDescent="0.35">
      <c r="A1338" s="32">
        <f t="shared" si="40"/>
        <v>0</v>
      </c>
      <c r="B1338" s="33"/>
      <c r="C1338" s="34">
        <f t="shared" si="41"/>
        <v>0</v>
      </c>
      <c r="D1338" s="42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4"/>
    </row>
    <row r="1339" spans="1:18" x14ac:dyDescent="0.35">
      <c r="A1339" s="32">
        <f t="shared" si="40"/>
        <v>0</v>
      </c>
      <c r="B1339" s="33"/>
      <c r="C1339" s="34">
        <f t="shared" si="41"/>
        <v>0</v>
      </c>
      <c r="D1339" s="42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4"/>
    </row>
    <row r="1340" spans="1:18" x14ac:dyDescent="0.35">
      <c r="A1340" s="32">
        <f t="shared" si="40"/>
        <v>0</v>
      </c>
      <c r="B1340" s="33"/>
      <c r="C1340" s="34">
        <f t="shared" si="41"/>
        <v>0</v>
      </c>
      <c r="D1340" s="42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4"/>
    </row>
    <row r="1341" spans="1:18" x14ac:dyDescent="0.35">
      <c r="A1341" s="32">
        <f t="shared" si="40"/>
        <v>0</v>
      </c>
      <c r="B1341" s="33"/>
      <c r="C1341" s="34">
        <f t="shared" si="41"/>
        <v>0</v>
      </c>
      <c r="D1341" s="42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4"/>
    </row>
    <row r="1342" spans="1:18" x14ac:dyDescent="0.35">
      <c r="A1342" s="32">
        <f t="shared" si="40"/>
        <v>0</v>
      </c>
      <c r="B1342" s="33"/>
      <c r="C1342" s="34">
        <f t="shared" si="41"/>
        <v>0</v>
      </c>
      <c r="D1342" s="42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4"/>
    </row>
    <row r="1343" spans="1:18" x14ac:dyDescent="0.35">
      <c r="A1343" s="32">
        <f t="shared" si="40"/>
        <v>0</v>
      </c>
      <c r="B1343" s="33"/>
      <c r="C1343" s="34">
        <f t="shared" si="41"/>
        <v>0</v>
      </c>
      <c r="D1343" s="42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4"/>
    </row>
    <row r="1344" spans="1:18" x14ac:dyDescent="0.35">
      <c r="A1344" s="32">
        <f t="shared" si="40"/>
        <v>0</v>
      </c>
      <c r="B1344" s="33"/>
      <c r="C1344" s="34">
        <f t="shared" si="41"/>
        <v>0</v>
      </c>
      <c r="D1344" s="42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4"/>
    </row>
    <row r="1345" spans="1:18" x14ac:dyDescent="0.35">
      <c r="A1345" s="32">
        <f t="shared" si="40"/>
        <v>0</v>
      </c>
      <c r="B1345" s="33"/>
      <c r="C1345" s="34">
        <f t="shared" si="41"/>
        <v>0</v>
      </c>
      <c r="D1345" s="42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4"/>
    </row>
    <row r="1346" spans="1:18" x14ac:dyDescent="0.35">
      <c r="A1346" s="32">
        <f t="shared" si="40"/>
        <v>0</v>
      </c>
      <c r="B1346" s="33"/>
      <c r="C1346" s="34">
        <f t="shared" si="41"/>
        <v>0</v>
      </c>
      <c r="D1346" s="42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4"/>
    </row>
    <row r="1347" spans="1:18" x14ac:dyDescent="0.35">
      <c r="A1347" s="32">
        <f t="shared" si="40"/>
        <v>0</v>
      </c>
      <c r="B1347" s="33"/>
      <c r="C1347" s="34">
        <f t="shared" si="41"/>
        <v>0</v>
      </c>
      <c r="D1347" s="42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4"/>
    </row>
    <row r="1348" spans="1:18" x14ac:dyDescent="0.35">
      <c r="A1348" s="32">
        <f t="shared" ref="A1348:A1411" si="42">F1348</f>
        <v>0</v>
      </c>
      <c r="B1348" s="33"/>
      <c r="C1348" s="34">
        <f t="shared" ref="C1348:C1411" si="43">F1348</f>
        <v>0</v>
      </c>
      <c r="D1348" s="42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4"/>
    </row>
    <row r="1349" spans="1:18" x14ac:dyDescent="0.35">
      <c r="A1349" s="32">
        <f t="shared" si="42"/>
        <v>0</v>
      </c>
      <c r="B1349" s="33"/>
      <c r="C1349" s="34">
        <f t="shared" si="43"/>
        <v>0</v>
      </c>
      <c r="D1349" s="42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4"/>
    </row>
    <row r="1350" spans="1:18" x14ac:dyDescent="0.35">
      <c r="A1350" s="32">
        <f t="shared" si="42"/>
        <v>0</v>
      </c>
      <c r="B1350" s="33"/>
      <c r="C1350" s="34">
        <f t="shared" si="43"/>
        <v>0</v>
      </c>
      <c r="D1350" s="42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4"/>
    </row>
    <row r="1351" spans="1:18" x14ac:dyDescent="0.35">
      <c r="A1351" s="32">
        <f t="shared" si="42"/>
        <v>0</v>
      </c>
      <c r="B1351" s="33"/>
      <c r="C1351" s="34">
        <f t="shared" si="43"/>
        <v>0</v>
      </c>
      <c r="D1351" s="42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4"/>
    </row>
    <row r="1352" spans="1:18" x14ac:dyDescent="0.35">
      <c r="A1352" s="32">
        <f t="shared" si="42"/>
        <v>0</v>
      </c>
      <c r="B1352" s="33"/>
      <c r="C1352" s="34">
        <f t="shared" si="43"/>
        <v>0</v>
      </c>
      <c r="D1352" s="42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4"/>
    </row>
    <row r="1353" spans="1:18" x14ac:dyDescent="0.35">
      <c r="A1353" s="32">
        <f t="shared" si="42"/>
        <v>0</v>
      </c>
      <c r="B1353" s="33"/>
      <c r="C1353" s="34">
        <f t="shared" si="43"/>
        <v>0</v>
      </c>
      <c r="D1353" s="42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4"/>
    </row>
    <row r="1354" spans="1:18" x14ac:dyDescent="0.35">
      <c r="A1354" s="32">
        <f t="shared" si="42"/>
        <v>0</v>
      </c>
      <c r="B1354" s="33"/>
      <c r="C1354" s="34">
        <f t="shared" si="43"/>
        <v>0</v>
      </c>
      <c r="D1354" s="42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4"/>
    </row>
    <row r="1355" spans="1:18" x14ac:dyDescent="0.35">
      <c r="A1355" s="32">
        <f t="shared" si="42"/>
        <v>0</v>
      </c>
      <c r="B1355" s="33"/>
      <c r="C1355" s="34">
        <f t="shared" si="43"/>
        <v>0</v>
      </c>
      <c r="D1355" s="42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4"/>
    </row>
    <row r="1356" spans="1:18" x14ac:dyDescent="0.35">
      <c r="A1356" s="32">
        <f t="shared" si="42"/>
        <v>0</v>
      </c>
      <c r="B1356" s="33"/>
      <c r="C1356" s="34">
        <f t="shared" si="43"/>
        <v>0</v>
      </c>
      <c r="D1356" s="42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4"/>
    </row>
    <row r="1357" spans="1:18" x14ac:dyDescent="0.35">
      <c r="A1357" s="32">
        <f t="shared" si="42"/>
        <v>0</v>
      </c>
      <c r="B1357" s="33"/>
      <c r="C1357" s="34">
        <f t="shared" si="43"/>
        <v>0</v>
      </c>
      <c r="D1357" s="42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4"/>
    </row>
    <row r="1358" spans="1:18" x14ac:dyDescent="0.35">
      <c r="A1358" s="32">
        <f t="shared" si="42"/>
        <v>0</v>
      </c>
      <c r="B1358" s="33"/>
      <c r="C1358" s="34">
        <f t="shared" si="43"/>
        <v>0</v>
      </c>
      <c r="D1358" s="42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4"/>
    </row>
    <row r="1359" spans="1:18" x14ac:dyDescent="0.35">
      <c r="A1359" s="32">
        <f t="shared" si="42"/>
        <v>0</v>
      </c>
      <c r="B1359" s="33"/>
      <c r="C1359" s="34">
        <f t="shared" si="43"/>
        <v>0</v>
      </c>
      <c r="D1359" s="42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4"/>
    </row>
    <row r="1360" spans="1:18" x14ac:dyDescent="0.35">
      <c r="A1360" s="32">
        <f t="shared" si="42"/>
        <v>0</v>
      </c>
      <c r="B1360" s="33"/>
      <c r="C1360" s="34">
        <f t="shared" si="43"/>
        <v>0</v>
      </c>
      <c r="D1360" s="42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4"/>
    </row>
    <row r="1361" spans="1:18" x14ac:dyDescent="0.35">
      <c r="A1361" s="32">
        <f t="shared" si="42"/>
        <v>0</v>
      </c>
      <c r="B1361" s="33"/>
      <c r="C1361" s="34">
        <f t="shared" si="43"/>
        <v>0</v>
      </c>
      <c r="D1361" s="42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4"/>
    </row>
    <row r="1362" spans="1:18" x14ac:dyDescent="0.35">
      <c r="A1362" s="32">
        <f t="shared" si="42"/>
        <v>0</v>
      </c>
      <c r="B1362" s="33"/>
      <c r="C1362" s="34">
        <f t="shared" si="43"/>
        <v>0</v>
      </c>
      <c r="D1362" s="42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4"/>
    </row>
    <row r="1363" spans="1:18" x14ac:dyDescent="0.35">
      <c r="A1363" s="32">
        <f t="shared" si="42"/>
        <v>0</v>
      </c>
      <c r="B1363" s="33"/>
      <c r="C1363" s="34">
        <f t="shared" si="43"/>
        <v>0</v>
      </c>
      <c r="D1363" s="42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4"/>
    </row>
    <row r="1364" spans="1:18" x14ac:dyDescent="0.35">
      <c r="A1364" s="32">
        <f t="shared" si="42"/>
        <v>0</v>
      </c>
      <c r="B1364" s="33"/>
      <c r="C1364" s="34">
        <f t="shared" si="43"/>
        <v>0</v>
      </c>
      <c r="D1364" s="42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4"/>
    </row>
    <row r="1365" spans="1:18" x14ac:dyDescent="0.35">
      <c r="A1365" s="32">
        <f t="shared" si="42"/>
        <v>0</v>
      </c>
      <c r="B1365" s="33"/>
      <c r="C1365" s="34">
        <f t="shared" si="43"/>
        <v>0</v>
      </c>
      <c r="D1365" s="42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4"/>
    </row>
    <row r="1366" spans="1:18" x14ac:dyDescent="0.35">
      <c r="A1366" s="32">
        <f t="shared" si="42"/>
        <v>0</v>
      </c>
      <c r="B1366" s="33"/>
      <c r="C1366" s="34">
        <f t="shared" si="43"/>
        <v>0</v>
      </c>
      <c r="D1366" s="42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4"/>
    </row>
    <row r="1367" spans="1:18" x14ac:dyDescent="0.35">
      <c r="A1367" s="32">
        <f t="shared" si="42"/>
        <v>0</v>
      </c>
      <c r="B1367" s="33"/>
      <c r="C1367" s="34">
        <f t="shared" si="43"/>
        <v>0</v>
      </c>
      <c r="D1367" s="42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4"/>
    </row>
    <row r="1368" spans="1:18" x14ac:dyDescent="0.35">
      <c r="A1368" s="32">
        <f t="shared" si="42"/>
        <v>0</v>
      </c>
      <c r="B1368" s="33"/>
      <c r="C1368" s="34">
        <f t="shared" si="43"/>
        <v>0</v>
      </c>
      <c r="D1368" s="42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4"/>
    </row>
    <row r="1369" spans="1:18" x14ac:dyDescent="0.35">
      <c r="A1369" s="32">
        <f t="shared" si="42"/>
        <v>0</v>
      </c>
      <c r="B1369" s="33"/>
      <c r="C1369" s="34">
        <f t="shared" si="43"/>
        <v>0</v>
      </c>
      <c r="D1369" s="42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4"/>
    </row>
    <row r="1370" spans="1:18" x14ac:dyDescent="0.35">
      <c r="A1370" s="32">
        <f t="shared" si="42"/>
        <v>0</v>
      </c>
      <c r="B1370" s="33"/>
      <c r="C1370" s="34">
        <f t="shared" si="43"/>
        <v>0</v>
      </c>
      <c r="D1370" s="42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4"/>
    </row>
    <row r="1371" spans="1:18" x14ac:dyDescent="0.35">
      <c r="A1371" s="32">
        <f t="shared" si="42"/>
        <v>0</v>
      </c>
      <c r="B1371" s="33"/>
      <c r="C1371" s="34">
        <f t="shared" si="43"/>
        <v>0</v>
      </c>
      <c r="D1371" s="42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4"/>
    </row>
    <row r="1372" spans="1:18" x14ac:dyDescent="0.35">
      <c r="A1372" s="32">
        <f t="shared" si="42"/>
        <v>0</v>
      </c>
      <c r="B1372" s="33"/>
      <c r="C1372" s="34">
        <f t="shared" si="43"/>
        <v>0</v>
      </c>
      <c r="D1372" s="42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4"/>
    </row>
    <row r="1373" spans="1:18" x14ac:dyDescent="0.35">
      <c r="A1373" s="32">
        <f t="shared" si="42"/>
        <v>0</v>
      </c>
      <c r="B1373" s="33"/>
      <c r="C1373" s="34">
        <f t="shared" si="43"/>
        <v>0</v>
      </c>
      <c r="D1373" s="42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4"/>
    </row>
    <row r="1374" spans="1:18" x14ac:dyDescent="0.35">
      <c r="A1374" s="32">
        <f t="shared" si="42"/>
        <v>0</v>
      </c>
      <c r="B1374" s="33"/>
      <c r="C1374" s="34">
        <f t="shared" si="43"/>
        <v>0</v>
      </c>
      <c r="D1374" s="42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4"/>
    </row>
    <row r="1375" spans="1:18" x14ac:dyDescent="0.35">
      <c r="A1375" s="32">
        <f t="shared" si="42"/>
        <v>0</v>
      </c>
      <c r="B1375" s="33"/>
      <c r="C1375" s="34">
        <f t="shared" si="43"/>
        <v>0</v>
      </c>
      <c r="D1375" s="42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4"/>
    </row>
    <row r="1376" spans="1:18" x14ac:dyDescent="0.35">
      <c r="A1376" s="32">
        <f t="shared" si="42"/>
        <v>0</v>
      </c>
      <c r="B1376" s="33"/>
      <c r="C1376" s="34">
        <f t="shared" si="43"/>
        <v>0</v>
      </c>
      <c r="D1376" s="42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4"/>
    </row>
    <row r="1377" spans="1:18" x14ac:dyDescent="0.35">
      <c r="A1377" s="32">
        <f t="shared" si="42"/>
        <v>0</v>
      </c>
      <c r="B1377" s="33"/>
      <c r="C1377" s="34">
        <f t="shared" si="43"/>
        <v>0</v>
      </c>
      <c r="D1377" s="42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4"/>
    </row>
    <row r="1378" spans="1:18" x14ac:dyDescent="0.35">
      <c r="A1378" s="32">
        <f t="shared" si="42"/>
        <v>0</v>
      </c>
      <c r="B1378" s="33"/>
      <c r="C1378" s="34">
        <f t="shared" si="43"/>
        <v>0</v>
      </c>
      <c r="D1378" s="42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4"/>
    </row>
    <row r="1379" spans="1:18" x14ac:dyDescent="0.35">
      <c r="A1379" s="32">
        <f t="shared" si="42"/>
        <v>0</v>
      </c>
      <c r="B1379" s="33"/>
      <c r="C1379" s="34">
        <f t="shared" si="43"/>
        <v>0</v>
      </c>
      <c r="D1379" s="42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4"/>
    </row>
    <row r="1380" spans="1:18" x14ac:dyDescent="0.35">
      <c r="A1380" s="32">
        <f t="shared" si="42"/>
        <v>0</v>
      </c>
      <c r="B1380" s="33"/>
      <c r="C1380" s="34">
        <f t="shared" si="43"/>
        <v>0</v>
      </c>
      <c r="D1380" s="42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4"/>
    </row>
    <row r="1381" spans="1:18" x14ac:dyDescent="0.35">
      <c r="A1381" s="32">
        <f t="shared" si="42"/>
        <v>0</v>
      </c>
      <c r="B1381" s="33"/>
      <c r="C1381" s="34">
        <f t="shared" si="43"/>
        <v>0</v>
      </c>
      <c r="D1381" s="42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4"/>
    </row>
    <row r="1382" spans="1:18" x14ac:dyDescent="0.35">
      <c r="A1382" s="32">
        <f t="shared" si="42"/>
        <v>0</v>
      </c>
      <c r="B1382" s="33"/>
      <c r="C1382" s="34">
        <f t="shared" si="43"/>
        <v>0</v>
      </c>
      <c r="D1382" s="42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4"/>
    </row>
    <row r="1383" spans="1:18" x14ac:dyDescent="0.35">
      <c r="A1383" s="32">
        <f t="shared" si="42"/>
        <v>0</v>
      </c>
      <c r="B1383" s="33"/>
      <c r="C1383" s="34">
        <f t="shared" si="43"/>
        <v>0</v>
      </c>
      <c r="D1383" s="42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4"/>
    </row>
    <row r="1384" spans="1:18" x14ac:dyDescent="0.35">
      <c r="A1384" s="32">
        <f t="shared" si="42"/>
        <v>0</v>
      </c>
      <c r="B1384" s="33"/>
      <c r="C1384" s="34">
        <f t="shared" si="43"/>
        <v>0</v>
      </c>
      <c r="D1384" s="42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4"/>
    </row>
    <row r="1385" spans="1:18" x14ac:dyDescent="0.35">
      <c r="A1385" s="32">
        <f t="shared" si="42"/>
        <v>0</v>
      </c>
      <c r="B1385" s="33"/>
      <c r="C1385" s="34">
        <f t="shared" si="43"/>
        <v>0</v>
      </c>
      <c r="D1385" s="42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4"/>
    </row>
    <row r="1386" spans="1:18" x14ac:dyDescent="0.35">
      <c r="A1386" s="32">
        <f t="shared" si="42"/>
        <v>0</v>
      </c>
      <c r="B1386" s="33"/>
      <c r="C1386" s="34">
        <f t="shared" si="43"/>
        <v>0</v>
      </c>
      <c r="D1386" s="42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4"/>
    </row>
    <row r="1387" spans="1:18" x14ac:dyDescent="0.35">
      <c r="A1387" s="32">
        <f t="shared" si="42"/>
        <v>0</v>
      </c>
      <c r="B1387" s="33"/>
      <c r="C1387" s="34">
        <f t="shared" si="43"/>
        <v>0</v>
      </c>
      <c r="D1387" s="42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4"/>
    </row>
    <row r="1388" spans="1:18" x14ac:dyDescent="0.35">
      <c r="A1388" s="32">
        <f t="shared" si="42"/>
        <v>0</v>
      </c>
      <c r="B1388" s="33"/>
      <c r="C1388" s="34">
        <f t="shared" si="43"/>
        <v>0</v>
      </c>
      <c r="D1388" s="42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4"/>
    </row>
    <row r="1389" spans="1:18" x14ac:dyDescent="0.35">
      <c r="A1389" s="32">
        <f t="shared" si="42"/>
        <v>0</v>
      </c>
      <c r="B1389" s="33"/>
      <c r="C1389" s="34">
        <f t="shared" si="43"/>
        <v>0</v>
      </c>
      <c r="D1389" s="42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4"/>
    </row>
    <row r="1390" spans="1:18" x14ac:dyDescent="0.35">
      <c r="A1390" s="32">
        <f t="shared" si="42"/>
        <v>0</v>
      </c>
      <c r="B1390" s="33"/>
      <c r="C1390" s="34">
        <f t="shared" si="43"/>
        <v>0</v>
      </c>
      <c r="D1390" s="42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4"/>
    </row>
    <row r="1391" spans="1:18" x14ac:dyDescent="0.35">
      <c r="A1391" s="32">
        <f t="shared" si="42"/>
        <v>0</v>
      </c>
      <c r="B1391" s="33"/>
      <c r="C1391" s="34">
        <f t="shared" si="43"/>
        <v>0</v>
      </c>
      <c r="D1391" s="42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4"/>
    </row>
    <row r="1392" spans="1:18" x14ac:dyDescent="0.35">
      <c r="A1392" s="32">
        <f t="shared" si="42"/>
        <v>0</v>
      </c>
      <c r="B1392" s="33"/>
      <c r="C1392" s="34">
        <f t="shared" si="43"/>
        <v>0</v>
      </c>
      <c r="D1392" s="42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4"/>
    </row>
    <row r="1393" spans="1:18" x14ac:dyDescent="0.35">
      <c r="A1393" s="32">
        <f t="shared" si="42"/>
        <v>0</v>
      </c>
      <c r="B1393" s="33"/>
      <c r="C1393" s="34">
        <f t="shared" si="43"/>
        <v>0</v>
      </c>
      <c r="D1393" s="42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4"/>
    </row>
    <row r="1394" spans="1:18" x14ac:dyDescent="0.35">
      <c r="A1394" s="32">
        <f t="shared" si="42"/>
        <v>0</v>
      </c>
      <c r="B1394" s="33"/>
      <c r="C1394" s="34">
        <f t="shared" si="43"/>
        <v>0</v>
      </c>
      <c r="D1394" s="42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4"/>
    </row>
    <row r="1395" spans="1:18" x14ac:dyDescent="0.35">
      <c r="A1395" s="32">
        <f t="shared" si="42"/>
        <v>0</v>
      </c>
      <c r="B1395" s="33"/>
      <c r="C1395" s="34">
        <f t="shared" si="43"/>
        <v>0</v>
      </c>
      <c r="D1395" s="42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4"/>
    </row>
    <row r="1396" spans="1:18" x14ac:dyDescent="0.35">
      <c r="A1396" s="32">
        <f t="shared" si="42"/>
        <v>0</v>
      </c>
      <c r="B1396" s="33"/>
      <c r="C1396" s="34">
        <f t="shared" si="43"/>
        <v>0</v>
      </c>
      <c r="D1396" s="42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4"/>
    </row>
    <row r="1397" spans="1:18" x14ac:dyDescent="0.35">
      <c r="A1397" s="32">
        <f t="shared" si="42"/>
        <v>0</v>
      </c>
      <c r="B1397" s="33"/>
      <c r="C1397" s="34">
        <f t="shared" si="43"/>
        <v>0</v>
      </c>
      <c r="D1397" s="42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4"/>
    </row>
    <row r="1398" spans="1:18" x14ac:dyDescent="0.35">
      <c r="A1398" s="32">
        <f t="shared" si="42"/>
        <v>0</v>
      </c>
      <c r="B1398" s="33"/>
      <c r="C1398" s="34">
        <f t="shared" si="43"/>
        <v>0</v>
      </c>
      <c r="D1398" s="42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4"/>
    </row>
    <row r="1399" spans="1:18" x14ac:dyDescent="0.35">
      <c r="A1399" s="32">
        <f t="shared" si="42"/>
        <v>0</v>
      </c>
      <c r="B1399" s="33"/>
      <c r="C1399" s="34">
        <f t="shared" si="43"/>
        <v>0</v>
      </c>
      <c r="D1399" s="42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4"/>
    </row>
    <row r="1400" spans="1:18" x14ac:dyDescent="0.35">
      <c r="A1400" s="32">
        <f t="shared" si="42"/>
        <v>0</v>
      </c>
      <c r="B1400" s="33"/>
      <c r="C1400" s="34">
        <f t="shared" si="43"/>
        <v>0</v>
      </c>
      <c r="D1400" s="42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4"/>
    </row>
    <row r="1401" spans="1:18" x14ac:dyDescent="0.35">
      <c r="A1401" s="32">
        <f t="shared" si="42"/>
        <v>0</v>
      </c>
      <c r="B1401" s="33"/>
      <c r="C1401" s="34">
        <f t="shared" si="43"/>
        <v>0</v>
      </c>
      <c r="D1401" s="42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4"/>
    </row>
    <row r="1402" spans="1:18" x14ac:dyDescent="0.35">
      <c r="A1402" s="32">
        <f t="shared" si="42"/>
        <v>0</v>
      </c>
      <c r="B1402" s="33"/>
      <c r="C1402" s="34">
        <f t="shared" si="43"/>
        <v>0</v>
      </c>
      <c r="D1402" s="42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4"/>
    </row>
    <row r="1403" spans="1:18" x14ac:dyDescent="0.35">
      <c r="A1403" s="32">
        <f t="shared" si="42"/>
        <v>0</v>
      </c>
      <c r="B1403" s="33"/>
      <c r="C1403" s="34">
        <f t="shared" si="43"/>
        <v>0</v>
      </c>
      <c r="D1403" s="42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4"/>
    </row>
    <row r="1404" spans="1:18" x14ac:dyDescent="0.35">
      <c r="A1404" s="32">
        <f t="shared" si="42"/>
        <v>0</v>
      </c>
      <c r="B1404" s="33"/>
      <c r="C1404" s="34">
        <f t="shared" si="43"/>
        <v>0</v>
      </c>
      <c r="D1404" s="42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4"/>
    </row>
    <row r="1405" spans="1:18" x14ac:dyDescent="0.35">
      <c r="A1405" s="32">
        <f t="shared" si="42"/>
        <v>0</v>
      </c>
      <c r="B1405" s="33"/>
      <c r="C1405" s="34">
        <f t="shared" si="43"/>
        <v>0</v>
      </c>
      <c r="D1405" s="42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4"/>
    </row>
    <row r="1406" spans="1:18" x14ac:dyDescent="0.35">
      <c r="A1406" s="32">
        <f t="shared" si="42"/>
        <v>0</v>
      </c>
      <c r="B1406" s="33"/>
      <c r="C1406" s="34">
        <f t="shared" si="43"/>
        <v>0</v>
      </c>
      <c r="D1406" s="42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4"/>
    </row>
    <row r="1407" spans="1:18" x14ac:dyDescent="0.35">
      <c r="A1407" s="32">
        <f t="shared" si="42"/>
        <v>0</v>
      </c>
      <c r="B1407" s="33"/>
      <c r="C1407" s="34">
        <f t="shared" si="43"/>
        <v>0</v>
      </c>
      <c r="D1407" s="42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4"/>
    </row>
    <row r="1408" spans="1:18" x14ac:dyDescent="0.35">
      <c r="A1408" s="32">
        <f t="shared" si="42"/>
        <v>0</v>
      </c>
      <c r="B1408" s="33"/>
      <c r="C1408" s="34">
        <f t="shared" si="43"/>
        <v>0</v>
      </c>
      <c r="D1408" s="42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4"/>
    </row>
    <row r="1409" spans="1:18" x14ac:dyDescent="0.35">
      <c r="A1409" s="32">
        <f t="shared" si="42"/>
        <v>0</v>
      </c>
      <c r="B1409" s="33"/>
      <c r="C1409" s="34">
        <f t="shared" si="43"/>
        <v>0</v>
      </c>
      <c r="D1409" s="42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4"/>
    </row>
    <row r="1410" spans="1:18" x14ac:dyDescent="0.35">
      <c r="A1410" s="32">
        <f t="shared" si="42"/>
        <v>0</v>
      </c>
      <c r="B1410" s="33"/>
      <c r="C1410" s="34">
        <f t="shared" si="43"/>
        <v>0</v>
      </c>
      <c r="D1410" s="42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4"/>
    </row>
    <row r="1411" spans="1:18" x14ac:dyDescent="0.35">
      <c r="A1411" s="32">
        <f t="shared" si="42"/>
        <v>0</v>
      </c>
      <c r="B1411" s="33"/>
      <c r="C1411" s="34">
        <f t="shared" si="43"/>
        <v>0</v>
      </c>
      <c r="D1411" s="42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4"/>
    </row>
    <row r="1412" spans="1:18" x14ac:dyDescent="0.35">
      <c r="A1412" s="32">
        <f t="shared" ref="A1412:A1475" si="44">F1412</f>
        <v>0</v>
      </c>
      <c r="B1412" s="33"/>
      <c r="C1412" s="34">
        <f t="shared" ref="C1412:C1475" si="45">F1412</f>
        <v>0</v>
      </c>
      <c r="D1412" s="42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4"/>
    </row>
    <row r="1413" spans="1:18" x14ac:dyDescent="0.35">
      <c r="A1413" s="32">
        <f t="shared" si="44"/>
        <v>0</v>
      </c>
      <c r="B1413" s="33"/>
      <c r="C1413" s="34">
        <f t="shared" si="45"/>
        <v>0</v>
      </c>
      <c r="D1413" s="42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4"/>
    </row>
    <row r="1414" spans="1:18" x14ac:dyDescent="0.35">
      <c r="A1414" s="32">
        <f t="shared" si="44"/>
        <v>0</v>
      </c>
      <c r="B1414" s="33"/>
      <c r="C1414" s="34">
        <f t="shared" si="45"/>
        <v>0</v>
      </c>
      <c r="D1414" s="42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4"/>
    </row>
    <row r="1415" spans="1:18" x14ac:dyDescent="0.35">
      <c r="A1415" s="32">
        <f t="shared" si="44"/>
        <v>0</v>
      </c>
      <c r="B1415" s="33"/>
      <c r="C1415" s="34">
        <f t="shared" si="45"/>
        <v>0</v>
      </c>
      <c r="D1415" s="42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4"/>
    </row>
    <row r="1416" spans="1:18" x14ac:dyDescent="0.35">
      <c r="A1416" s="32">
        <f t="shared" si="44"/>
        <v>0</v>
      </c>
      <c r="B1416" s="33"/>
      <c r="C1416" s="34">
        <f t="shared" si="45"/>
        <v>0</v>
      </c>
      <c r="D1416" s="42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4"/>
    </row>
    <row r="1417" spans="1:18" x14ac:dyDescent="0.35">
      <c r="A1417" s="32">
        <f t="shared" si="44"/>
        <v>0</v>
      </c>
      <c r="B1417" s="33"/>
      <c r="C1417" s="34">
        <f t="shared" si="45"/>
        <v>0</v>
      </c>
      <c r="D1417" s="42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4"/>
    </row>
    <row r="1418" spans="1:18" x14ac:dyDescent="0.35">
      <c r="A1418" s="32">
        <f t="shared" si="44"/>
        <v>0</v>
      </c>
      <c r="B1418" s="33"/>
      <c r="C1418" s="34">
        <f t="shared" si="45"/>
        <v>0</v>
      </c>
      <c r="D1418" s="42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4"/>
    </row>
    <row r="1419" spans="1:18" x14ac:dyDescent="0.35">
      <c r="A1419" s="32">
        <f t="shared" si="44"/>
        <v>0</v>
      </c>
      <c r="B1419" s="33"/>
      <c r="C1419" s="34">
        <f t="shared" si="45"/>
        <v>0</v>
      </c>
      <c r="D1419" s="42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4"/>
    </row>
    <row r="1420" spans="1:18" x14ac:dyDescent="0.35">
      <c r="A1420" s="32">
        <f t="shared" si="44"/>
        <v>0</v>
      </c>
      <c r="B1420" s="33"/>
      <c r="C1420" s="34">
        <f t="shared" si="45"/>
        <v>0</v>
      </c>
      <c r="D1420" s="42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4"/>
    </row>
    <row r="1421" spans="1:18" x14ac:dyDescent="0.35">
      <c r="A1421" s="32">
        <f t="shared" si="44"/>
        <v>0</v>
      </c>
      <c r="B1421" s="33"/>
      <c r="C1421" s="34">
        <f t="shared" si="45"/>
        <v>0</v>
      </c>
      <c r="D1421" s="42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4"/>
    </row>
    <row r="1422" spans="1:18" x14ac:dyDescent="0.35">
      <c r="A1422" s="32">
        <f t="shared" si="44"/>
        <v>0</v>
      </c>
      <c r="B1422" s="33"/>
      <c r="C1422" s="34">
        <f t="shared" si="45"/>
        <v>0</v>
      </c>
      <c r="D1422" s="42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4"/>
    </row>
    <row r="1423" spans="1:18" x14ac:dyDescent="0.35">
      <c r="A1423" s="32">
        <f t="shared" si="44"/>
        <v>0</v>
      </c>
      <c r="B1423" s="33"/>
      <c r="C1423" s="34">
        <f t="shared" si="45"/>
        <v>0</v>
      </c>
      <c r="D1423" s="42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4"/>
    </row>
    <row r="1424" spans="1:18" x14ac:dyDescent="0.35">
      <c r="A1424" s="32">
        <f t="shared" si="44"/>
        <v>0</v>
      </c>
      <c r="B1424" s="33"/>
      <c r="C1424" s="34">
        <f t="shared" si="45"/>
        <v>0</v>
      </c>
      <c r="D1424" s="42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4"/>
    </row>
    <row r="1425" spans="1:18" x14ac:dyDescent="0.35">
      <c r="A1425" s="32">
        <f t="shared" si="44"/>
        <v>0</v>
      </c>
      <c r="B1425" s="33"/>
      <c r="C1425" s="34">
        <f t="shared" si="45"/>
        <v>0</v>
      </c>
      <c r="D1425" s="42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4"/>
    </row>
    <row r="1426" spans="1:18" x14ac:dyDescent="0.35">
      <c r="A1426" s="32">
        <f t="shared" si="44"/>
        <v>0</v>
      </c>
      <c r="B1426" s="33"/>
      <c r="C1426" s="34">
        <f t="shared" si="45"/>
        <v>0</v>
      </c>
      <c r="D1426" s="42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4"/>
    </row>
    <row r="1427" spans="1:18" x14ac:dyDescent="0.35">
      <c r="A1427" s="32">
        <f t="shared" si="44"/>
        <v>0</v>
      </c>
      <c r="B1427" s="33"/>
      <c r="C1427" s="34">
        <f t="shared" si="45"/>
        <v>0</v>
      </c>
      <c r="D1427" s="42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4"/>
    </row>
    <row r="1428" spans="1:18" x14ac:dyDescent="0.35">
      <c r="A1428" s="32">
        <f t="shared" si="44"/>
        <v>0</v>
      </c>
      <c r="B1428" s="33"/>
      <c r="C1428" s="34">
        <f t="shared" si="45"/>
        <v>0</v>
      </c>
      <c r="D1428" s="42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4"/>
    </row>
    <row r="1429" spans="1:18" x14ac:dyDescent="0.35">
      <c r="A1429" s="32">
        <f t="shared" si="44"/>
        <v>0</v>
      </c>
      <c r="B1429" s="33"/>
      <c r="C1429" s="34">
        <f t="shared" si="45"/>
        <v>0</v>
      </c>
      <c r="D1429" s="42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4"/>
    </row>
    <row r="1430" spans="1:18" x14ac:dyDescent="0.35">
      <c r="A1430" s="32">
        <f t="shared" si="44"/>
        <v>0</v>
      </c>
      <c r="B1430" s="33"/>
      <c r="C1430" s="34">
        <f t="shared" si="45"/>
        <v>0</v>
      </c>
      <c r="D1430" s="42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4"/>
    </row>
    <row r="1431" spans="1:18" x14ac:dyDescent="0.35">
      <c r="A1431" s="32">
        <f t="shared" si="44"/>
        <v>0</v>
      </c>
      <c r="B1431" s="33"/>
      <c r="C1431" s="34">
        <f t="shared" si="45"/>
        <v>0</v>
      </c>
      <c r="D1431" s="42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4"/>
    </row>
    <row r="1432" spans="1:18" x14ac:dyDescent="0.35">
      <c r="A1432" s="32">
        <f t="shared" si="44"/>
        <v>0</v>
      </c>
      <c r="B1432" s="33"/>
      <c r="C1432" s="34">
        <f t="shared" si="45"/>
        <v>0</v>
      </c>
      <c r="D1432" s="42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4"/>
    </row>
    <row r="1433" spans="1:18" x14ac:dyDescent="0.35">
      <c r="A1433" s="32">
        <f t="shared" si="44"/>
        <v>0</v>
      </c>
      <c r="B1433" s="33"/>
      <c r="C1433" s="34">
        <f t="shared" si="45"/>
        <v>0</v>
      </c>
      <c r="D1433" s="42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4"/>
    </row>
    <row r="1434" spans="1:18" x14ac:dyDescent="0.35">
      <c r="A1434" s="32">
        <f t="shared" si="44"/>
        <v>0</v>
      </c>
      <c r="B1434" s="33"/>
      <c r="C1434" s="34">
        <f t="shared" si="45"/>
        <v>0</v>
      </c>
      <c r="D1434" s="42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4"/>
    </row>
    <row r="1435" spans="1:18" x14ac:dyDescent="0.35">
      <c r="A1435" s="32">
        <f t="shared" si="44"/>
        <v>0</v>
      </c>
      <c r="B1435" s="33"/>
      <c r="C1435" s="34">
        <f t="shared" si="45"/>
        <v>0</v>
      </c>
      <c r="D1435" s="42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4"/>
    </row>
    <row r="1436" spans="1:18" x14ac:dyDescent="0.35">
      <c r="A1436" s="32">
        <f t="shared" si="44"/>
        <v>0</v>
      </c>
      <c r="B1436" s="33"/>
      <c r="C1436" s="34">
        <f t="shared" si="45"/>
        <v>0</v>
      </c>
      <c r="D1436" s="42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4"/>
    </row>
    <row r="1437" spans="1:18" x14ac:dyDescent="0.35">
      <c r="A1437" s="32">
        <f t="shared" si="44"/>
        <v>0</v>
      </c>
      <c r="B1437" s="33"/>
      <c r="C1437" s="34">
        <f t="shared" si="45"/>
        <v>0</v>
      </c>
      <c r="D1437" s="42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4"/>
    </row>
    <row r="1438" spans="1:18" x14ac:dyDescent="0.35">
      <c r="A1438" s="32">
        <f t="shared" si="44"/>
        <v>0</v>
      </c>
      <c r="B1438" s="33"/>
      <c r="C1438" s="34">
        <f t="shared" si="45"/>
        <v>0</v>
      </c>
      <c r="D1438" s="42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4"/>
    </row>
    <row r="1439" spans="1:18" x14ac:dyDescent="0.35">
      <c r="A1439" s="32">
        <f t="shared" si="44"/>
        <v>0</v>
      </c>
      <c r="B1439" s="33"/>
      <c r="C1439" s="34">
        <f t="shared" si="45"/>
        <v>0</v>
      </c>
      <c r="D1439" s="42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4"/>
    </row>
    <row r="1440" spans="1:18" x14ac:dyDescent="0.35">
      <c r="A1440" s="32">
        <f t="shared" si="44"/>
        <v>0</v>
      </c>
      <c r="B1440" s="33"/>
      <c r="C1440" s="34">
        <f t="shared" si="45"/>
        <v>0</v>
      </c>
      <c r="D1440" s="42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4"/>
    </row>
    <row r="1441" spans="1:18" x14ac:dyDescent="0.35">
      <c r="A1441" s="32">
        <f t="shared" si="44"/>
        <v>0</v>
      </c>
      <c r="B1441" s="33"/>
      <c r="C1441" s="34">
        <f t="shared" si="45"/>
        <v>0</v>
      </c>
      <c r="D1441" s="42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4"/>
    </row>
    <row r="1442" spans="1:18" x14ac:dyDescent="0.35">
      <c r="A1442" s="32">
        <f t="shared" si="44"/>
        <v>0</v>
      </c>
      <c r="B1442" s="33"/>
      <c r="C1442" s="34">
        <f t="shared" si="45"/>
        <v>0</v>
      </c>
      <c r="D1442" s="42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4"/>
    </row>
    <row r="1443" spans="1:18" x14ac:dyDescent="0.35">
      <c r="A1443" s="32">
        <f t="shared" si="44"/>
        <v>0</v>
      </c>
      <c r="B1443" s="33"/>
      <c r="C1443" s="34">
        <f t="shared" si="45"/>
        <v>0</v>
      </c>
      <c r="D1443" s="42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4"/>
    </row>
    <row r="1444" spans="1:18" x14ac:dyDescent="0.35">
      <c r="A1444" s="32">
        <f t="shared" si="44"/>
        <v>0</v>
      </c>
      <c r="B1444" s="33"/>
      <c r="C1444" s="34">
        <f t="shared" si="45"/>
        <v>0</v>
      </c>
      <c r="D1444" s="42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4"/>
    </row>
    <row r="1445" spans="1:18" x14ac:dyDescent="0.35">
      <c r="A1445" s="32">
        <f t="shared" si="44"/>
        <v>0</v>
      </c>
      <c r="B1445" s="33"/>
      <c r="C1445" s="34">
        <f t="shared" si="45"/>
        <v>0</v>
      </c>
      <c r="D1445" s="42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4"/>
    </row>
    <row r="1446" spans="1:18" x14ac:dyDescent="0.35">
      <c r="A1446" s="32">
        <f t="shared" si="44"/>
        <v>0</v>
      </c>
      <c r="B1446" s="33"/>
      <c r="C1446" s="34">
        <f t="shared" si="45"/>
        <v>0</v>
      </c>
      <c r="D1446" s="42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4"/>
    </row>
    <row r="1447" spans="1:18" x14ac:dyDescent="0.35">
      <c r="A1447" s="32">
        <f t="shared" si="44"/>
        <v>0</v>
      </c>
      <c r="B1447" s="33"/>
      <c r="C1447" s="34">
        <f t="shared" si="45"/>
        <v>0</v>
      </c>
      <c r="D1447" s="42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4"/>
    </row>
    <row r="1448" spans="1:18" x14ac:dyDescent="0.35">
      <c r="A1448" s="32">
        <f t="shared" si="44"/>
        <v>0</v>
      </c>
      <c r="B1448" s="33"/>
      <c r="C1448" s="34">
        <f t="shared" si="45"/>
        <v>0</v>
      </c>
      <c r="D1448" s="42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4"/>
    </row>
    <row r="1449" spans="1:18" x14ac:dyDescent="0.35">
      <c r="A1449" s="32">
        <f t="shared" si="44"/>
        <v>0</v>
      </c>
      <c r="B1449" s="33"/>
      <c r="C1449" s="34">
        <f t="shared" si="45"/>
        <v>0</v>
      </c>
      <c r="D1449" s="42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4"/>
    </row>
    <row r="1450" spans="1:18" x14ac:dyDescent="0.35">
      <c r="A1450" s="32">
        <f t="shared" si="44"/>
        <v>0</v>
      </c>
      <c r="B1450" s="33"/>
      <c r="C1450" s="34">
        <f t="shared" si="45"/>
        <v>0</v>
      </c>
      <c r="D1450" s="42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4"/>
    </row>
    <row r="1451" spans="1:18" x14ac:dyDescent="0.35">
      <c r="A1451" s="32">
        <f t="shared" si="44"/>
        <v>0</v>
      </c>
      <c r="B1451" s="33"/>
      <c r="C1451" s="34">
        <f t="shared" si="45"/>
        <v>0</v>
      </c>
      <c r="D1451" s="42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4"/>
    </row>
    <row r="1452" spans="1:18" x14ac:dyDescent="0.35">
      <c r="A1452" s="32">
        <f t="shared" si="44"/>
        <v>0</v>
      </c>
      <c r="B1452" s="33"/>
      <c r="C1452" s="34">
        <f t="shared" si="45"/>
        <v>0</v>
      </c>
      <c r="D1452" s="42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4"/>
    </row>
    <row r="1453" spans="1:18" x14ac:dyDescent="0.35">
      <c r="A1453" s="32">
        <f t="shared" si="44"/>
        <v>0</v>
      </c>
      <c r="B1453" s="33"/>
      <c r="C1453" s="34">
        <f t="shared" si="45"/>
        <v>0</v>
      </c>
      <c r="D1453" s="42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4"/>
    </row>
    <row r="1454" spans="1:18" x14ac:dyDescent="0.35">
      <c r="A1454" s="32">
        <f t="shared" si="44"/>
        <v>0</v>
      </c>
      <c r="B1454" s="33"/>
      <c r="C1454" s="34">
        <f t="shared" si="45"/>
        <v>0</v>
      </c>
      <c r="D1454" s="42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4"/>
    </row>
    <row r="1455" spans="1:18" x14ac:dyDescent="0.35">
      <c r="A1455" s="32">
        <f t="shared" si="44"/>
        <v>0</v>
      </c>
      <c r="B1455" s="33"/>
      <c r="C1455" s="34">
        <f t="shared" si="45"/>
        <v>0</v>
      </c>
      <c r="D1455" s="42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4"/>
    </row>
    <row r="1456" spans="1:18" x14ac:dyDescent="0.35">
      <c r="A1456" s="32">
        <f t="shared" si="44"/>
        <v>0</v>
      </c>
      <c r="B1456" s="33"/>
      <c r="C1456" s="34">
        <f t="shared" si="45"/>
        <v>0</v>
      </c>
      <c r="D1456" s="42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4"/>
    </row>
    <row r="1457" spans="1:18" x14ac:dyDescent="0.35">
      <c r="A1457" s="32">
        <f t="shared" si="44"/>
        <v>0</v>
      </c>
      <c r="B1457" s="33"/>
      <c r="C1457" s="34">
        <f t="shared" si="45"/>
        <v>0</v>
      </c>
      <c r="D1457" s="42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4"/>
    </row>
    <row r="1458" spans="1:18" x14ac:dyDescent="0.35">
      <c r="A1458" s="32">
        <f t="shared" si="44"/>
        <v>0</v>
      </c>
      <c r="B1458" s="33"/>
      <c r="C1458" s="34">
        <f t="shared" si="45"/>
        <v>0</v>
      </c>
      <c r="D1458" s="42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4"/>
    </row>
    <row r="1459" spans="1:18" x14ac:dyDescent="0.35">
      <c r="A1459" s="32">
        <f t="shared" si="44"/>
        <v>0</v>
      </c>
      <c r="B1459" s="33"/>
      <c r="C1459" s="34">
        <f t="shared" si="45"/>
        <v>0</v>
      </c>
      <c r="D1459" s="42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4"/>
    </row>
    <row r="1460" spans="1:18" x14ac:dyDescent="0.35">
      <c r="A1460" s="32">
        <f t="shared" si="44"/>
        <v>0</v>
      </c>
      <c r="B1460" s="33"/>
      <c r="C1460" s="34">
        <f t="shared" si="45"/>
        <v>0</v>
      </c>
      <c r="D1460" s="42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4"/>
    </row>
    <row r="1461" spans="1:18" x14ac:dyDescent="0.35">
      <c r="A1461" s="32">
        <f t="shared" si="44"/>
        <v>0</v>
      </c>
      <c r="B1461" s="33"/>
      <c r="C1461" s="34">
        <f t="shared" si="45"/>
        <v>0</v>
      </c>
      <c r="D1461" s="42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4"/>
    </row>
    <row r="1462" spans="1:18" x14ac:dyDescent="0.35">
      <c r="A1462" s="32">
        <f t="shared" si="44"/>
        <v>0</v>
      </c>
      <c r="B1462" s="33"/>
      <c r="C1462" s="34">
        <f t="shared" si="45"/>
        <v>0</v>
      </c>
      <c r="D1462" s="42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4"/>
    </row>
    <row r="1463" spans="1:18" x14ac:dyDescent="0.35">
      <c r="A1463" s="32">
        <f t="shared" si="44"/>
        <v>0</v>
      </c>
      <c r="B1463" s="33"/>
      <c r="C1463" s="34">
        <f t="shared" si="45"/>
        <v>0</v>
      </c>
      <c r="D1463" s="42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4"/>
    </row>
    <row r="1464" spans="1:18" x14ac:dyDescent="0.35">
      <c r="A1464" s="32">
        <f t="shared" si="44"/>
        <v>0</v>
      </c>
      <c r="B1464" s="33"/>
      <c r="C1464" s="34">
        <f t="shared" si="45"/>
        <v>0</v>
      </c>
      <c r="D1464" s="42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4"/>
    </row>
    <row r="1465" spans="1:18" x14ac:dyDescent="0.35">
      <c r="A1465" s="32">
        <f t="shared" si="44"/>
        <v>0</v>
      </c>
      <c r="B1465" s="33"/>
      <c r="C1465" s="34">
        <f t="shared" si="45"/>
        <v>0</v>
      </c>
      <c r="D1465" s="42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4"/>
    </row>
    <row r="1466" spans="1:18" x14ac:dyDescent="0.35">
      <c r="A1466" s="32">
        <f t="shared" si="44"/>
        <v>0</v>
      </c>
      <c r="B1466" s="33"/>
      <c r="C1466" s="34">
        <f t="shared" si="45"/>
        <v>0</v>
      </c>
      <c r="D1466" s="42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4"/>
    </row>
    <row r="1467" spans="1:18" x14ac:dyDescent="0.35">
      <c r="A1467" s="32">
        <f t="shared" si="44"/>
        <v>0</v>
      </c>
      <c r="B1467" s="33"/>
      <c r="C1467" s="34">
        <f t="shared" si="45"/>
        <v>0</v>
      </c>
      <c r="D1467" s="42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4"/>
    </row>
    <row r="1468" spans="1:18" x14ac:dyDescent="0.35">
      <c r="A1468" s="32">
        <f t="shared" si="44"/>
        <v>0</v>
      </c>
      <c r="B1468" s="33"/>
      <c r="C1468" s="34">
        <f t="shared" si="45"/>
        <v>0</v>
      </c>
      <c r="D1468" s="42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4"/>
    </row>
    <row r="1469" spans="1:18" x14ac:dyDescent="0.35">
      <c r="A1469" s="32">
        <f t="shared" si="44"/>
        <v>0</v>
      </c>
      <c r="B1469" s="33"/>
      <c r="C1469" s="34">
        <f t="shared" si="45"/>
        <v>0</v>
      </c>
      <c r="D1469" s="42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4"/>
    </row>
    <row r="1470" spans="1:18" x14ac:dyDescent="0.35">
      <c r="A1470" s="32">
        <f t="shared" si="44"/>
        <v>0</v>
      </c>
      <c r="B1470" s="33"/>
      <c r="C1470" s="34">
        <f t="shared" si="45"/>
        <v>0</v>
      </c>
      <c r="D1470" s="42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4"/>
    </row>
    <row r="1471" spans="1:18" x14ac:dyDescent="0.35">
      <c r="A1471" s="32">
        <f t="shared" si="44"/>
        <v>0</v>
      </c>
      <c r="B1471" s="33"/>
      <c r="C1471" s="34">
        <f t="shared" si="45"/>
        <v>0</v>
      </c>
      <c r="D1471" s="42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4"/>
    </row>
    <row r="1472" spans="1:18" x14ac:dyDescent="0.35">
      <c r="A1472" s="32">
        <f t="shared" si="44"/>
        <v>0</v>
      </c>
      <c r="B1472" s="33"/>
      <c r="C1472" s="34">
        <f t="shared" si="45"/>
        <v>0</v>
      </c>
      <c r="D1472" s="42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4"/>
    </row>
    <row r="1473" spans="1:18" x14ac:dyDescent="0.35">
      <c r="A1473" s="32">
        <f t="shared" si="44"/>
        <v>0</v>
      </c>
      <c r="B1473" s="33"/>
      <c r="C1473" s="34">
        <f t="shared" si="45"/>
        <v>0</v>
      </c>
      <c r="D1473" s="42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4"/>
    </row>
    <row r="1474" spans="1:18" x14ac:dyDescent="0.35">
      <c r="A1474" s="32">
        <f t="shared" si="44"/>
        <v>0</v>
      </c>
      <c r="B1474" s="33"/>
      <c r="C1474" s="34">
        <f t="shared" si="45"/>
        <v>0</v>
      </c>
      <c r="D1474" s="42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4"/>
    </row>
    <row r="1475" spans="1:18" x14ac:dyDescent="0.35">
      <c r="A1475" s="32">
        <f t="shared" si="44"/>
        <v>0</v>
      </c>
      <c r="B1475" s="33"/>
      <c r="C1475" s="34">
        <f t="shared" si="45"/>
        <v>0</v>
      </c>
      <c r="D1475" s="42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4"/>
    </row>
    <row r="1476" spans="1:18" x14ac:dyDescent="0.35">
      <c r="A1476" s="32">
        <f t="shared" ref="A1476:A1539" si="46">F1476</f>
        <v>0</v>
      </c>
      <c r="B1476" s="33"/>
      <c r="C1476" s="34">
        <f t="shared" ref="C1476:C1539" si="47">F1476</f>
        <v>0</v>
      </c>
      <c r="D1476" s="42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4"/>
    </row>
    <row r="1477" spans="1:18" x14ac:dyDescent="0.35">
      <c r="A1477" s="32">
        <f t="shared" si="46"/>
        <v>0</v>
      </c>
      <c r="B1477" s="33"/>
      <c r="C1477" s="34">
        <f t="shared" si="47"/>
        <v>0</v>
      </c>
      <c r="D1477" s="42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4"/>
    </row>
    <row r="1478" spans="1:18" x14ac:dyDescent="0.35">
      <c r="A1478" s="32">
        <f t="shared" si="46"/>
        <v>0</v>
      </c>
      <c r="B1478" s="33"/>
      <c r="C1478" s="34">
        <f t="shared" si="47"/>
        <v>0</v>
      </c>
      <c r="D1478" s="42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4"/>
    </row>
    <row r="1479" spans="1:18" x14ac:dyDescent="0.35">
      <c r="A1479" s="32">
        <f t="shared" si="46"/>
        <v>0</v>
      </c>
      <c r="B1479" s="33"/>
      <c r="C1479" s="34">
        <f t="shared" si="47"/>
        <v>0</v>
      </c>
      <c r="D1479" s="42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4"/>
    </row>
    <row r="1480" spans="1:18" x14ac:dyDescent="0.35">
      <c r="A1480" s="32">
        <f t="shared" si="46"/>
        <v>0</v>
      </c>
      <c r="B1480" s="33"/>
      <c r="C1480" s="34">
        <f t="shared" si="47"/>
        <v>0</v>
      </c>
      <c r="D1480" s="42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4"/>
    </row>
    <row r="1481" spans="1:18" x14ac:dyDescent="0.35">
      <c r="A1481" s="32">
        <f t="shared" si="46"/>
        <v>0</v>
      </c>
      <c r="B1481" s="33"/>
      <c r="C1481" s="34">
        <f t="shared" si="47"/>
        <v>0</v>
      </c>
      <c r="D1481" s="42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4"/>
    </row>
    <row r="1482" spans="1:18" x14ac:dyDescent="0.35">
      <c r="A1482" s="32">
        <f t="shared" si="46"/>
        <v>0</v>
      </c>
      <c r="B1482" s="33"/>
      <c r="C1482" s="34">
        <f t="shared" si="47"/>
        <v>0</v>
      </c>
      <c r="D1482" s="42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4"/>
    </row>
    <row r="1483" spans="1:18" x14ac:dyDescent="0.35">
      <c r="A1483" s="32">
        <f t="shared" si="46"/>
        <v>0</v>
      </c>
      <c r="B1483" s="33"/>
      <c r="C1483" s="34">
        <f t="shared" si="47"/>
        <v>0</v>
      </c>
      <c r="D1483" s="42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4"/>
    </row>
    <row r="1484" spans="1:18" x14ac:dyDescent="0.35">
      <c r="A1484" s="32">
        <f t="shared" si="46"/>
        <v>0</v>
      </c>
      <c r="B1484" s="33"/>
      <c r="C1484" s="34">
        <f t="shared" si="47"/>
        <v>0</v>
      </c>
      <c r="D1484" s="42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4"/>
    </row>
    <row r="1485" spans="1:18" x14ac:dyDescent="0.35">
      <c r="A1485" s="32">
        <f t="shared" si="46"/>
        <v>0</v>
      </c>
      <c r="B1485" s="33"/>
      <c r="C1485" s="34">
        <f t="shared" si="47"/>
        <v>0</v>
      </c>
      <c r="D1485" s="42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4"/>
    </row>
    <row r="1486" spans="1:18" x14ac:dyDescent="0.35">
      <c r="A1486" s="32">
        <f t="shared" si="46"/>
        <v>0</v>
      </c>
      <c r="B1486" s="33"/>
      <c r="C1486" s="34">
        <f t="shared" si="47"/>
        <v>0</v>
      </c>
      <c r="D1486" s="42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4"/>
    </row>
    <row r="1487" spans="1:18" x14ac:dyDescent="0.35">
      <c r="A1487" s="32">
        <f t="shared" si="46"/>
        <v>0</v>
      </c>
      <c r="B1487" s="33"/>
      <c r="C1487" s="34">
        <f t="shared" si="47"/>
        <v>0</v>
      </c>
      <c r="D1487" s="42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4"/>
    </row>
    <row r="1488" spans="1:18" x14ac:dyDescent="0.35">
      <c r="A1488" s="32">
        <f t="shared" si="46"/>
        <v>0</v>
      </c>
      <c r="B1488" s="33"/>
      <c r="C1488" s="34">
        <f t="shared" si="47"/>
        <v>0</v>
      </c>
      <c r="D1488" s="42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4"/>
    </row>
    <row r="1489" spans="1:18" x14ac:dyDescent="0.35">
      <c r="A1489" s="32">
        <f t="shared" si="46"/>
        <v>0</v>
      </c>
      <c r="B1489" s="33"/>
      <c r="C1489" s="34">
        <f t="shared" si="47"/>
        <v>0</v>
      </c>
      <c r="D1489" s="42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4"/>
    </row>
    <row r="1490" spans="1:18" x14ac:dyDescent="0.35">
      <c r="A1490" s="32">
        <f t="shared" si="46"/>
        <v>0</v>
      </c>
      <c r="B1490" s="33"/>
      <c r="C1490" s="34">
        <f t="shared" si="47"/>
        <v>0</v>
      </c>
      <c r="D1490" s="42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4"/>
    </row>
    <row r="1491" spans="1:18" x14ac:dyDescent="0.35">
      <c r="A1491" s="32">
        <f t="shared" si="46"/>
        <v>0</v>
      </c>
      <c r="B1491" s="33"/>
      <c r="C1491" s="34">
        <f t="shared" si="47"/>
        <v>0</v>
      </c>
      <c r="D1491" s="42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4"/>
    </row>
    <row r="1492" spans="1:18" x14ac:dyDescent="0.35">
      <c r="A1492" s="32">
        <f t="shared" si="46"/>
        <v>0</v>
      </c>
      <c r="B1492" s="33"/>
      <c r="C1492" s="34">
        <f t="shared" si="47"/>
        <v>0</v>
      </c>
      <c r="D1492" s="42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4"/>
    </row>
    <row r="1493" spans="1:18" x14ac:dyDescent="0.35">
      <c r="A1493" s="32">
        <f t="shared" si="46"/>
        <v>0</v>
      </c>
      <c r="B1493" s="33"/>
      <c r="C1493" s="34">
        <f t="shared" si="47"/>
        <v>0</v>
      </c>
      <c r="D1493" s="42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4"/>
    </row>
    <row r="1494" spans="1:18" x14ac:dyDescent="0.35">
      <c r="A1494" s="32">
        <f t="shared" si="46"/>
        <v>0</v>
      </c>
      <c r="B1494" s="33"/>
      <c r="C1494" s="34">
        <f t="shared" si="47"/>
        <v>0</v>
      </c>
      <c r="D1494" s="42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4"/>
    </row>
    <row r="1495" spans="1:18" x14ac:dyDescent="0.35">
      <c r="A1495" s="32">
        <f t="shared" si="46"/>
        <v>0</v>
      </c>
      <c r="B1495" s="33"/>
      <c r="C1495" s="34">
        <f t="shared" si="47"/>
        <v>0</v>
      </c>
      <c r="D1495" s="42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4"/>
    </row>
    <row r="1496" spans="1:18" x14ac:dyDescent="0.35">
      <c r="A1496" s="32">
        <f t="shared" si="46"/>
        <v>0</v>
      </c>
      <c r="B1496" s="33"/>
      <c r="C1496" s="34">
        <f t="shared" si="47"/>
        <v>0</v>
      </c>
      <c r="D1496" s="42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4"/>
    </row>
    <row r="1497" spans="1:18" x14ac:dyDescent="0.35">
      <c r="A1497" s="32">
        <f t="shared" si="46"/>
        <v>0</v>
      </c>
      <c r="B1497" s="33"/>
      <c r="C1497" s="34">
        <f t="shared" si="47"/>
        <v>0</v>
      </c>
      <c r="D1497" s="42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4"/>
    </row>
    <row r="1498" spans="1:18" x14ac:dyDescent="0.35">
      <c r="A1498" s="32">
        <f t="shared" si="46"/>
        <v>0</v>
      </c>
      <c r="B1498" s="33"/>
      <c r="C1498" s="34">
        <f t="shared" si="47"/>
        <v>0</v>
      </c>
      <c r="D1498" s="42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4"/>
    </row>
    <row r="1499" spans="1:18" x14ac:dyDescent="0.35">
      <c r="A1499" s="32">
        <f t="shared" si="46"/>
        <v>0</v>
      </c>
      <c r="B1499" s="33"/>
      <c r="C1499" s="34">
        <f t="shared" si="47"/>
        <v>0</v>
      </c>
      <c r="D1499" s="42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4"/>
    </row>
    <row r="1500" spans="1:18" x14ac:dyDescent="0.35">
      <c r="A1500" s="32">
        <f t="shared" si="46"/>
        <v>0</v>
      </c>
      <c r="B1500" s="33"/>
      <c r="C1500" s="34">
        <f t="shared" si="47"/>
        <v>0</v>
      </c>
      <c r="D1500" s="42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4"/>
    </row>
    <row r="1501" spans="1:18" x14ac:dyDescent="0.35">
      <c r="A1501" s="32">
        <f t="shared" si="46"/>
        <v>0</v>
      </c>
      <c r="B1501" s="33"/>
      <c r="C1501" s="34">
        <f t="shared" si="47"/>
        <v>0</v>
      </c>
      <c r="D1501" s="42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4"/>
    </row>
    <row r="1502" spans="1:18" x14ac:dyDescent="0.35">
      <c r="A1502" s="32">
        <f t="shared" si="46"/>
        <v>0</v>
      </c>
      <c r="B1502" s="33"/>
      <c r="C1502" s="34">
        <f t="shared" si="47"/>
        <v>0</v>
      </c>
      <c r="D1502" s="42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4"/>
    </row>
    <row r="1503" spans="1:18" x14ac:dyDescent="0.35">
      <c r="A1503" s="32">
        <f t="shared" si="46"/>
        <v>0</v>
      </c>
      <c r="B1503" s="33"/>
      <c r="C1503" s="34">
        <f t="shared" si="47"/>
        <v>0</v>
      </c>
      <c r="D1503" s="42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4"/>
    </row>
    <row r="1504" spans="1:18" x14ac:dyDescent="0.35">
      <c r="A1504" s="32">
        <f t="shared" si="46"/>
        <v>0</v>
      </c>
      <c r="B1504" s="33"/>
      <c r="C1504" s="34">
        <f t="shared" si="47"/>
        <v>0</v>
      </c>
      <c r="D1504" s="42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4"/>
    </row>
    <row r="1505" spans="1:18" x14ac:dyDescent="0.35">
      <c r="A1505" s="32">
        <f t="shared" si="46"/>
        <v>0</v>
      </c>
      <c r="B1505" s="33"/>
      <c r="C1505" s="34">
        <f t="shared" si="47"/>
        <v>0</v>
      </c>
      <c r="D1505" s="42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4"/>
    </row>
    <row r="1506" spans="1:18" x14ac:dyDescent="0.35">
      <c r="A1506" s="32">
        <f t="shared" si="46"/>
        <v>0</v>
      </c>
      <c r="B1506" s="33"/>
      <c r="C1506" s="34">
        <f t="shared" si="47"/>
        <v>0</v>
      </c>
      <c r="D1506" s="42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4"/>
    </row>
    <row r="1507" spans="1:18" x14ac:dyDescent="0.35">
      <c r="A1507" s="32">
        <f t="shared" si="46"/>
        <v>0</v>
      </c>
      <c r="B1507" s="33"/>
      <c r="C1507" s="34">
        <f t="shared" si="47"/>
        <v>0</v>
      </c>
      <c r="D1507" s="42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4"/>
    </row>
    <row r="1508" spans="1:18" x14ac:dyDescent="0.35">
      <c r="A1508" s="32">
        <f t="shared" si="46"/>
        <v>0</v>
      </c>
      <c r="B1508" s="33"/>
      <c r="C1508" s="34">
        <f t="shared" si="47"/>
        <v>0</v>
      </c>
      <c r="D1508" s="42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4"/>
    </row>
    <row r="1509" spans="1:18" x14ac:dyDescent="0.35">
      <c r="A1509" s="32">
        <f t="shared" si="46"/>
        <v>0</v>
      </c>
      <c r="B1509" s="33"/>
      <c r="C1509" s="34">
        <f t="shared" si="47"/>
        <v>0</v>
      </c>
      <c r="D1509" s="42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4"/>
    </row>
    <row r="1510" spans="1:18" x14ac:dyDescent="0.35">
      <c r="A1510" s="32">
        <f t="shared" si="46"/>
        <v>0</v>
      </c>
      <c r="B1510" s="33"/>
      <c r="C1510" s="34">
        <f t="shared" si="47"/>
        <v>0</v>
      </c>
      <c r="D1510" s="42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4"/>
    </row>
    <row r="1511" spans="1:18" x14ac:dyDescent="0.35">
      <c r="A1511" s="32">
        <f t="shared" si="46"/>
        <v>0</v>
      </c>
      <c r="B1511" s="33"/>
      <c r="C1511" s="34">
        <f t="shared" si="47"/>
        <v>0</v>
      </c>
      <c r="D1511" s="42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4"/>
    </row>
    <row r="1512" spans="1:18" x14ac:dyDescent="0.35">
      <c r="A1512" s="32">
        <f t="shared" si="46"/>
        <v>0</v>
      </c>
      <c r="B1512" s="33"/>
      <c r="C1512" s="34">
        <f t="shared" si="47"/>
        <v>0</v>
      </c>
      <c r="D1512" s="42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4"/>
    </row>
    <row r="1513" spans="1:18" x14ac:dyDescent="0.35">
      <c r="A1513" s="32">
        <f t="shared" si="46"/>
        <v>0</v>
      </c>
      <c r="B1513" s="33"/>
      <c r="C1513" s="34">
        <f t="shared" si="47"/>
        <v>0</v>
      </c>
      <c r="D1513" s="42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4"/>
    </row>
    <row r="1514" spans="1:18" x14ac:dyDescent="0.35">
      <c r="A1514" s="32">
        <f t="shared" si="46"/>
        <v>0</v>
      </c>
      <c r="B1514" s="33"/>
      <c r="C1514" s="34">
        <f t="shared" si="47"/>
        <v>0</v>
      </c>
      <c r="D1514" s="42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4"/>
    </row>
    <row r="1515" spans="1:18" x14ac:dyDescent="0.35">
      <c r="A1515" s="32">
        <f t="shared" si="46"/>
        <v>0</v>
      </c>
      <c r="B1515" s="33"/>
      <c r="C1515" s="34">
        <f t="shared" si="47"/>
        <v>0</v>
      </c>
      <c r="D1515" s="42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4"/>
    </row>
    <row r="1516" spans="1:18" x14ac:dyDescent="0.35">
      <c r="A1516" s="32">
        <f t="shared" si="46"/>
        <v>0</v>
      </c>
      <c r="B1516" s="33"/>
      <c r="C1516" s="34">
        <f t="shared" si="47"/>
        <v>0</v>
      </c>
      <c r="D1516" s="42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4"/>
    </row>
    <row r="1517" spans="1:18" x14ac:dyDescent="0.35">
      <c r="A1517" s="32">
        <f t="shared" si="46"/>
        <v>0</v>
      </c>
      <c r="B1517" s="33"/>
      <c r="C1517" s="34">
        <f t="shared" si="47"/>
        <v>0</v>
      </c>
      <c r="D1517" s="42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4"/>
    </row>
    <row r="1518" spans="1:18" x14ac:dyDescent="0.35">
      <c r="A1518" s="32">
        <f t="shared" si="46"/>
        <v>0</v>
      </c>
      <c r="B1518" s="33"/>
      <c r="C1518" s="34">
        <f t="shared" si="47"/>
        <v>0</v>
      </c>
      <c r="D1518" s="42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4"/>
    </row>
    <row r="1519" spans="1:18" x14ac:dyDescent="0.35">
      <c r="A1519" s="32">
        <f t="shared" si="46"/>
        <v>0</v>
      </c>
      <c r="B1519" s="33"/>
      <c r="C1519" s="34">
        <f t="shared" si="47"/>
        <v>0</v>
      </c>
      <c r="D1519" s="42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4"/>
    </row>
    <row r="1520" spans="1:18" x14ac:dyDescent="0.35">
      <c r="A1520" s="32">
        <f t="shared" si="46"/>
        <v>0</v>
      </c>
      <c r="B1520" s="33"/>
      <c r="C1520" s="34">
        <f t="shared" si="47"/>
        <v>0</v>
      </c>
      <c r="D1520" s="42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4"/>
    </row>
    <row r="1521" spans="1:18" x14ac:dyDescent="0.35">
      <c r="A1521" s="32">
        <f t="shared" si="46"/>
        <v>0</v>
      </c>
      <c r="B1521" s="33"/>
      <c r="C1521" s="34">
        <f t="shared" si="47"/>
        <v>0</v>
      </c>
      <c r="D1521" s="42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4"/>
    </row>
    <row r="1522" spans="1:18" x14ac:dyDescent="0.35">
      <c r="A1522" s="32">
        <f t="shared" si="46"/>
        <v>0</v>
      </c>
      <c r="B1522" s="33"/>
      <c r="C1522" s="34">
        <f t="shared" si="47"/>
        <v>0</v>
      </c>
      <c r="D1522" s="42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4"/>
    </row>
    <row r="1523" spans="1:18" x14ac:dyDescent="0.35">
      <c r="A1523" s="32">
        <f t="shared" si="46"/>
        <v>0</v>
      </c>
      <c r="B1523" s="33"/>
      <c r="C1523" s="34">
        <f t="shared" si="47"/>
        <v>0</v>
      </c>
      <c r="D1523" s="42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4"/>
    </row>
    <row r="1524" spans="1:18" x14ac:dyDescent="0.35">
      <c r="A1524" s="32">
        <f t="shared" si="46"/>
        <v>0</v>
      </c>
      <c r="B1524" s="33"/>
      <c r="C1524" s="34">
        <f t="shared" si="47"/>
        <v>0</v>
      </c>
      <c r="D1524" s="42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4"/>
    </row>
    <row r="1525" spans="1:18" x14ac:dyDescent="0.35">
      <c r="A1525" s="32">
        <f t="shared" si="46"/>
        <v>0</v>
      </c>
      <c r="B1525" s="33"/>
      <c r="C1525" s="34">
        <f t="shared" si="47"/>
        <v>0</v>
      </c>
      <c r="D1525" s="42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4"/>
    </row>
    <row r="1526" spans="1:18" x14ac:dyDescent="0.35">
      <c r="A1526" s="32">
        <f t="shared" si="46"/>
        <v>0</v>
      </c>
      <c r="B1526" s="33"/>
      <c r="C1526" s="34">
        <f t="shared" si="47"/>
        <v>0</v>
      </c>
      <c r="D1526" s="42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4"/>
    </row>
    <row r="1527" spans="1:18" x14ac:dyDescent="0.35">
      <c r="A1527" s="32">
        <f t="shared" si="46"/>
        <v>0</v>
      </c>
      <c r="B1527" s="33"/>
      <c r="C1527" s="34">
        <f t="shared" si="47"/>
        <v>0</v>
      </c>
      <c r="D1527" s="42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4"/>
    </row>
    <row r="1528" spans="1:18" x14ac:dyDescent="0.35">
      <c r="A1528" s="32">
        <f t="shared" si="46"/>
        <v>0</v>
      </c>
      <c r="B1528" s="33"/>
      <c r="C1528" s="34">
        <f t="shared" si="47"/>
        <v>0</v>
      </c>
      <c r="D1528" s="42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4"/>
    </row>
    <row r="1529" spans="1:18" x14ac:dyDescent="0.35">
      <c r="A1529" s="32">
        <f t="shared" si="46"/>
        <v>0</v>
      </c>
      <c r="B1529" s="33"/>
      <c r="C1529" s="34">
        <f t="shared" si="47"/>
        <v>0</v>
      </c>
      <c r="D1529" s="42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4"/>
    </row>
    <row r="1530" spans="1:18" x14ac:dyDescent="0.35">
      <c r="A1530" s="32">
        <f t="shared" si="46"/>
        <v>0</v>
      </c>
      <c r="B1530" s="33"/>
      <c r="C1530" s="34">
        <f t="shared" si="47"/>
        <v>0</v>
      </c>
      <c r="D1530" s="42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4"/>
    </row>
    <row r="1531" spans="1:18" x14ac:dyDescent="0.35">
      <c r="A1531" s="32">
        <f t="shared" si="46"/>
        <v>0</v>
      </c>
      <c r="B1531" s="33"/>
      <c r="C1531" s="34">
        <f t="shared" si="47"/>
        <v>0</v>
      </c>
      <c r="D1531" s="42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4"/>
    </row>
    <row r="1532" spans="1:18" x14ac:dyDescent="0.35">
      <c r="A1532" s="32">
        <f t="shared" si="46"/>
        <v>0</v>
      </c>
      <c r="B1532" s="33"/>
      <c r="C1532" s="34">
        <f t="shared" si="47"/>
        <v>0</v>
      </c>
      <c r="D1532" s="42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4"/>
    </row>
    <row r="1533" spans="1:18" x14ac:dyDescent="0.35">
      <c r="A1533" s="32">
        <f t="shared" si="46"/>
        <v>0</v>
      </c>
      <c r="B1533" s="33"/>
      <c r="C1533" s="34">
        <f t="shared" si="47"/>
        <v>0</v>
      </c>
      <c r="D1533" s="42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4"/>
    </row>
    <row r="1534" spans="1:18" x14ac:dyDescent="0.35">
      <c r="A1534" s="32">
        <f t="shared" si="46"/>
        <v>0</v>
      </c>
      <c r="B1534" s="33"/>
      <c r="C1534" s="34">
        <f t="shared" si="47"/>
        <v>0</v>
      </c>
      <c r="D1534" s="42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4"/>
    </row>
    <row r="1535" spans="1:18" x14ac:dyDescent="0.35">
      <c r="A1535" s="32">
        <f t="shared" si="46"/>
        <v>0</v>
      </c>
      <c r="B1535" s="33"/>
      <c r="C1535" s="34">
        <f t="shared" si="47"/>
        <v>0</v>
      </c>
      <c r="D1535" s="42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4"/>
    </row>
    <row r="1536" spans="1:18" x14ac:dyDescent="0.35">
      <c r="A1536" s="32">
        <f t="shared" si="46"/>
        <v>0</v>
      </c>
      <c r="B1536" s="33"/>
      <c r="C1536" s="34">
        <f t="shared" si="47"/>
        <v>0</v>
      </c>
      <c r="D1536" s="42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4"/>
    </row>
    <row r="1537" spans="1:18" x14ac:dyDescent="0.35">
      <c r="A1537" s="32">
        <f t="shared" si="46"/>
        <v>0</v>
      </c>
      <c r="B1537" s="33"/>
      <c r="C1537" s="34">
        <f t="shared" si="47"/>
        <v>0</v>
      </c>
      <c r="D1537" s="42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4"/>
    </row>
    <row r="1538" spans="1:18" x14ac:dyDescent="0.35">
      <c r="A1538" s="32">
        <f t="shared" si="46"/>
        <v>0</v>
      </c>
      <c r="B1538" s="33"/>
      <c r="C1538" s="34">
        <f t="shared" si="47"/>
        <v>0</v>
      </c>
      <c r="D1538" s="42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4"/>
    </row>
    <row r="1539" spans="1:18" x14ac:dyDescent="0.35">
      <c r="A1539" s="32">
        <f t="shared" si="46"/>
        <v>0</v>
      </c>
      <c r="B1539" s="33"/>
      <c r="C1539" s="34">
        <f t="shared" si="47"/>
        <v>0</v>
      </c>
      <c r="D1539" s="42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4"/>
    </row>
    <row r="1540" spans="1:18" x14ac:dyDescent="0.35">
      <c r="A1540" s="32">
        <f t="shared" ref="A1540:A1603" si="48">F1540</f>
        <v>0</v>
      </c>
      <c r="B1540" s="33"/>
      <c r="C1540" s="34">
        <f t="shared" ref="C1540:C1603" si="49">F1540</f>
        <v>0</v>
      </c>
      <c r="D1540" s="42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4"/>
    </row>
    <row r="1541" spans="1:18" x14ac:dyDescent="0.35">
      <c r="A1541" s="32">
        <f t="shared" si="48"/>
        <v>0</v>
      </c>
      <c r="B1541" s="33"/>
      <c r="C1541" s="34">
        <f t="shared" si="49"/>
        <v>0</v>
      </c>
      <c r="D1541" s="42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4"/>
    </row>
    <row r="1542" spans="1:18" x14ac:dyDescent="0.35">
      <c r="A1542" s="32">
        <f t="shared" si="48"/>
        <v>0</v>
      </c>
      <c r="B1542" s="33"/>
      <c r="C1542" s="34">
        <f t="shared" si="49"/>
        <v>0</v>
      </c>
      <c r="D1542" s="42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4"/>
    </row>
    <row r="1543" spans="1:18" x14ac:dyDescent="0.35">
      <c r="A1543" s="32">
        <f t="shared" si="48"/>
        <v>0</v>
      </c>
      <c r="B1543" s="33"/>
      <c r="C1543" s="34">
        <f t="shared" si="49"/>
        <v>0</v>
      </c>
      <c r="D1543" s="42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4"/>
    </row>
    <row r="1544" spans="1:18" x14ac:dyDescent="0.35">
      <c r="A1544" s="32">
        <f t="shared" si="48"/>
        <v>0</v>
      </c>
      <c r="B1544" s="33"/>
      <c r="C1544" s="34">
        <f t="shared" si="49"/>
        <v>0</v>
      </c>
      <c r="D1544" s="42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4"/>
    </row>
    <row r="1545" spans="1:18" x14ac:dyDescent="0.35">
      <c r="A1545" s="32">
        <f t="shared" si="48"/>
        <v>0</v>
      </c>
      <c r="B1545" s="33"/>
      <c r="C1545" s="34">
        <f t="shared" si="49"/>
        <v>0</v>
      </c>
      <c r="D1545" s="42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4"/>
    </row>
    <row r="1546" spans="1:18" x14ac:dyDescent="0.35">
      <c r="A1546" s="32">
        <f t="shared" si="48"/>
        <v>0</v>
      </c>
      <c r="B1546" s="33"/>
      <c r="C1546" s="34">
        <f t="shared" si="49"/>
        <v>0</v>
      </c>
      <c r="D1546" s="42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4"/>
    </row>
    <row r="1547" spans="1:18" x14ac:dyDescent="0.35">
      <c r="A1547" s="32">
        <f t="shared" si="48"/>
        <v>0</v>
      </c>
      <c r="B1547" s="33"/>
      <c r="C1547" s="34">
        <f t="shared" si="49"/>
        <v>0</v>
      </c>
      <c r="D1547" s="42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4"/>
    </row>
    <row r="1548" spans="1:18" x14ac:dyDescent="0.35">
      <c r="A1548" s="32">
        <f t="shared" si="48"/>
        <v>0</v>
      </c>
      <c r="B1548" s="33"/>
      <c r="C1548" s="34">
        <f t="shared" si="49"/>
        <v>0</v>
      </c>
      <c r="D1548" s="42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4"/>
    </row>
    <row r="1549" spans="1:18" x14ac:dyDescent="0.35">
      <c r="A1549" s="32">
        <f t="shared" si="48"/>
        <v>0</v>
      </c>
      <c r="B1549" s="33"/>
      <c r="C1549" s="34">
        <f t="shared" si="49"/>
        <v>0</v>
      </c>
      <c r="D1549" s="42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4"/>
    </row>
    <row r="1550" spans="1:18" x14ac:dyDescent="0.35">
      <c r="A1550" s="32">
        <f t="shared" si="48"/>
        <v>0</v>
      </c>
      <c r="B1550" s="33"/>
      <c r="C1550" s="34">
        <f t="shared" si="49"/>
        <v>0</v>
      </c>
      <c r="D1550" s="42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4"/>
    </row>
    <row r="1551" spans="1:18" x14ac:dyDescent="0.35">
      <c r="A1551" s="32">
        <f t="shared" si="48"/>
        <v>0</v>
      </c>
      <c r="B1551" s="33"/>
      <c r="C1551" s="34">
        <f t="shared" si="49"/>
        <v>0</v>
      </c>
      <c r="D1551" s="42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4"/>
    </row>
    <row r="1552" spans="1:18" x14ac:dyDescent="0.35">
      <c r="A1552" s="32">
        <f t="shared" si="48"/>
        <v>0</v>
      </c>
      <c r="B1552" s="33"/>
      <c r="C1552" s="34">
        <f t="shared" si="49"/>
        <v>0</v>
      </c>
      <c r="D1552" s="42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4"/>
    </row>
    <row r="1553" spans="1:18" x14ac:dyDescent="0.35">
      <c r="A1553" s="32">
        <f t="shared" si="48"/>
        <v>0</v>
      </c>
      <c r="B1553" s="33"/>
      <c r="C1553" s="34">
        <f t="shared" si="49"/>
        <v>0</v>
      </c>
      <c r="D1553" s="42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4"/>
    </row>
    <row r="1554" spans="1:18" x14ac:dyDescent="0.35">
      <c r="A1554" s="32">
        <f t="shared" si="48"/>
        <v>0</v>
      </c>
      <c r="B1554" s="33"/>
      <c r="C1554" s="34">
        <f t="shared" si="49"/>
        <v>0</v>
      </c>
      <c r="D1554" s="42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4"/>
    </row>
    <row r="1555" spans="1:18" x14ac:dyDescent="0.35">
      <c r="A1555" s="32">
        <f t="shared" si="48"/>
        <v>0</v>
      </c>
      <c r="B1555" s="33"/>
      <c r="C1555" s="34">
        <f t="shared" si="49"/>
        <v>0</v>
      </c>
      <c r="D1555" s="42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4"/>
    </row>
    <row r="1556" spans="1:18" x14ac:dyDescent="0.35">
      <c r="A1556" s="32">
        <f t="shared" si="48"/>
        <v>0</v>
      </c>
      <c r="B1556" s="33"/>
      <c r="C1556" s="34">
        <f t="shared" si="49"/>
        <v>0</v>
      </c>
      <c r="D1556" s="42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4"/>
    </row>
    <row r="1557" spans="1:18" x14ac:dyDescent="0.35">
      <c r="A1557" s="32">
        <f t="shared" si="48"/>
        <v>0</v>
      </c>
      <c r="B1557" s="33"/>
      <c r="C1557" s="34">
        <f t="shared" si="49"/>
        <v>0</v>
      </c>
      <c r="D1557" s="42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4"/>
    </row>
    <row r="1558" spans="1:18" x14ac:dyDescent="0.35">
      <c r="A1558" s="32">
        <f t="shared" si="48"/>
        <v>0</v>
      </c>
      <c r="B1558" s="33"/>
      <c r="C1558" s="34">
        <f t="shared" si="49"/>
        <v>0</v>
      </c>
      <c r="D1558" s="42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4"/>
    </row>
    <row r="1559" spans="1:18" x14ac:dyDescent="0.35">
      <c r="A1559" s="32">
        <f t="shared" si="48"/>
        <v>0</v>
      </c>
      <c r="B1559" s="33"/>
      <c r="C1559" s="34">
        <f t="shared" si="49"/>
        <v>0</v>
      </c>
      <c r="D1559" s="42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4"/>
    </row>
    <row r="1560" spans="1:18" x14ac:dyDescent="0.35">
      <c r="A1560" s="32">
        <f t="shared" si="48"/>
        <v>0</v>
      </c>
      <c r="B1560" s="33"/>
      <c r="C1560" s="34">
        <f t="shared" si="49"/>
        <v>0</v>
      </c>
      <c r="D1560" s="42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4"/>
    </row>
    <row r="1561" spans="1:18" x14ac:dyDescent="0.35">
      <c r="A1561" s="32">
        <f t="shared" si="48"/>
        <v>0</v>
      </c>
      <c r="B1561" s="33"/>
      <c r="C1561" s="34">
        <f t="shared" si="49"/>
        <v>0</v>
      </c>
      <c r="D1561" s="42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4"/>
    </row>
    <row r="1562" spans="1:18" x14ac:dyDescent="0.35">
      <c r="A1562" s="32">
        <f t="shared" si="48"/>
        <v>0</v>
      </c>
      <c r="B1562" s="33"/>
      <c r="C1562" s="34">
        <f t="shared" si="49"/>
        <v>0</v>
      </c>
      <c r="D1562" s="42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4"/>
    </row>
    <row r="1563" spans="1:18" x14ac:dyDescent="0.35">
      <c r="A1563" s="32">
        <f t="shared" si="48"/>
        <v>0</v>
      </c>
      <c r="B1563" s="33"/>
      <c r="C1563" s="34">
        <f t="shared" si="49"/>
        <v>0</v>
      </c>
      <c r="D1563" s="42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4"/>
    </row>
    <row r="1564" spans="1:18" x14ac:dyDescent="0.35">
      <c r="A1564" s="32">
        <f t="shared" si="48"/>
        <v>0</v>
      </c>
      <c r="B1564" s="33"/>
      <c r="C1564" s="34">
        <f t="shared" si="49"/>
        <v>0</v>
      </c>
      <c r="D1564" s="42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4"/>
    </row>
    <row r="1565" spans="1:18" x14ac:dyDescent="0.35">
      <c r="A1565" s="32">
        <f t="shared" si="48"/>
        <v>0</v>
      </c>
      <c r="B1565" s="33"/>
      <c r="C1565" s="34">
        <f t="shared" si="49"/>
        <v>0</v>
      </c>
      <c r="D1565" s="42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4"/>
    </row>
    <row r="1566" spans="1:18" x14ac:dyDescent="0.35">
      <c r="A1566" s="32">
        <f t="shared" si="48"/>
        <v>0</v>
      </c>
      <c r="B1566" s="33"/>
      <c r="C1566" s="34">
        <f t="shared" si="49"/>
        <v>0</v>
      </c>
      <c r="D1566" s="42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4"/>
    </row>
    <row r="1567" spans="1:18" x14ac:dyDescent="0.35">
      <c r="A1567" s="32">
        <f t="shared" si="48"/>
        <v>0</v>
      </c>
      <c r="B1567" s="33"/>
      <c r="C1567" s="34">
        <f t="shared" si="49"/>
        <v>0</v>
      </c>
      <c r="D1567" s="42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4"/>
    </row>
    <row r="1568" spans="1:18" x14ac:dyDescent="0.35">
      <c r="A1568" s="32">
        <f t="shared" si="48"/>
        <v>0</v>
      </c>
      <c r="B1568" s="33"/>
      <c r="C1568" s="34">
        <f t="shared" si="49"/>
        <v>0</v>
      </c>
      <c r="D1568" s="42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4"/>
    </row>
    <row r="1569" spans="1:18" x14ac:dyDescent="0.35">
      <c r="A1569" s="32">
        <f t="shared" si="48"/>
        <v>0</v>
      </c>
      <c r="B1569" s="33"/>
      <c r="C1569" s="34">
        <f t="shared" si="49"/>
        <v>0</v>
      </c>
      <c r="D1569" s="42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4"/>
    </row>
    <row r="1570" spans="1:18" x14ac:dyDescent="0.35">
      <c r="A1570" s="32">
        <f t="shared" si="48"/>
        <v>0</v>
      </c>
      <c r="B1570" s="33"/>
      <c r="C1570" s="34">
        <f t="shared" si="49"/>
        <v>0</v>
      </c>
      <c r="D1570" s="42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4"/>
    </row>
    <row r="1571" spans="1:18" x14ac:dyDescent="0.35">
      <c r="A1571" s="32">
        <f t="shared" si="48"/>
        <v>0</v>
      </c>
      <c r="B1571" s="33"/>
      <c r="C1571" s="34">
        <f t="shared" si="49"/>
        <v>0</v>
      </c>
      <c r="D1571" s="42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4"/>
    </row>
    <row r="1572" spans="1:18" x14ac:dyDescent="0.35">
      <c r="A1572" s="32">
        <f t="shared" si="48"/>
        <v>0</v>
      </c>
      <c r="B1572" s="33"/>
      <c r="C1572" s="34">
        <f t="shared" si="49"/>
        <v>0</v>
      </c>
      <c r="D1572" s="42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4"/>
    </row>
    <row r="1573" spans="1:18" x14ac:dyDescent="0.35">
      <c r="A1573" s="32">
        <f t="shared" si="48"/>
        <v>0</v>
      </c>
      <c r="B1573" s="33"/>
      <c r="C1573" s="34">
        <f t="shared" si="49"/>
        <v>0</v>
      </c>
      <c r="D1573" s="42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4"/>
    </row>
    <row r="1574" spans="1:18" x14ac:dyDescent="0.35">
      <c r="A1574" s="32">
        <f t="shared" si="48"/>
        <v>0</v>
      </c>
      <c r="B1574" s="33"/>
      <c r="C1574" s="34">
        <f t="shared" si="49"/>
        <v>0</v>
      </c>
      <c r="D1574" s="42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4"/>
    </row>
    <row r="1575" spans="1:18" x14ac:dyDescent="0.35">
      <c r="A1575" s="32">
        <f t="shared" si="48"/>
        <v>0</v>
      </c>
      <c r="B1575" s="33"/>
      <c r="C1575" s="34">
        <f t="shared" si="49"/>
        <v>0</v>
      </c>
      <c r="D1575" s="42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4"/>
    </row>
    <row r="1576" spans="1:18" x14ac:dyDescent="0.35">
      <c r="A1576" s="32">
        <f t="shared" si="48"/>
        <v>0</v>
      </c>
      <c r="B1576" s="33"/>
      <c r="C1576" s="34">
        <f t="shared" si="49"/>
        <v>0</v>
      </c>
      <c r="D1576" s="42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4"/>
    </row>
    <row r="1577" spans="1:18" x14ac:dyDescent="0.35">
      <c r="A1577" s="32">
        <f t="shared" si="48"/>
        <v>0</v>
      </c>
      <c r="B1577" s="33"/>
      <c r="C1577" s="34">
        <f t="shared" si="49"/>
        <v>0</v>
      </c>
      <c r="D1577" s="42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4"/>
    </row>
    <row r="1578" spans="1:18" x14ac:dyDescent="0.35">
      <c r="A1578" s="32">
        <f t="shared" si="48"/>
        <v>0</v>
      </c>
      <c r="B1578" s="33"/>
      <c r="C1578" s="34">
        <f t="shared" si="49"/>
        <v>0</v>
      </c>
      <c r="D1578" s="42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4"/>
    </row>
    <row r="1579" spans="1:18" x14ac:dyDescent="0.35">
      <c r="A1579" s="32">
        <f t="shared" si="48"/>
        <v>0</v>
      </c>
      <c r="B1579" s="33"/>
      <c r="C1579" s="34">
        <f t="shared" si="49"/>
        <v>0</v>
      </c>
      <c r="D1579" s="42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4"/>
    </row>
    <row r="1580" spans="1:18" x14ac:dyDescent="0.35">
      <c r="A1580" s="32">
        <f t="shared" si="48"/>
        <v>0</v>
      </c>
      <c r="B1580" s="33"/>
      <c r="C1580" s="34">
        <f t="shared" si="49"/>
        <v>0</v>
      </c>
      <c r="D1580" s="42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4"/>
    </row>
    <row r="1581" spans="1:18" x14ac:dyDescent="0.35">
      <c r="A1581" s="32">
        <f t="shared" si="48"/>
        <v>0</v>
      </c>
      <c r="B1581" s="33"/>
      <c r="C1581" s="34">
        <f t="shared" si="49"/>
        <v>0</v>
      </c>
      <c r="D1581" s="42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4"/>
    </row>
    <row r="1582" spans="1:18" x14ac:dyDescent="0.35">
      <c r="A1582" s="32">
        <f t="shared" si="48"/>
        <v>0</v>
      </c>
      <c r="B1582" s="33"/>
      <c r="C1582" s="34">
        <f t="shared" si="49"/>
        <v>0</v>
      </c>
      <c r="D1582" s="42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4"/>
    </row>
    <row r="1583" spans="1:18" x14ac:dyDescent="0.35">
      <c r="A1583" s="32">
        <f t="shared" si="48"/>
        <v>0</v>
      </c>
      <c r="B1583" s="33"/>
      <c r="C1583" s="34">
        <f t="shared" si="49"/>
        <v>0</v>
      </c>
      <c r="D1583" s="42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4"/>
    </row>
    <row r="1584" spans="1:18" x14ac:dyDescent="0.35">
      <c r="A1584" s="32">
        <f t="shared" si="48"/>
        <v>0</v>
      </c>
      <c r="B1584" s="33"/>
      <c r="C1584" s="34">
        <f t="shared" si="49"/>
        <v>0</v>
      </c>
      <c r="D1584" s="42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4"/>
    </row>
    <row r="1585" spans="1:18" x14ac:dyDescent="0.35">
      <c r="A1585" s="32">
        <f t="shared" si="48"/>
        <v>0</v>
      </c>
      <c r="B1585" s="33"/>
      <c r="C1585" s="34">
        <f t="shared" si="49"/>
        <v>0</v>
      </c>
      <c r="D1585" s="42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4"/>
    </row>
    <row r="1586" spans="1:18" x14ac:dyDescent="0.35">
      <c r="A1586" s="32">
        <f t="shared" si="48"/>
        <v>0</v>
      </c>
      <c r="B1586" s="33"/>
      <c r="C1586" s="34">
        <f t="shared" si="49"/>
        <v>0</v>
      </c>
      <c r="D1586" s="42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4"/>
    </row>
    <row r="1587" spans="1:18" x14ac:dyDescent="0.35">
      <c r="A1587" s="32">
        <f t="shared" si="48"/>
        <v>0</v>
      </c>
      <c r="B1587" s="33"/>
      <c r="C1587" s="34">
        <f t="shared" si="49"/>
        <v>0</v>
      </c>
      <c r="D1587" s="42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4"/>
    </row>
    <row r="1588" spans="1:18" x14ac:dyDescent="0.35">
      <c r="A1588" s="32">
        <f t="shared" si="48"/>
        <v>0</v>
      </c>
      <c r="B1588" s="33"/>
      <c r="C1588" s="34">
        <f t="shared" si="49"/>
        <v>0</v>
      </c>
      <c r="D1588" s="42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4"/>
    </row>
    <row r="1589" spans="1:18" x14ac:dyDescent="0.35">
      <c r="A1589" s="32">
        <f t="shared" si="48"/>
        <v>0</v>
      </c>
      <c r="B1589" s="33"/>
      <c r="C1589" s="34">
        <f t="shared" si="49"/>
        <v>0</v>
      </c>
      <c r="D1589" s="42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4"/>
    </row>
    <row r="1590" spans="1:18" x14ac:dyDescent="0.35">
      <c r="A1590" s="32">
        <f t="shared" si="48"/>
        <v>0</v>
      </c>
      <c r="B1590" s="33"/>
      <c r="C1590" s="34">
        <f t="shared" si="49"/>
        <v>0</v>
      </c>
      <c r="D1590" s="42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4"/>
    </row>
    <row r="1591" spans="1:18" x14ac:dyDescent="0.35">
      <c r="A1591" s="32">
        <f t="shared" si="48"/>
        <v>0</v>
      </c>
      <c r="B1591" s="33"/>
      <c r="C1591" s="34">
        <f t="shared" si="49"/>
        <v>0</v>
      </c>
      <c r="D1591" s="42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4"/>
    </row>
    <row r="1592" spans="1:18" x14ac:dyDescent="0.35">
      <c r="A1592" s="32">
        <f t="shared" si="48"/>
        <v>0</v>
      </c>
      <c r="B1592" s="33"/>
      <c r="C1592" s="34">
        <f t="shared" si="49"/>
        <v>0</v>
      </c>
      <c r="D1592" s="42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4"/>
    </row>
    <row r="1593" spans="1:18" x14ac:dyDescent="0.35">
      <c r="A1593" s="32">
        <f t="shared" si="48"/>
        <v>0</v>
      </c>
      <c r="B1593" s="33"/>
      <c r="C1593" s="34">
        <f t="shared" si="49"/>
        <v>0</v>
      </c>
      <c r="D1593" s="42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4"/>
    </row>
    <row r="1594" spans="1:18" x14ac:dyDescent="0.35">
      <c r="A1594" s="32">
        <f t="shared" si="48"/>
        <v>0</v>
      </c>
      <c r="B1594" s="33"/>
      <c r="C1594" s="34">
        <f t="shared" si="49"/>
        <v>0</v>
      </c>
      <c r="D1594" s="42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4"/>
    </row>
    <row r="1595" spans="1:18" x14ac:dyDescent="0.35">
      <c r="A1595" s="32">
        <f t="shared" si="48"/>
        <v>0</v>
      </c>
      <c r="B1595" s="33"/>
      <c r="C1595" s="34">
        <f t="shared" si="49"/>
        <v>0</v>
      </c>
      <c r="D1595" s="42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4"/>
    </row>
    <row r="1596" spans="1:18" x14ac:dyDescent="0.35">
      <c r="A1596" s="32">
        <f t="shared" si="48"/>
        <v>0</v>
      </c>
      <c r="B1596" s="33"/>
      <c r="C1596" s="34">
        <f t="shared" si="49"/>
        <v>0</v>
      </c>
      <c r="D1596" s="42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4"/>
    </row>
    <row r="1597" spans="1:18" x14ac:dyDescent="0.35">
      <c r="A1597" s="32">
        <f t="shared" si="48"/>
        <v>0</v>
      </c>
      <c r="B1597" s="33"/>
      <c r="C1597" s="34">
        <f t="shared" si="49"/>
        <v>0</v>
      </c>
      <c r="D1597" s="42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4"/>
    </row>
    <row r="1598" spans="1:18" x14ac:dyDescent="0.35">
      <c r="A1598" s="32">
        <f t="shared" si="48"/>
        <v>0</v>
      </c>
      <c r="B1598" s="33"/>
      <c r="C1598" s="34">
        <f t="shared" si="49"/>
        <v>0</v>
      </c>
      <c r="D1598" s="42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4"/>
    </row>
    <row r="1599" spans="1:18" x14ac:dyDescent="0.35">
      <c r="A1599" s="32">
        <f t="shared" si="48"/>
        <v>0</v>
      </c>
      <c r="B1599" s="33"/>
      <c r="C1599" s="34">
        <f t="shared" si="49"/>
        <v>0</v>
      </c>
      <c r="D1599" s="42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4"/>
    </row>
    <row r="1600" spans="1:18" x14ac:dyDescent="0.35">
      <c r="A1600" s="32">
        <f t="shared" si="48"/>
        <v>0</v>
      </c>
      <c r="B1600" s="33"/>
      <c r="C1600" s="34">
        <f t="shared" si="49"/>
        <v>0</v>
      </c>
      <c r="D1600" s="42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4"/>
    </row>
    <row r="1601" spans="1:18" x14ac:dyDescent="0.35">
      <c r="A1601" s="32">
        <f t="shared" si="48"/>
        <v>0</v>
      </c>
      <c r="B1601" s="33"/>
      <c r="C1601" s="34">
        <f t="shared" si="49"/>
        <v>0</v>
      </c>
      <c r="D1601" s="42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4"/>
    </row>
    <row r="1602" spans="1:18" x14ac:dyDescent="0.35">
      <c r="A1602" s="32">
        <f t="shared" si="48"/>
        <v>0</v>
      </c>
      <c r="B1602" s="33"/>
      <c r="C1602" s="34">
        <f t="shared" si="49"/>
        <v>0</v>
      </c>
      <c r="D1602" s="42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4"/>
    </row>
    <row r="1603" spans="1:18" x14ac:dyDescent="0.35">
      <c r="A1603" s="32">
        <f t="shared" si="48"/>
        <v>0</v>
      </c>
      <c r="B1603" s="33"/>
      <c r="C1603" s="34">
        <f t="shared" si="49"/>
        <v>0</v>
      </c>
      <c r="D1603" s="42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4"/>
    </row>
    <row r="1604" spans="1:18" x14ac:dyDescent="0.35">
      <c r="A1604" s="32">
        <f t="shared" ref="A1604:A1667" si="50">F1604</f>
        <v>0</v>
      </c>
      <c r="B1604" s="33"/>
      <c r="C1604" s="34">
        <f t="shared" ref="C1604:C1667" si="51">F1604</f>
        <v>0</v>
      </c>
      <c r="D1604" s="42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4"/>
    </row>
    <row r="1605" spans="1:18" x14ac:dyDescent="0.35">
      <c r="A1605" s="32">
        <f t="shared" si="50"/>
        <v>0</v>
      </c>
      <c r="B1605" s="33"/>
      <c r="C1605" s="34">
        <f t="shared" si="51"/>
        <v>0</v>
      </c>
      <c r="D1605" s="42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4"/>
    </row>
    <row r="1606" spans="1:18" x14ac:dyDescent="0.35">
      <c r="A1606" s="32">
        <f t="shared" si="50"/>
        <v>0</v>
      </c>
      <c r="B1606" s="33"/>
      <c r="C1606" s="34">
        <f t="shared" si="51"/>
        <v>0</v>
      </c>
      <c r="D1606" s="42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4"/>
    </row>
    <row r="1607" spans="1:18" x14ac:dyDescent="0.35">
      <c r="A1607" s="32">
        <f t="shared" si="50"/>
        <v>0</v>
      </c>
      <c r="B1607" s="33"/>
      <c r="C1607" s="34">
        <f t="shared" si="51"/>
        <v>0</v>
      </c>
      <c r="D1607" s="42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4"/>
    </row>
    <row r="1608" spans="1:18" x14ac:dyDescent="0.35">
      <c r="A1608" s="32">
        <f t="shared" si="50"/>
        <v>0</v>
      </c>
      <c r="B1608" s="33"/>
      <c r="C1608" s="34">
        <f t="shared" si="51"/>
        <v>0</v>
      </c>
      <c r="D1608" s="42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4"/>
    </row>
    <row r="1609" spans="1:18" x14ac:dyDescent="0.35">
      <c r="A1609" s="32">
        <f t="shared" si="50"/>
        <v>0</v>
      </c>
      <c r="B1609" s="33"/>
      <c r="C1609" s="34">
        <f t="shared" si="51"/>
        <v>0</v>
      </c>
      <c r="D1609" s="42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4"/>
    </row>
    <row r="1610" spans="1:18" x14ac:dyDescent="0.35">
      <c r="A1610" s="32">
        <f t="shared" si="50"/>
        <v>0</v>
      </c>
      <c r="B1610" s="33"/>
      <c r="C1610" s="34">
        <f t="shared" si="51"/>
        <v>0</v>
      </c>
      <c r="D1610" s="42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4"/>
    </row>
    <row r="1611" spans="1:18" x14ac:dyDescent="0.35">
      <c r="A1611" s="32">
        <f t="shared" si="50"/>
        <v>0</v>
      </c>
      <c r="B1611" s="33"/>
      <c r="C1611" s="34">
        <f t="shared" si="51"/>
        <v>0</v>
      </c>
      <c r="D1611" s="42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4"/>
    </row>
    <row r="1612" spans="1:18" x14ac:dyDescent="0.35">
      <c r="A1612" s="32">
        <f t="shared" si="50"/>
        <v>0</v>
      </c>
      <c r="B1612" s="33"/>
      <c r="C1612" s="34">
        <f t="shared" si="51"/>
        <v>0</v>
      </c>
      <c r="D1612" s="42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4"/>
    </row>
    <row r="1613" spans="1:18" x14ac:dyDescent="0.35">
      <c r="A1613" s="32">
        <f t="shared" si="50"/>
        <v>0</v>
      </c>
      <c r="B1613" s="33"/>
      <c r="C1613" s="34">
        <f t="shared" si="51"/>
        <v>0</v>
      </c>
      <c r="D1613" s="42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4"/>
    </row>
    <row r="1614" spans="1:18" x14ac:dyDescent="0.35">
      <c r="A1614" s="32">
        <f t="shared" si="50"/>
        <v>0</v>
      </c>
      <c r="B1614" s="33"/>
      <c r="C1614" s="34">
        <f t="shared" si="51"/>
        <v>0</v>
      </c>
      <c r="D1614" s="42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4"/>
    </row>
    <row r="1615" spans="1:18" x14ac:dyDescent="0.35">
      <c r="A1615" s="32">
        <f t="shared" si="50"/>
        <v>0</v>
      </c>
      <c r="B1615" s="33"/>
      <c r="C1615" s="34">
        <f t="shared" si="51"/>
        <v>0</v>
      </c>
      <c r="D1615" s="42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4"/>
    </row>
    <row r="1616" spans="1:18" x14ac:dyDescent="0.35">
      <c r="A1616" s="32">
        <f t="shared" si="50"/>
        <v>0</v>
      </c>
      <c r="B1616" s="33"/>
      <c r="C1616" s="34">
        <f t="shared" si="51"/>
        <v>0</v>
      </c>
      <c r="D1616" s="42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4"/>
    </row>
    <row r="1617" spans="1:18" x14ac:dyDescent="0.35">
      <c r="A1617" s="32">
        <f t="shared" si="50"/>
        <v>0</v>
      </c>
      <c r="B1617" s="33"/>
      <c r="C1617" s="34">
        <f t="shared" si="51"/>
        <v>0</v>
      </c>
      <c r="D1617" s="42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4"/>
    </row>
    <row r="1618" spans="1:18" x14ac:dyDescent="0.35">
      <c r="A1618" s="32">
        <f t="shared" si="50"/>
        <v>0</v>
      </c>
      <c r="B1618" s="33"/>
      <c r="C1618" s="34">
        <f t="shared" si="51"/>
        <v>0</v>
      </c>
      <c r="D1618" s="42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4"/>
    </row>
    <row r="1619" spans="1:18" x14ac:dyDescent="0.35">
      <c r="A1619" s="32">
        <f t="shared" si="50"/>
        <v>0</v>
      </c>
      <c r="B1619" s="33"/>
      <c r="C1619" s="34">
        <f t="shared" si="51"/>
        <v>0</v>
      </c>
      <c r="D1619" s="42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4"/>
    </row>
    <row r="1620" spans="1:18" x14ac:dyDescent="0.35">
      <c r="A1620" s="32">
        <f t="shared" si="50"/>
        <v>0</v>
      </c>
      <c r="B1620" s="33"/>
      <c r="C1620" s="34">
        <f t="shared" si="51"/>
        <v>0</v>
      </c>
      <c r="D1620" s="42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4"/>
    </row>
    <row r="1621" spans="1:18" x14ac:dyDescent="0.35">
      <c r="A1621" s="32">
        <f t="shared" si="50"/>
        <v>0</v>
      </c>
      <c r="B1621" s="33"/>
      <c r="C1621" s="34">
        <f t="shared" si="51"/>
        <v>0</v>
      </c>
      <c r="D1621" s="42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4"/>
    </row>
    <row r="1622" spans="1:18" x14ac:dyDescent="0.35">
      <c r="A1622" s="32">
        <f t="shared" si="50"/>
        <v>0</v>
      </c>
      <c r="B1622" s="33"/>
      <c r="C1622" s="34">
        <f t="shared" si="51"/>
        <v>0</v>
      </c>
      <c r="D1622" s="42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4"/>
    </row>
    <row r="1623" spans="1:18" x14ac:dyDescent="0.35">
      <c r="A1623" s="32">
        <f t="shared" si="50"/>
        <v>0</v>
      </c>
      <c r="B1623" s="33"/>
      <c r="C1623" s="34">
        <f t="shared" si="51"/>
        <v>0</v>
      </c>
      <c r="D1623" s="42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4"/>
    </row>
    <row r="1624" spans="1:18" x14ac:dyDescent="0.35">
      <c r="A1624" s="32">
        <f t="shared" si="50"/>
        <v>0</v>
      </c>
      <c r="B1624" s="33"/>
      <c r="C1624" s="34">
        <f t="shared" si="51"/>
        <v>0</v>
      </c>
      <c r="D1624" s="42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4"/>
    </row>
    <row r="1625" spans="1:18" x14ac:dyDescent="0.35">
      <c r="A1625" s="32">
        <f t="shared" si="50"/>
        <v>0</v>
      </c>
      <c r="B1625" s="33"/>
      <c r="C1625" s="34">
        <f t="shared" si="51"/>
        <v>0</v>
      </c>
      <c r="D1625" s="42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4"/>
    </row>
    <row r="1626" spans="1:18" x14ac:dyDescent="0.35">
      <c r="A1626" s="32">
        <f t="shared" si="50"/>
        <v>0</v>
      </c>
      <c r="B1626" s="33"/>
      <c r="C1626" s="34">
        <f t="shared" si="51"/>
        <v>0</v>
      </c>
      <c r="D1626" s="42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4"/>
    </row>
    <row r="1627" spans="1:18" x14ac:dyDescent="0.35">
      <c r="A1627" s="32">
        <f t="shared" si="50"/>
        <v>0</v>
      </c>
      <c r="B1627" s="33"/>
      <c r="C1627" s="34">
        <f t="shared" si="51"/>
        <v>0</v>
      </c>
      <c r="D1627" s="42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4"/>
    </row>
    <row r="1628" spans="1:18" x14ac:dyDescent="0.35">
      <c r="A1628" s="32">
        <f t="shared" si="50"/>
        <v>0</v>
      </c>
      <c r="B1628" s="33"/>
      <c r="C1628" s="34">
        <f t="shared" si="51"/>
        <v>0</v>
      </c>
      <c r="D1628" s="42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4"/>
    </row>
    <row r="1629" spans="1:18" x14ac:dyDescent="0.35">
      <c r="A1629" s="32">
        <f t="shared" si="50"/>
        <v>0</v>
      </c>
      <c r="B1629" s="33"/>
      <c r="C1629" s="34">
        <f t="shared" si="51"/>
        <v>0</v>
      </c>
      <c r="D1629" s="42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4"/>
    </row>
    <row r="1630" spans="1:18" x14ac:dyDescent="0.35">
      <c r="A1630" s="32">
        <f t="shared" si="50"/>
        <v>0</v>
      </c>
      <c r="B1630" s="33"/>
      <c r="C1630" s="34">
        <f t="shared" si="51"/>
        <v>0</v>
      </c>
      <c r="D1630" s="42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4"/>
    </row>
    <row r="1631" spans="1:18" x14ac:dyDescent="0.35">
      <c r="A1631" s="32">
        <f t="shared" si="50"/>
        <v>0</v>
      </c>
      <c r="B1631" s="33"/>
      <c r="C1631" s="34">
        <f t="shared" si="51"/>
        <v>0</v>
      </c>
      <c r="D1631" s="42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4"/>
    </row>
    <row r="1632" spans="1:18" x14ac:dyDescent="0.35">
      <c r="A1632" s="32">
        <f t="shared" si="50"/>
        <v>0</v>
      </c>
      <c r="B1632" s="33"/>
      <c r="C1632" s="34">
        <f t="shared" si="51"/>
        <v>0</v>
      </c>
      <c r="D1632" s="42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4"/>
    </row>
    <row r="1633" spans="1:18" x14ac:dyDescent="0.35">
      <c r="A1633" s="32">
        <f t="shared" si="50"/>
        <v>0</v>
      </c>
      <c r="B1633" s="33"/>
      <c r="C1633" s="34">
        <f t="shared" si="51"/>
        <v>0</v>
      </c>
      <c r="D1633" s="42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4"/>
    </row>
    <row r="1634" spans="1:18" x14ac:dyDescent="0.35">
      <c r="A1634" s="32">
        <f t="shared" si="50"/>
        <v>0</v>
      </c>
      <c r="B1634" s="33"/>
      <c r="C1634" s="34">
        <f t="shared" si="51"/>
        <v>0</v>
      </c>
      <c r="D1634" s="42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4"/>
    </row>
    <row r="1635" spans="1:18" x14ac:dyDescent="0.35">
      <c r="A1635" s="32">
        <f t="shared" si="50"/>
        <v>0</v>
      </c>
      <c r="B1635" s="33"/>
      <c r="C1635" s="34">
        <f t="shared" si="51"/>
        <v>0</v>
      </c>
      <c r="D1635" s="42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4"/>
    </row>
    <row r="1636" spans="1:18" x14ac:dyDescent="0.35">
      <c r="A1636" s="32">
        <f t="shared" si="50"/>
        <v>0</v>
      </c>
      <c r="B1636" s="33"/>
      <c r="C1636" s="34">
        <f t="shared" si="51"/>
        <v>0</v>
      </c>
      <c r="D1636" s="42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4"/>
    </row>
    <row r="1637" spans="1:18" x14ac:dyDescent="0.35">
      <c r="A1637" s="32">
        <f t="shared" si="50"/>
        <v>0</v>
      </c>
      <c r="B1637" s="33"/>
      <c r="C1637" s="34">
        <f t="shared" si="51"/>
        <v>0</v>
      </c>
      <c r="D1637" s="42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4"/>
    </row>
    <row r="1638" spans="1:18" x14ac:dyDescent="0.35">
      <c r="A1638" s="32">
        <f t="shared" si="50"/>
        <v>0</v>
      </c>
      <c r="B1638" s="33"/>
      <c r="C1638" s="34">
        <f t="shared" si="51"/>
        <v>0</v>
      </c>
      <c r="D1638" s="42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4"/>
    </row>
    <row r="1639" spans="1:18" x14ac:dyDescent="0.35">
      <c r="A1639" s="32">
        <f t="shared" si="50"/>
        <v>0</v>
      </c>
      <c r="B1639" s="33"/>
      <c r="C1639" s="34">
        <f t="shared" si="51"/>
        <v>0</v>
      </c>
      <c r="D1639" s="42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4"/>
    </row>
    <row r="1640" spans="1:18" x14ac:dyDescent="0.35">
      <c r="A1640" s="32">
        <f t="shared" si="50"/>
        <v>0</v>
      </c>
      <c r="B1640" s="33"/>
      <c r="C1640" s="34">
        <f t="shared" si="51"/>
        <v>0</v>
      </c>
      <c r="D1640" s="42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4"/>
    </row>
    <row r="1641" spans="1:18" x14ac:dyDescent="0.35">
      <c r="A1641" s="32">
        <f t="shared" si="50"/>
        <v>0</v>
      </c>
      <c r="B1641" s="33"/>
      <c r="C1641" s="34">
        <f t="shared" si="51"/>
        <v>0</v>
      </c>
      <c r="D1641" s="42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4"/>
    </row>
    <row r="1642" spans="1:18" x14ac:dyDescent="0.35">
      <c r="A1642" s="32">
        <f t="shared" si="50"/>
        <v>0</v>
      </c>
      <c r="B1642" s="33"/>
      <c r="C1642" s="34">
        <f t="shared" si="51"/>
        <v>0</v>
      </c>
      <c r="D1642" s="42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4"/>
    </row>
    <row r="1643" spans="1:18" x14ac:dyDescent="0.35">
      <c r="A1643" s="32">
        <f t="shared" si="50"/>
        <v>0</v>
      </c>
      <c r="B1643" s="33"/>
      <c r="C1643" s="34">
        <f t="shared" si="51"/>
        <v>0</v>
      </c>
      <c r="D1643" s="42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4"/>
    </row>
    <row r="1644" spans="1:18" x14ac:dyDescent="0.35">
      <c r="A1644" s="32">
        <f t="shared" si="50"/>
        <v>0</v>
      </c>
      <c r="B1644" s="33"/>
      <c r="C1644" s="34">
        <f t="shared" si="51"/>
        <v>0</v>
      </c>
      <c r="D1644" s="42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4"/>
    </row>
    <row r="1645" spans="1:18" x14ac:dyDescent="0.35">
      <c r="A1645" s="32">
        <f t="shared" si="50"/>
        <v>0</v>
      </c>
      <c r="B1645" s="33"/>
      <c r="C1645" s="34">
        <f t="shared" si="51"/>
        <v>0</v>
      </c>
      <c r="D1645" s="42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4"/>
    </row>
    <row r="1646" spans="1:18" x14ac:dyDescent="0.35">
      <c r="A1646" s="32">
        <f t="shared" si="50"/>
        <v>0</v>
      </c>
      <c r="B1646" s="33"/>
      <c r="C1646" s="34">
        <f t="shared" si="51"/>
        <v>0</v>
      </c>
      <c r="D1646" s="42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4"/>
    </row>
    <row r="1647" spans="1:18" x14ac:dyDescent="0.35">
      <c r="A1647" s="32">
        <f t="shared" si="50"/>
        <v>0</v>
      </c>
      <c r="B1647" s="33"/>
      <c r="C1647" s="34">
        <f t="shared" si="51"/>
        <v>0</v>
      </c>
      <c r="D1647" s="42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4"/>
    </row>
    <row r="1648" spans="1:18" x14ac:dyDescent="0.35">
      <c r="A1648" s="32">
        <f t="shared" si="50"/>
        <v>0</v>
      </c>
      <c r="B1648" s="33"/>
      <c r="C1648" s="34">
        <f t="shared" si="51"/>
        <v>0</v>
      </c>
      <c r="D1648" s="42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4"/>
    </row>
    <row r="1649" spans="1:18" x14ac:dyDescent="0.35">
      <c r="A1649" s="32">
        <f t="shared" si="50"/>
        <v>0</v>
      </c>
      <c r="B1649" s="33"/>
      <c r="C1649" s="34">
        <f t="shared" si="51"/>
        <v>0</v>
      </c>
      <c r="D1649" s="42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4"/>
    </row>
    <row r="1650" spans="1:18" x14ac:dyDescent="0.35">
      <c r="A1650" s="32">
        <f t="shared" si="50"/>
        <v>0</v>
      </c>
      <c r="B1650" s="33"/>
      <c r="C1650" s="34">
        <f t="shared" si="51"/>
        <v>0</v>
      </c>
      <c r="D1650" s="42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4"/>
    </row>
    <row r="1651" spans="1:18" x14ac:dyDescent="0.35">
      <c r="A1651" s="32">
        <f t="shared" si="50"/>
        <v>0</v>
      </c>
      <c r="B1651" s="33"/>
      <c r="C1651" s="34">
        <f t="shared" si="51"/>
        <v>0</v>
      </c>
      <c r="D1651" s="42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4"/>
    </row>
    <row r="1652" spans="1:18" x14ac:dyDescent="0.35">
      <c r="A1652" s="32">
        <f t="shared" si="50"/>
        <v>0</v>
      </c>
      <c r="B1652" s="33"/>
      <c r="C1652" s="34">
        <f t="shared" si="51"/>
        <v>0</v>
      </c>
      <c r="D1652" s="42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4"/>
    </row>
    <row r="1653" spans="1:18" x14ac:dyDescent="0.35">
      <c r="A1653" s="32">
        <f t="shared" si="50"/>
        <v>0</v>
      </c>
      <c r="B1653" s="33"/>
      <c r="C1653" s="34">
        <f t="shared" si="51"/>
        <v>0</v>
      </c>
      <c r="D1653" s="42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4"/>
    </row>
    <row r="1654" spans="1:18" x14ac:dyDescent="0.35">
      <c r="A1654" s="32">
        <f t="shared" si="50"/>
        <v>0</v>
      </c>
      <c r="B1654" s="33"/>
      <c r="C1654" s="34">
        <f t="shared" si="51"/>
        <v>0</v>
      </c>
      <c r="D1654" s="42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4"/>
    </row>
    <row r="1655" spans="1:18" x14ac:dyDescent="0.35">
      <c r="A1655" s="32">
        <f t="shared" si="50"/>
        <v>0</v>
      </c>
      <c r="B1655" s="33"/>
      <c r="C1655" s="34">
        <f t="shared" si="51"/>
        <v>0</v>
      </c>
      <c r="D1655" s="42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4"/>
    </row>
    <row r="1656" spans="1:18" x14ac:dyDescent="0.35">
      <c r="A1656" s="32">
        <f t="shared" si="50"/>
        <v>0</v>
      </c>
      <c r="B1656" s="33"/>
      <c r="C1656" s="34">
        <f t="shared" si="51"/>
        <v>0</v>
      </c>
      <c r="D1656" s="42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4"/>
    </row>
    <row r="1657" spans="1:18" x14ac:dyDescent="0.35">
      <c r="A1657" s="32">
        <f t="shared" si="50"/>
        <v>0</v>
      </c>
      <c r="B1657" s="33"/>
      <c r="C1657" s="34">
        <f t="shared" si="51"/>
        <v>0</v>
      </c>
      <c r="D1657" s="42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4"/>
    </row>
    <row r="1658" spans="1:18" x14ac:dyDescent="0.35">
      <c r="A1658" s="32">
        <f t="shared" si="50"/>
        <v>0</v>
      </c>
      <c r="B1658" s="33"/>
      <c r="C1658" s="34">
        <f t="shared" si="51"/>
        <v>0</v>
      </c>
      <c r="D1658" s="42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4"/>
    </row>
    <row r="1659" spans="1:18" x14ac:dyDescent="0.35">
      <c r="A1659" s="32">
        <f t="shared" si="50"/>
        <v>0</v>
      </c>
      <c r="B1659" s="33"/>
      <c r="C1659" s="34">
        <f t="shared" si="51"/>
        <v>0</v>
      </c>
      <c r="D1659" s="42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4"/>
    </row>
    <row r="1660" spans="1:18" x14ac:dyDescent="0.35">
      <c r="A1660" s="32">
        <f t="shared" si="50"/>
        <v>0</v>
      </c>
      <c r="B1660" s="33"/>
      <c r="C1660" s="34">
        <f t="shared" si="51"/>
        <v>0</v>
      </c>
      <c r="D1660" s="42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4"/>
    </row>
    <row r="1661" spans="1:18" x14ac:dyDescent="0.35">
      <c r="A1661" s="32">
        <f t="shared" si="50"/>
        <v>0</v>
      </c>
      <c r="B1661" s="33"/>
      <c r="C1661" s="34">
        <f t="shared" si="51"/>
        <v>0</v>
      </c>
      <c r="D1661" s="42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4"/>
    </row>
    <row r="1662" spans="1:18" x14ac:dyDescent="0.35">
      <c r="A1662" s="32">
        <f t="shared" si="50"/>
        <v>0</v>
      </c>
      <c r="B1662" s="33"/>
      <c r="C1662" s="34">
        <f t="shared" si="51"/>
        <v>0</v>
      </c>
      <c r="D1662" s="42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4"/>
    </row>
    <row r="1663" spans="1:18" x14ac:dyDescent="0.35">
      <c r="A1663" s="32">
        <f t="shared" si="50"/>
        <v>0</v>
      </c>
      <c r="B1663" s="33"/>
      <c r="C1663" s="34">
        <f t="shared" si="51"/>
        <v>0</v>
      </c>
      <c r="D1663" s="42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4"/>
    </row>
    <row r="1664" spans="1:18" x14ac:dyDescent="0.35">
      <c r="A1664" s="32">
        <f t="shared" si="50"/>
        <v>0</v>
      </c>
      <c r="B1664" s="33"/>
      <c r="C1664" s="34">
        <f t="shared" si="51"/>
        <v>0</v>
      </c>
      <c r="D1664" s="42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4"/>
    </row>
    <row r="1665" spans="1:18" x14ac:dyDescent="0.35">
      <c r="A1665" s="32">
        <f t="shared" si="50"/>
        <v>0</v>
      </c>
      <c r="B1665" s="33"/>
      <c r="C1665" s="34">
        <f t="shared" si="51"/>
        <v>0</v>
      </c>
      <c r="D1665" s="42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4"/>
    </row>
    <row r="1666" spans="1:18" x14ac:dyDescent="0.35">
      <c r="A1666" s="32">
        <f t="shared" si="50"/>
        <v>0</v>
      </c>
      <c r="B1666" s="33"/>
      <c r="C1666" s="34">
        <f t="shared" si="51"/>
        <v>0</v>
      </c>
      <c r="D1666" s="42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4"/>
    </row>
    <row r="1667" spans="1:18" x14ac:dyDescent="0.35">
      <c r="A1667" s="32">
        <f t="shared" si="50"/>
        <v>0</v>
      </c>
      <c r="B1667" s="33"/>
      <c r="C1667" s="34">
        <f t="shared" si="51"/>
        <v>0</v>
      </c>
      <c r="D1667" s="42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4"/>
    </row>
    <row r="1668" spans="1:18" x14ac:dyDescent="0.35">
      <c r="A1668" s="32">
        <f t="shared" ref="A1668:A1731" si="52">F1668</f>
        <v>0</v>
      </c>
      <c r="B1668" s="33"/>
      <c r="C1668" s="34">
        <f t="shared" ref="C1668:C1731" si="53">F1668</f>
        <v>0</v>
      </c>
      <c r="D1668" s="42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4"/>
    </row>
    <row r="1669" spans="1:18" x14ac:dyDescent="0.35">
      <c r="A1669" s="32">
        <f t="shared" si="52"/>
        <v>0</v>
      </c>
      <c r="B1669" s="33"/>
      <c r="C1669" s="34">
        <f t="shared" si="53"/>
        <v>0</v>
      </c>
      <c r="D1669" s="42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4"/>
    </row>
    <row r="1670" spans="1:18" x14ac:dyDescent="0.35">
      <c r="A1670" s="32">
        <f t="shared" si="52"/>
        <v>0</v>
      </c>
      <c r="B1670" s="33"/>
      <c r="C1670" s="34">
        <f t="shared" si="53"/>
        <v>0</v>
      </c>
      <c r="D1670" s="42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4"/>
    </row>
    <row r="1671" spans="1:18" x14ac:dyDescent="0.35">
      <c r="A1671" s="32">
        <f t="shared" si="52"/>
        <v>0</v>
      </c>
      <c r="B1671" s="33"/>
      <c r="C1671" s="34">
        <f t="shared" si="53"/>
        <v>0</v>
      </c>
      <c r="D1671" s="42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4"/>
    </row>
    <row r="1672" spans="1:18" x14ac:dyDescent="0.35">
      <c r="A1672" s="32">
        <f t="shared" si="52"/>
        <v>0</v>
      </c>
      <c r="B1672" s="33"/>
      <c r="C1672" s="34">
        <f t="shared" si="53"/>
        <v>0</v>
      </c>
      <c r="D1672" s="42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4"/>
    </row>
    <row r="1673" spans="1:18" x14ac:dyDescent="0.35">
      <c r="A1673" s="32">
        <f t="shared" si="52"/>
        <v>0</v>
      </c>
      <c r="B1673" s="33"/>
      <c r="C1673" s="34">
        <f t="shared" si="53"/>
        <v>0</v>
      </c>
      <c r="D1673" s="42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4"/>
    </row>
    <row r="1674" spans="1:18" x14ac:dyDescent="0.35">
      <c r="A1674" s="32">
        <f t="shared" si="52"/>
        <v>0</v>
      </c>
      <c r="B1674" s="33"/>
      <c r="C1674" s="34">
        <f t="shared" si="53"/>
        <v>0</v>
      </c>
      <c r="D1674" s="42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4"/>
    </row>
    <row r="1675" spans="1:18" x14ac:dyDescent="0.35">
      <c r="A1675" s="32">
        <f t="shared" si="52"/>
        <v>0</v>
      </c>
      <c r="B1675" s="33"/>
      <c r="C1675" s="34">
        <f t="shared" si="53"/>
        <v>0</v>
      </c>
      <c r="D1675" s="42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4"/>
    </row>
    <row r="1676" spans="1:18" x14ac:dyDescent="0.35">
      <c r="A1676" s="32">
        <f t="shared" si="52"/>
        <v>0</v>
      </c>
      <c r="B1676" s="33"/>
      <c r="C1676" s="34">
        <f t="shared" si="53"/>
        <v>0</v>
      </c>
      <c r="D1676" s="42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4"/>
    </row>
    <row r="1677" spans="1:18" x14ac:dyDescent="0.35">
      <c r="A1677" s="32">
        <f t="shared" si="52"/>
        <v>0</v>
      </c>
      <c r="B1677" s="33"/>
      <c r="C1677" s="34">
        <f t="shared" si="53"/>
        <v>0</v>
      </c>
      <c r="D1677" s="42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4"/>
    </row>
    <row r="1678" spans="1:18" x14ac:dyDescent="0.35">
      <c r="A1678" s="32">
        <f t="shared" si="52"/>
        <v>0</v>
      </c>
      <c r="B1678" s="33"/>
      <c r="C1678" s="34">
        <f t="shared" si="53"/>
        <v>0</v>
      </c>
      <c r="D1678" s="42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4"/>
    </row>
    <row r="1679" spans="1:18" x14ac:dyDescent="0.35">
      <c r="A1679" s="32">
        <f t="shared" si="52"/>
        <v>0</v>
      </c>
      <c r="B1679" s="33"/>
      <c r="C1679" s="34">
        <f t="shared" si="53"/>
        <v>0</v>
      </c>
      <c r="D1679" s="42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4"/>
    </row>
    <row r="1680" spans="1:18" x14ac:dyDescent="0.35">
      <c r="A1680" s="32">
        <f t="shared" si="52"/>
        <v>0</v>
      </c>
      <c r="B1680" s="33"/>
      <c r="C1680" s="34">
        <f t="shared" si="53"/>
        <v>0</v>
      </c>
      <c r="D1680" s="42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4"/>
    </row>
    <row r="1681" spans="1:18" x14ac:dyDescent="0.35">
      <c r="A1681" s="32">
        <f t="shared" si="52"/>
        <v>0</v>
      </c>
      <c r="B1681" s="33"/>
      <c r="C1681" s="34">
        <f t="shared" si="53"/>
        <v>0</v>
      </c>
      <c r="D1681" s="42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4"/>
    </row>
    <row r="1682" spans="1:18" x14ac:dyDescent="0.35">
      <c r="A1682" s="32">
        <f t="shared" si="52"/>
        <v>0</v>
      </c>
      <c r="B1682" s="33"/>
      <c r="C1682" s="34">
        <f t="shared" si="53"/>
        <v>0</v>
      </c>
      <c r="D1682" s="42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4"/>
    </row>
    <row r="1683" spans="1:18" x14ac:dyDescent="0.35">
      <c r="A1683" s="32">
        <f t="shared" si="52"/>
        <v>0</v>
      </c>
      <c r="B1683" s="33"/>
      <c r="C1683" s="34">
        <f t="shared" si="53"/>
        <v>0</v>
      </c>
      <c r="D1683" s="42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4"/>
    </row>
    <row r="1684" spans="1:18" x14ac:dyDescent="0.35">
      <c r="A1684" s="32">
        <f t="shared" si="52"/>
        <v>0</v>
      </c>
      <c r="B1684" s="33"/>
      <c r="C1684" s="34">
        <f t="shared" si="53"/>
        <v>0</v>
      </c>
      <c r="D1684" s="42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4"/>
    </row>
    <row r="1685" spans="1:18" x14ac:dyDescent="0.35">
      <c r="A1685" s="32">
        <f t="shared" si="52"/>
        <v>0</v>
      </c>
      <c r="B1685" s="33"/>
      <c r="C1685" s="34">
        <f t="shared" si="53"/>
        <v>0</v>
      </c>
      <c r="D1685" s="42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4"/>
    </row>
    <row r="1686" spans="1:18" x14ac:dyDescent="0.35">
      <c r="A1686" s="32">
        <f t="shared" si="52"/>
        <v>0</v>
      </c>
      <c r="B1686" s="33"/>
      <c r="C1686" s="34">
        <f t="shared" si="53"/>
        <v>0</v>
      </c>
      <c r="D1686" s="42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4"/>
    </row>
    <row r="1687" spans="1:18" x14ac:dyDescent="0.35">
      <c r="A1687" s="32">
        <f t="shared" si="52"/>
        <v>0</v>
      </c>
      <c r="B1687" s="33"/>
      <c r="C1687" s="34">
        <f t="shared" si="53"/>
        <v>0</v>
      </c>
      <c r="D1687" s="42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4"/>
    </row>
    <row r="1688" spans="1:18" x14ac:dyDescent="0.35">
      <c r="A1688" s="32">
        <f t="shared" si="52"/>
        <v>0</v>
      </c>
      <c r="B1688" s="33"/>
      <c r="C1688" s="34">
        <f t="shared" si="53"/>
        <v>0</v>
      </c>
      <c r="D1688" s="42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4"/>
    </row>
    <row r="1689" spans="1:18" x14ac:dyDescent="0.35">
      <c r="A1689" s="32">
        <f t="shared" si="52"/>
        <v>0</v>
      </c>
      <c r="B1689" s="33"/>
      <c r="C1689" s="34">
        <f t="shared" si="53"/>
        <v>0</v>
      </c>
      <c r="D1689" s="42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4"/>
    </row>
    <row r="1690" spans="1:18" x14ac:dyDescent="0.35">
      <c r="A1690" s="32">
        <f t="shared" si="52"/>
        <v>0</v>
      </c>
      <c r="B1690" s="33"/>
      <c r="C1690" s="34">
        <f t="shared" si="53"/>
        <v>0</v>
      </c>
      <c r="D1690" s="42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4"/>
    </row>
    <row r="1691" spans="1:18" x14ac:dyDescent="0.35">
      <c r="A1691" s="32">
        <f t="shared" si="52"/>
        <v>0</v>
      </c>
      <c r="B1691" s="33"/>
      <c r="C1691" s="34">
        <f t="shared" si="53"/>
        <v>0</v>
      </c>
      <c r="D1691" s="42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4"/>
    </row>
    <row r="1692" spans="1:18" x14ac:dyDescent="0.35">
      <c r="A1692" s="32">
        <f t="shared" si="52"/>
        <v>0</v>
      </c>
      <c r="B1692" s="33"/>
      <c r="C1692" s="34">
        <f t="shared" si="53"/>
        <v>0</v>
      </c>
      <c r="D1692" s="42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4"/>
    </row>
    <row r="1693" spans="1:18" x14ac:dyDescent="0.35">
      <c r="A1693" s="32">
        <f t="shared" si="52"/>
        <v>0</v>
      </c>
      <c r="B1693" s="33"/>
      <c r="C1693" s="34">
        <f t="shared" si="53"/>
        <v>0</v>
      </c>
      <c r="D1693" s="42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4"/>
    </row>
    <row r="1694" spans="1:18" x14ac:dyDescent="0.35">
      <c r="A1694" s="32">
        <f t="shared" si="52"/>
        <v>0</v>
      </c>
      <c r="B1694" s="33"/>
      <c r="C1694" s="34">
        <f t="shared" si="53"/>
        <v>0</v>
      </c>
      <c r="D1694" s="42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4"/>
    </row>
    <row r="1695" spans="1:18" x14ac:dyDescent="0.35">
      <c r="A1695" s="32">
        <f t="shared" si="52"/>
        <v>0</v>
      </c>
      <c r="B1695" s="33"/>
      <c r="C1695" s="34">
        <f t="shared" si="53"/>
        <v>0</v>
      </c>
      <c r="D1695" s="42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4"/>
    </row>
    <row r="1696" spans="1:18" x14ac:dyDescent="0.35">
      <c r="A1696" s="32">
        <f t="shared" si="52"/>
        <v>0</v>
      </c>
      <c r="B1696" s="33"/>
      <c r="C1696" s="34">
        <f t="shared" si="53"/>
        <v>0</v>
      </c>
      <c r="D1696" s="42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4"/>
    </row>
    <row r="1697" spans="1:18" x14ac:dyDescent="0.35">
      <c r="A1697" s="32">
        <f t="shared" si="52"/>
        <v>0</v>
      </c>
      <c r="B1697" s="33"/>
      <c r="C1697" s="34">
        <f t="shared" si="53"/>
        <v>0</v>
      </c>
      <c r="D1697" s="42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4"/>
    </row>
    <row r="1698" spans="1:18" x14ac:dyDescent="0.35">
      <c r="A1698" s="32">
        <f t="shared" si="52"/>
        <v>0</v>
      </c>
      <c r="B1698" s="33"/>
      <c r="C1698" s="34">
        <f t="shared" si="53"/>
        <v>0</v>
      </c>
      <c r="D1698" s="42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4"/>
    </row>
    <row r="1699" spans="1:18" x14ac:dyDescent="0.35">
      <c r="A1699" s="32">
        <f t="shared" si="52"/>
        <v>0</v>
      </c>
      <c r="B1699" s="33"/>
      <c r="C1699" s="34">
        <f t="shared" si="53"/>
        <v>0</v>
      </c>
      <c r="D1699" s="42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4"/>
    </row>
    <row r="1700" spans="1:18" x14ac:dyDescent="0.35">
      <c r="A1700" s="32">
        <f t="shared" si="52"/>
        <v>0</v>
      </c>
      <c r="B1700" s="33"/>
      <c r="C1700" s="34">
        <f t="shared" si="53"/>
        <v>0</v>
      </c>
      <c r="D1700" s="42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4"/>
    </row>
    <row r="1701" spans="1:18" x14ac:dyDescent="0.35">
      <c r="A1701" s="32">
        <f t="shared" si="52"/>
        <v>0</v>
      </c>
      <c r="B1701" s="33"/>
      <c r="C1701" s="34">
        <f t="shared" si="53"/>
        <v>0</v>
      </c>
      <c r="D1701" s="42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4"/>
    </row>
    <row r="1702" spans="1:18" x14ac:dyDescent="0.35">
      <c r="A1702" s="32">
        <f t="shared" si="52"/>
        <v>0</v>
      </c>
      <c r="B1702" s="33"/>
      <c r="C1702" s="34">
        <f t="shared" si="53"/>
        <v>0</v>
      </c>
      <c r="D1702" s="42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4"/>
    </row>
    <row r="1703" spans="1:18" x14ac:dyDescent="0.35">
      <c r="A1703" s="32">
        <f t="shared" si="52"/>
        <v>0</v>
      </c>
      <c r="B1703" s="33"/>
      <c r="C1703" s="34">
        <f t="shared" si="53"/>
        <v>0</v>
      </c>
      <c r="D1703" s="42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4"/>
    </row>
    <row r="1704" spans="1:18" x14ac:dyDescent="0.35">
      <c r="A1704" s="32">
        <f t="shared" si="52"/>
        <v>0</v>
      </c>
      <c r="B1704" s="33"/>
      <c r="C1704" s="34">
        <f t="shared" si="53"/>
        <v>0</v>
      </c>
      <c r="D1704" s="42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4"/>
    </row>
    <row r="1705" spans="1:18" x14ac:dyDescent="0.35">
      <c r="A1705" s="32">
        <f t="shared" si="52"/>
        <v>0</v>
      </c>
      <c r="B1705" s="33"/>
      <c r="C1705" s="34">
        <f t="shared" si="53"/>
        <v>0</v>
      </c>
      <c r="D1705" s="42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4"/>
    </row>
    <row r="1706" spans="1:18" x14ac:dyDescent="0.35">
      <c r="A1706" s="32">
        <f t="shared" si="52"/>
        <v>0</v>
      </c>
      <c r="B1706" s="33"/>
      <c r="C1706" s="34">
        <f t="shared" si="53"/>
        <v>0</v>
      </c>
      <c r="D1706" s="42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4"/>
    </row>
    <row r="1707" spans="1:18" x14ac:dyDescent="0.35">
      <c r="A1707" s="32">
        <f t="shared" si="52"/>
        <v>0</v>
      </c>
      <c r="B1707" s="33"/>
      <c r="C1707" s="34">
        <f t="shared" si="53"/>
        <v>0</v>
      </c>
      <c r="D1707" s="42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4"/>
    </row>
    <row r="1708" spans="1:18" x14ac:dyDescent="0.35">
      <c r="A1708" s="32">
        <f t="shared" si="52"/>
        <v>0</v>
      </c>
      <c r="B1708" s="33"/>
      <c r="C1708" s="34">
        <f t="shared" si="53"/>
        <v>0</v>
      </c>
      <c r="D1708" s="42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4"/>
    </row>
    <row r="1709" spans="1:18" x14ac:dyDescent="0.35">
      <c r="A1709" s="32">
        <f t="shared" si="52"/>
        <v>0</v>
      </c>
      <c r="B1709" s="33"/>
      <c r="C1709" s="34">
        <f t="shared" si="53"/>
        <v>0</v>
      </c>
      <c r="D1709" s="42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4"/>
    </row>
    <row r="1710" spans="1:18" x14ac:dyDescent="0.35">
      <c r="A1710" s="32">
        <f t="shared" si="52"/>
        <v>0</v>
      </c>
      <c r="B1710" s="33"/>
      <c r="C1710" s="34">
        <f t="shared" si="53"/>
        <v>0</v>
      </c>
      <c r="D1710" s="42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4"/>
    </row>
    <row r="1711" spans="1:18" x14ac:dyDescent="0.35">
      <c r="A1711" s="32">
        <f t="shared" si="52"/>
        <v>0</v>
      </c>
      <c r="B1711" s="33"/>
      <c r="C1711" s="34">
        <f t="shared" si="53"/>
        <v>0</v>
      </c>
      <c r="D1711" s="42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4"/>
    </row>
    <row r="1712" spans="1:18" x14ac:dyDescent="0.35">
      <c r="A1712" s="32">
        <f t="shared" si="52"/>
        <v>0</v>
      </c>
      <c r="B1712" s="33"/>
      <c r="C1712" s="34">
        <f t="shared" si="53"/>
        <v>0</v>
      </c>
      <c r="D1712" s="42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4"/>
    </row>
    <row r="1713" spans="1:18" x14ac:dyDescent="0.35">
      <c r="A1713" s="32">
        <f t="shared" si="52"/>
        <v>0</v>
      </c>
      <c r="B1713" s="33"/>
      <c r="C1713" s="34">
        <f t="shared" si="53"/>
        <v>0</v>
      </c>
      <c r="D1713" s="42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4"/>
    </row>
    <row r="1714" spans="1:18" x14ac:dyDescent="0.35">
      <c r="A1714" s="32">
        <f t="shared" si="52"/>
        <v>0</v>
      </c>
      <c r="B1714" s="33"/>
      <c r="C1714" s="34">
        <f t="shared" si="53"/>
        <v>0</v>
      </c>
      <c r="D1714" s="42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4"/>
    </row>
    <row r="1715" spans="1:18" x14ac:dyDescent="0.35">
      <c r="A1715" s="32">
        <f t="shared" si="52"/>
        <v>0</v>
      </c>
      <c r="B1715" s="33"/>
      <c r="C1715" s="34">
        <f t="shared" si="53"/>
        <v>0</v>
      </c>
      <c r="D1715" s="42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4"/>
    </row>
    <row r="1716" spans="1:18" x14ac:dyDescent="0.35">
      <c r="A1716" s="32">
        <f t="shared" si="52"/>
        <v>0</v>
      </c>
      <c r="B1716" s="33"/>
      <c r="C1716" s="34">
        <f t="shared" si="53"/>
        <v>0</v>
      </c>
      <c r="D1716" s="42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4"/>
    </row>
    <row r="1717" spans="1:18" x14ac:dyDescent="0.35">
      <c r="A1717" s="32">
        <f t="shared" si="52"/>
        <v>0</v>
      </c>
      <c r="B1717" s="33"/>
      <c r="C1717" s="34">
        <f t="shared" si="53"/>
        <v>0</v>
      </c>
      <c r="D1717" s="42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4"/>
    </row>
    <row r="1718" spans="1:18" x14ac:dyDescent="0.35">
      <c r="A1718" s="32">
        <f t="shared" si="52"/>
        <v>0</v>
      </c>
      <c r="B1718" s="33"/>
      <c r="C1718" s="34">
        <f t="shared" si="53"/>
        <v>0</v>
      </c>
      <c r="D1718" s="42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4"/>
    </row>
    <row r="1719" spans="1:18" x14ac:dyDescent="0.35">
      <c r="A1719" s="32">
        <f t="shared" si="52"/>
        <v>0</v>
      </c>
      <c r="B1719" s="33"/>
      <c r="C1719" s="34">
        <f t="shared" si="53"/>
        <v>0</v>
      </c>
      <c r="D1719" s="42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4"/>
    </row>
    <row r="1720" spans="1:18" x14ac:dyDescent="0.35">
      <c r="A1720" s="32">
        <f t="shared" si="52"/>
        <v>0</v>
      </c>
      <c r="B1720" s="33"/>
      <c r="C1720" s="34">
        <f t="shared" si="53"/>
        <v>0</v>
      </c>
      <c r="D1720" s="42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4"/>
    </row>
    <row r="1721" spans="1:18" x14ac:dyDescent="0.35">
      <c r="A1721" s="32">
        <f t="shared" si="52"/>
        <v>0</v>
      </c>
      <c r="B1721" s="33"/>
      <c r="C1721" s="34">
        <f t="shared" si="53"/>
        <v>0</v>
      </c>
      <c r="D1721" s="42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4"/>
    </row>
    <row r="1722" spans="1:18" x14ac:dyDescent="0.35">
      <c r="A1722" s="32">
        <f t="shared" si="52"/>
        <v>0</v>
      </c>
      <c r="B1722" s="33"/>
      <c r="C1722" s="34">
        <f t="shared" si="53"/>
        <v>0</v>
      </c>
      <c r="D1722" s="42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4"/>
    </row>
    <row r="1723" spans="1:18" x14ac:dyDescent="0.35">
      <c r="A1723" s="32">
        <f t="shared" si="52"/>
        <v>0</v>
      </c>
      <c r="B1723" s="33"/>
      <c r="C1723" s="34">
        <f t="shared" si="53"/>
        <v>0</v>
      </c>
      <c r="D1723" s="42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4"/>
    </row>
    <row r="1724" spans="1:18" x14ac:dyDescent="0.35">
      <c r="A1724" s="32">
        <f t="shared" si="52"/>
        <v>0</v>
      </c>
      <c r="B1724" s="33"/>
      <c r="C1724" s="34">
        <f t="shared" si="53"/>
        <v>0</v>
      </c>
      <c r="D1724" s="42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4"/>
    </row>
    <row r="1725" spans="1:18" x14ac:dyDescent="0.35">
      <c r="A1725" s="32">
        <f t="shared" si="52"/>
        <v>0</v>
      </c>
      <c r="B1725" s="33"/>
      <c r="C1725" s="34">
        <f t="shared" si="53"/>
        <v>0</v>
      </c>
      <c r="D1725" s="42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4"/>
    </row>
    <row r="1726" spans="1:18" x14ac:dyDescent="0.35">
      <c r="A1726" s="32">
        <f t="shared" si="52"/>
        <v>0</v>
      </c>
      <c r="B1726" s="33"/>
      <c r="C1726" s="34">
        <f t="shared" si="53"/>
        <v>0</v>
      </c>
      <c r="D1726" s="42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4"/>
    </row>
    <row r="1727" spans="1:18" x14ac:dyDescent="0.35">
      <c r="A1727" s="32">
        <f t="shared" si="52"/>
        <v>0</v>
      </c>
      <c r="B1727" s="33"/>
      <c r="C1727" s="34">
        <f t="shared" si="53"/>
        <v>0</v>
      </c>
      <c r="D1727" s="42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4"/>
    </row>
    <row r="1728" spans="1:18" x14ac:dyDescent="0.35">
      <c r="A1728" s="32">
        <f t="shared" si="52"/>
        <v>0</v>
      </c>
      <c r="B1728" s="33"/>
      <c r="C1728" s="34">
        <f t="shared" si="53"/>
        <v>0</v>
      </c>
      <c r="D1728" s="42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4"/>
    </row>
    <row r="1729" spans="1:18" x14ac:dyDescent="0.35">
      <c r="A1729" s="32">
        <f t="shared" si="52"/>
        <v>0</v>
      </c>
      <c r="B1729" s="33"/>
      <c r="C1729" s="34">
        <f t="shared" si="53"/>
        <v>0</v>
      </c>
      <c r="D1729" s="42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4"/>
    </row>
    <row r="1730" spans="1:18" x14ac:dyDescent="0.35">
      <c r="A1730" s="32">
        <f t="shared" si="52"/>
        <v>0</v>
      </c>
      <c r="B1730" s="33"/>
      <c r="C1730" s="34">
        <f t="shared" si="53"/>
        <v>0</v>
      </c>
      <c r="D1730" s="42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4"/>
    </row>
    <row r="1731" spans="1:18" x14ac:dyDescent="0.35">
      <c r="A1731" s="32">
        <f t="shared" si="52"/>
        <v>0</v>
      </c>
      <c r="B1731" s="33"/>
      <c r="C1731" s="34">
        <f t="shared" si="53"/>
        <v>0</v>
      </c>
      <c r="D1731" s="42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4"/>
    </row>
    <row r="1732" spans="1:18" x14ac:dyDescent="0.35">
      <c r="A1732" s="32">
        <f t="shared" ref="A1732:A1795" si="54">F1732</f>
        <v>0</v>
      </c>
      <c r="B1732" s="33"/>
      <c r="C1732" s="34">
        <f t="shared" ref="C1732:C1795" si="55">F1732</f>
        <v>0</v>
      </c>
      <c r="D1732" s="42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4"/>
    </row>
    <row r="1733" spans="1:18" x14ac:dyDescent="0.35">
      <c r="A1733" s="32">
        <f t="shared" si="54"/>
        <v>0</v>
      </c>
      <c r="B1733" s="33"/>
      <c r="C1733" s="34">
        <f t="shared" si="55"/>
        <v>0</v>
      </c>
      <c r="D1733" s="42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4"/>
    </row>
    <row r="1734" spans="1:18" x14ac:dyDescent="0.35">
      <c r="A1734" s="32">
        <f t="shared" si="54"/>
        <v>0</v>
      </c>
      <c r="B1734" s="33"/>
      <c r="C1734" s="34">
        <f t="shared" si="55"/>
        <v>0</v>
      </c>
      <c r="D1734" s="42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4"/>
    </row>
    <row r="1735" spans="1:18" x14ac:dyDescent="0.35">
      <c r="A1735" s="32">
        <f t="shared" si="54"/>
        <v>0</v>
      </c>
      <c r="B1735" s="33"/>
      <c r="C1735" s="34">
        <f t="shared" si="55"/>
        <v>0</v>
      </c>
      <c r="D1735" s="42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4"/>
    </row>
    <row r="1736" spans="1:18" x14ac:dyDescent="0.35">
      <c r="A1736" s="32">
        <f t="shared" si="54"/>
        <v>0</v>
      </c>
      <c r="B1736" s="33"/>
      <c r="C1736" s="34">
        <f t="shared" si="55"/>
        <v>0</v>
      </c>
      <c r="D1736" s="42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4"/>
    </row>
    <row r="1737" spans="1:18" x14ac:dyDescent="0.35">
      <c r="A1737" s="32">
        <f t="shared" si="54"/>
        <v>0</v>
      </c>
      <c r="B1737" s="33"/>
      <c r="C1737" s="34">
        <f t="shared" si="55"/>
        <v>0</v>
      </c>
      <c r="D1737" s="42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4"/>
    </row>
    <row r="1738" spans="1:18" x14ac:dyDescent="0.35">
      <c r="A1738" s="32">
        <f t="shared" si="54"/>
        <v>0</v>
      </c>
      <c r="B1738" s="33"/>
      <c r="C1738" s="34">
        <f t="shared" si="55"/>
        <v>0</v>
      </c>
      <c r="D1738" s="42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4"/>
    </row>
    <row r="1739" spans="1:18" x14ac:dyDescent="0.35">
      <c r="A1739" s="32">
        <f t="shared" si="54"/>
        <v>0</v>
      </c>
      <c r="B1739" s="33"/>
      <c r="C1739" s="34">
        <f t="shared" si="55"/>
        <v>0</v>
      </c>
      <c r="D1739" s="42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4"/>
    </row>
    <row r="1740" spans="1:18" x14ac:dyDescent="0.35">
      <c r="A1740" s="32">
        <f t="shared" si="54"/>
        <v>0</v>
      </c>
      <c r="B1740" s="33"/>
      <c r="C1740" s="34">
        <f t="shared" si="55"/>
        <v>0</v>
      </c>
      <c r="D1740" s="42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4"/>
    </row>
    <row r="1741" spans="1:18" x14ac:dyDescent="0.35">
      <c r="A1741" s="32">
        <f t="shared" si="54"/>
        <v>0</v>
      </c>
      <c r="B1741" s="33"/>
      <c r="C1741" s="34">
        <f t="shared" si="55"/>
        <v>0</v>
      </c>
      <c r="D1741" s="42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4"/>
    </row>
    <row r="1742" spans="1:18" x14ac:dyDescent="0.35">
      <c r="A1742" s="32">
        <f t="shared" si="54"/>
        <v>0</v>
      </c>
      <c r="B1742" s="33"/>
      <c r="C1742" s="34">
        <f t="shared" si="55"/>
        <v>0</v>
      </c>
      <c r="D1742" s="42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4"/>
    </row>
    <row r="1743" spans="1:18" x14ac:dyDescent="0.35">
      <c r="A1743" s="32">
        <f t="shared" si="54"/>
        <v>0</v>
      </c>
      <c r="B1743" s="33"/>
      <c r="C1743" s="34">
        <f t="shared" si="55"/>
        <v>0</v>
      </c>
      <c r="D1743" s="42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4"/>
    </row>
    <row r="1744" spans="1:18" x14ac:dyDescent="0.35">
      <c r="A1744" s="32">
        <f t="shared" si="54"/>
        <v>0</v>
      </c>
      <c r="B1744" s="33"/>
      <c r="C1744" s="34">
        <f t="shared" si="55"/>
        <v>0</v>
      </c>
      <c r="D1744" s="42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4"/>
    </row>
    <row r="1745" spans="1:18" x14ac:dyDescent="0.35">
      <c r="A1745" s="32">
        <f t="shared" si="54"/>
        <v>0</v>
      </c>
      <c r="B1745" s="33"/>
      <c r="C1745" s="34">
        <f t="shared" si="55"/>
        <v>0</v>
      </c>
      <c r="D1745" s="42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4"/>
    </row>
    <row r="1746" spans="1:18" x14ac:dyDescent="0.35">
      <c r="A1746" s="32">
        <f t="shared" si="54"/>
        <v>0</v>
      </c>
      <c r="B1746" s="33"/>
      <c r="C1746" s="34">
        <f t="shared" si="55"/>
        <v>0</v>
      </c>
      <c r="D1746" s="42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4"/>
    </row>
    <row r="1747" spans="1:18" x14ac:dyDescent="0.35">
      <c r="A1747" s="32">
        <f t="shared" si="54"/>
        <v>0</v>
      </c>
      <c r="B1747" s="33"/>
      <c r="C1747" s="34">
        <f t="shared" si="55"/>
        <v>0</v>
      </c>
      <c r="D1747" s="42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4"/>
    </row>
    <row r="1748" spans="1:18" x14ac:dyDescent="0.35">
      <c r="A1748" s="32">
        <f t="shared" si="54"/>
        <v>0</v>
      </c>
      <c r="B1748" s="33"/>
      <c r="C1748" s="34">
        <f t="shared" si="55"/>
        <v>0</v>
      </c>
      <c r="D1748" s="42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4"/>
    </row>
    <row r="1749" spans="1:18" x14ac:dyDescent="0.35">
      <c r="A1749" s="32">
        <f t="shared" si="54"/>
        <v>0</v>
      </c>
      <c r="B1749" s="33"/>
      <c r="C1749" s="34">
        <f t="shared" si="55"/>
        <v>0</v>
      </c>
      <c r="D1749" s="42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4"/>
    </row>
    <row r="1750" spans="1:18" x14ac:dyDescent="0.35">
      <c r="A1750" s="32">
        <f t="shared" si="54"/>
        <v>0</v>
      </c>
      <c r="B1750" s="33"/>
      <c r="C1750" s="34">
        <f t="shared" si="55"/>
        <v>0</v>
      </c>
      <c r="D1750" s="42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4"/>
    </row>
    <row r="1751" spans="1:18" x14ac:dyDescent="0.35">
      <c r="A1751" s="32">
        <f t="shared" si="54"/>
        <v>0</v>
      </c>
      <c r="B1751" s="33"/>
      <c r="C1751" s="34">
        <f t="shared" si="55"/>
        <v>0</v>
      </c>
      <c r="D1751" s="42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4"/>
    </row>
    <row r="1752" spans="1:18" x14ac:dyDescent="0.35">
      <c r="A1752" s="32">
        <f t="shared" si="54"/>
        <v>0</v>
      </c>
      <c r="B1752" s="33"/>
      <c r="C1752" s="34">
        <f t="shared" si="55"/>
        <v>0</v>
      </c>
      <c r="D1752" s="42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4"/>
    </row>
    <row r="1753" spans="1:18" x14ac:dyDescent="0.35">
      <c r="A1753" s="32">
        <f t="shared" si="54"/>
        <v>0</v>
      </c>
      <c r="B1753" s="33"/>
      <c r="C1753" s="34">
        <f t="shared" si="55"/>
        <v>0</v>
      </c>
      <c r="D1753" s="42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4"/>
    </row>
    <row r="1754" spans="1:18" x14ac:dyDescent="0.35">
      <c r="A1754" s="32">
        <f t="shared" si="54"/>
        <v>0</v>
      </c>
      <c r="B1754" s="33"/>
      <c r="C1754" s="34">
        <f t="shared" si="55"/>
        <v>0</v>
      </c>
      <c r="D1754" s="42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4"/>
    </row>
    <row r="1755" spans="1:18" x14ac:dyDescent="0.35">
      <c r="A1755" s="32">
        <f t="shared" si="54"/>
        <v>0</v>
      </c>
      <c r="B1755" s="33"/>
      <c r="C1755" s="34">
        <f t="shared" si="55"/>
        <v>0</v>
      </c>
      <c r="D1755" s="42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4"/>
    </row>
    <row r="1756" spans="1:18" x14ac:dyDescent="0.35">
      <c r="A1756" s="32">
        <f t="shared" si="54"/>
        <v>0</v>
      </c>
      <c r="B1756" s="33"/>
      <c r="C1756" s="34">
        <f t="shared" si="55"/>
        <v>0</v>
      </c>
      <c r="D1756" s="42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4"/>
    </row>
    <row r="1757" spans="1:18" x14ac:dyDescent="0.35">
      <c r="A1757" s="32">
        <f t="shared" si="54"/>
        <v>0</v>
      </c>
      <c r="B1757" s="33"/>
      <c r="C1757" s="34">
        <f t="shared" si="55"/>
        <v>0</v>
      </c>
      <c r="D1757" s="42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4"/>
    </row>
    <row r="1758" spans="1:18" x14ac:dyDescent="0.35">
      <c r="A1758" s="32">
        <f t="shared" si="54"/>
        <v>0</v>
      </c>
      <c r="B1758" s="33"/>
      <c r="C1758" s="34">
        <f t="shared" si="55"/>
        <v>0</v>
      </c>
      <c r="D1758" s="42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4"/>
    </row>
    <row r="1759" spans="1:18" x14ac:dyDescent="0.35">
      <c r="A1759" s="32">
        <f t="shared" si="54"/>
        <v>0</v>
      </c>
      <c r="B1759" s="33"/>
      <c r="C1759" s="34">
        <f t="shared" si="55"/>
        <v>0</v>
      </c>
      <c r="D1759" s="42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4"/>
    </row>
    <row r="1760" spans="1:18" x14ac:dyDescent="0.35">
      <c r="A1760" s="32">
        <f t="shared" si="54"/>
        <v>0</v>
      </c>
      <c r="B1760" s="33"/>
      <c r="C1760" s="34">
        <f t="shared" si="55"/>
        <v>0</v>
      </c>
      <c r="D1760" s="42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4"/>
    </row>
    <row r="1761" spans="1:18" x14ac:dyDescent="0.35">
      <c r="A1761" s="32">
        <f t="shared" si="54"/>
        <v>0</v>
      </c>
      <c r="B1761" s="33"/>
      <c r="C1761" s="34">
        <f t="shared" si="55"/>
        <v>0</v>
      </c>
      <c r="D1761" s="42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4"/>
    </row>
    <row r="1762" spans="1:18" x14ac:dyDescent="0.35">
      <c r="A1762" s="32">
        <f t="shared" si="54"/>
        <v>0</v>
      </c>
      <c r="B1762" s="33"/>
      <c r="C1762" s="34">
        <f t="shared" si="55"/>
        <v>0</v>
      </c>
      <c r="D1762" s="42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4"/>
    </row>
    <row r="1763" spans="1:18" x14ac:dyDescent="0.35">
      <c r="A1763" s="32">
        <f t="shared" si="54"/>
        <v>0</v>
      </c>
      <c r="B1763" s="33"/>
      <c r="C1763" s="34">
        <f t="shared" si="55"/>
        <v>0</v>
      </c>
      <c r="D1763" s="42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4"/>
    </row>
    <row r="1764" spans="1:18" x14ac:dyDescent="0.35">
      <c r="A1764" s="32">
        <f t="shared" si="54"/>
        <v>0</v>
      </c>
      <c r="B1764" s="33"/>
      <c r="C1764" s="34">
        <f t="shared" si="55"/>
        <v>0</v>
      </c>
      <c r="D1764" s="42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4"/>
    </row>
    <row r="1765" spans="1:18" x14ac:dyDescent="0.35">
      <c r="A1765" s="32">
        <f t="shared" si="54"/>
        <v>0</v>
      </c>
      <c r="B1765" s="33"/>
      <c r="C1765" s="34">
        <f t="shared" si="55"/>
        <v>0</v>
      </c>
      <c r="D1765" s="42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4"/>
    </row>
    <row r="1766" spans="1:18" x14ac:dyDescent="0.35">
      <c r="A1766" s="32">
        <f t="shared" si="54"/>
        <v>0</v>
      </c>
      <c r="B1766" s="33"/>
      <c r="C1766" s="34">
        <f t="shared" si="55"/>
        <v>0</v>
      </c>
      <c r="D1766" s="42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4"/>
    </row>
    <row r="1767" spans="1:18" x14ac:dyDescent="0.35">
      <c r="A1767" s="32">
        <f t="shared" si="54"/>
        <v>0</v>
      </c>
      <c r="B1767" s="33"/>
      <c r="C1767" s="34">
        <f t="shared" si="55"/>
        <v>0</v>
      </c>
      <c r="D1767" s="42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4"/>
    </row>
    <row r="1768" spans="1:18" x14ac:dyDescent="0.35">
      <c r="A1768" s="32">
        <f t="shared" si="54"/>
        <v>0</v>
      </c>
      <c r="B1768" s="33"/>
      <c r="C1768" s="34">
        <f t="shared" si="55"/>
        <v>0</v>
      </c>
      <c r="D1768" s="42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4"/>
    </row>
    <row r="1769" spans="1:18" x14ac:dyDescent="0.35">
      <c r="A1769" s="32">
        <f t="shared" si="54"/>
        <v>0</v>
      </c>
      <c r="B1769" s="33"/>
      <c r="C1769" s="34">
        <f t="shared" si="55"/>
        <v>0</v>
      </c>
      <c r="D1769" s="42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4"/>
    </row>
    <row r="1770" spans="1:18" x14ac:dyDescent="0.35">
      <c r="A1770" s="32">
        <f t="shared" si="54"/>
        <v>0</v>
      </c>
      <c r="B1770" s="33"/>
      <c r="C1770" s="34">
        <f t="shared" si="55"/>
        <v>0</v>
      </c>
      <c r="D1770" s="42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4"/>
    </row>
    <row r="1771" spans="1:18" x14ac:dyDescent="0.35">
      <c r="A1771" s="32">
        <f t="shared" si="54"/>
        <v>0</v>
      </c>
      <c r="B1771" s="33"/>
      <c r="C1771" s="34">
        <f t="shared" si="55"/>
        <v>0</v>
      </c>
      <c r="D1771" s="42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4"/>
    </row>
    <row r="1772" spans="1:18" x14ac:dyDescent="0.35">
      <c r="A1772" s="32">
        <f t="shared" si="54"/>
        <v>0</v>
      </c>
      <c r="B1772" s="33"/>
      <c r="C1772" s="34">
        <f t="shared" si="55"/>
        <v>0</v>
      </c>
      <c r="D1772" s="42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4"/>
    </row>
    <row r="1773" spans="1:18" x14ac:dyDescent="0.35">
      <c r="A1773" s="32">
        <f t="shared" si="54"/>
        <v>0</v>
      </c>
      <c r="B1773" s="33"/>
      <c r="C1773" s="34">
        <f t="shared" si="55"/>
        <v>0</v>
      </c>
      <c r="D1773" s="42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4"/>
    </row>
    <row r="1774" spans="1:18" x14ac:dyDescent="0.35">
      <c r="A1774" s="32">
        <f t="shared" si="54"/>
        <v>0</v>
      </c>
      <c r="B1774" s="33"/>
      <c r="C1774" s="34">
        <f t="shared" si="55"/>
        <v>0</v>
      </c>
      <c r="D1774" s="42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4"/>
    </row>
    <row r="1775" spans="1:18" x14ac:dyDescent="0.35">
      <c r="A1775" s="32">
        <f t="shared" si="54"/>
        <v>0</v>
      </c>
      <c r="B1775" s="33"/>
      <c r="C1775" s="34">
        <f t="shared" si="55"/>
        <v>0</v>
      </c>
      <c r="D1775" s="42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4"/>
    </row>
    <row r="1776" spans="1:18" x14ac:dyDescent="0.35">
      <c r="A1776" s="32">
        <f t="shared" si="54"/>
        <v>0</v>
      </c>
      <c r="B1776" s="33"/>
      <c r="C1776" s="34">
        <f t="shared" si="55"/>
        <v>0</v>
      </c>
      <c r="D1776" s="42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4"/>
    </row>
    <row r="1777" spans="1:18" x14ac:dyDescent="0.35">
      <c r="A1777" s="32">
        <f t="shared" si="54"/>
        <v>0</v>
      </c>
      <c r="B1777" s="33"/>
      <c r="C1777" s="34">
        <f t="shared" si="55"/>
        <v>0</v>
      </c>
      <c r="D1777" s="42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4"/>
    </row>
    <row r="1778" spans="1:18" x14ac:dyDescent="0.35">
      <c r="A1778" s="32">
        <f t="shared" si="54"/>
        <v>0</v>
      </c>
      <c r="B1778" s="33"/>
      <c r="C1778" s="34">
        <f t="shared" si="55"/>
        <v>0</v>
      </c>
      <c r="D1778" s="42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4"/>
    </row>
    <row r="1779" spans="1:18" x14ac:dyDescent="0.35">
      <c r="A1779" s="32">
        <f t="shared" si="54"/>
        <v>0</v>
      </c>
      <c r="B1779" s="33"/>
      <c r="C1779" s="34">
        <f t="shared" si="55"/>
        <v>0</v>
      </c>
      <c r="D1779" s="42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4"/>
    </row>
    <row r="1780" spans="1:18" x14ac:dyDescent="0.35">
      <c r="A1780" s="32">
        <f t="shared" si="54"/>
        <v>0</v>
      </c>
      <c r="B1780" s="33"/>
      <c r="C1780" s="34">
        <f t="shared" si="55"/>
        <v>0</v>
      </c>
      <c r="D1780" s="42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4"/>
    </row>
    <row r="1781" spans="1:18" x14ac:dyDescent="0.35">
      <c r="A1781" s="32">
        <f t="shared" si="54"/>
        <v>0</v>
      </c>
      <c r="B1781" s="33"/>
      <c r="C1781" s="34">
        <f t="shared" si="55"/>
        <v>0</v>
      </c>
      <c r="D1781" s="42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4"/>
    </row>
    <row r="1782" spans="1:18" x14ac:dyDescent="0.35">
      <c r="A1782" s="32">
        <f t="shared" si="54"/>
        <v>0</v>
      </c>
      <c r="B1782" s="33"/>
      <c r="C1782" s="34">
        <f t="shared" si="55"/>
        <v>0</v>
      </c>
      <c r="D1782" s="42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4"/>
    </row>
    <row r="1783" spans="1:18" x14ac:dyDescent="0.35">
      <c r="A1783" s="32">
        <f t="shared" si="54"/>
        <v>0</v>
      </c>
      <c r="B1783" s="33"/>
      <c r="C1783" s="34">
        <f t="shared" si="55"/>
        <v>0</v>
      </c>
      <c r="D1783" s="42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4"/>
    </row>
    <row r="1784" spans="1:18" x14ac:dyDescent="0.35">
      <c r="A1784" s="32">
        <f t="shared" si="54"/>
        <v>0</v>
      </c>
      <c r="B1784" s="33"/>
      <c r="C1784" s="34">
        <f t="shared" si="55"/>
        <v>0</v>
      </c>
      <c r="D1784" s="42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4"/>
    </row>
    <row r="1785" spans="1:18" x14ac:dyDescent="0.35">
      <c r="A1785" s="32">
        <f t="shared" si="54"/>
        <v>0</v>
      </c>
      <c r="B1785" s="33"/>
      <c r="C1785" s="34">
        <f t="shared" si="55"/>
        <v>0</v>
      </c>
      <c r="D1785" s="42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4"/>
    </row>
    <row r="1786" spans="1:18" x14ac:dyDescent="0.35">
      <c r="A1786" s="32">
        <f t="shared" si="54"/>
        <v>0</v>
      </c>
      <c r="B1786" s="33"/>
      <c r="C1786" s="34">
        <f t="shared" si="55"/>
        <v>0</v>
      </c>
      <c r="D1786" s="42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4"/>
    </row>
    <row r="1787" spans="1:18" x14ac:dyDescent="0.35">
      <c r="A1787" s="32">
        <f t="shared" si="54"/>
        <v>0</v>
      </c>
      <c r="B1787" s="33"/>
      <c r="C1787" s="34">
        <f t="shared" si="55"/>
        <v>0</v>
      </c>
      <c r="D1787" s="42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4"/>
    </row>
    <row r="1788" spans="1:18" x14ac:dyDescent="0.35">
      <c r="A1788" s="32">
        <f t="shared" si="54"/>
        <v>0</v>
      </c>
      <c r="B1788" s="33"/>
      <c r="C1788" s="34">
        <f t="shared" si="55"/>
        <v>0</v>
      </c>
      <c r="D1788" s="42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4"/>
    </row>
    <row r="1789" spans="1:18" x14ac:dyDescent="0.35">
      <c r="A1789" s="32">
        <f t="shared" si="54"/>
        <v>0</v>
      </c>
      <c r="B1789" s="33"/>
      <c r="C1789" s="34">
        <f t="shared" si="55"/>
        <v>0</v>
      </c>
      <c r="D1789" s="42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4"/>
    </row>
    <row r="1790" spans="1:18" x14ac:dyDescent="0.35">
      <c r="A1790" s="32">
        <f t="shared" si="54"/>
        <v>0</v>
      </c>
      <c r="B1790" s="33"/>
      <c r="C1790" s="34">
        <f t="shared" si="55"/>
        <v>0</v>
      </c>
      <c r="D1790" s="42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4"/>
    </row>
    <row r="1791" spans="1:18" x14ac:dyDescent="0.35">
      <c r="A1791" s="32">
        <f t="shared" si="54"/>
        <v>0</v>
      </c>
      <c r="B1791" s="33"/>
      <c r="C1791" s="34">
        <f t="shared" si="55"/>
        <v>0</v>
      </c>
      <c r="D1791" s="42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4"/>
    </row>
    <row r="1792" spans="1:18" x14ac:dyDescent="0.35">
      <c r="A1792" s="32">
        <f t="shared" si="54"/>
        <v>0</v>
      </c>
      <c r="B1792" s="33"/>
      <c r="C1792" s="34">
        <f t="shared" si="55"/>
        <v>0</v>
      </c>
      <c r="D1792" s="42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4"/>
    </row>
    <row r="1793" spans="1:18" x14ac:dyDescent="0.35">
      <c r="A1793" s="32">
        <f t="shared" si="54"/>
        <v>0</v>
      </c>
      <c r="B1793" s="33"/>
      <c r="C1793" s="34">
        <f t="shared" si="55"/>
        <v>0</v>
      </c>
      <c r="D1793" s="42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4"/>
    </row>
    <row r="1794" spans="1:18" x14ac:dyDescent="0.35">
      <c r="A1794" s="32">
        <f t="shared" si="54"/>
        <v>0</v>
      </c>
      <c r="B1794" s="33"/>
      <c r="C1794" s="34">
        <f t="shared" si="55"/>
        <v>0</v>
      </c>
      <c r="D1794" s="42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4"/>
    </row>
    <row r="1795" spans="1:18" x14ac:dyDescent="0.35">
      <c r="A1795" s="32">
        <f t="shared" si="54"/>
        <v>0</v>
      </c>
      <c r="B1795" s="33"/>
      <c r="C1795" s="34">
        <f t="shared" si="55"/>
        <v>0</v>
      </c>
      <c r="D1795" s="42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4"/>
    </row>
    <row r="1796" spans="1:18" x14ac:dyDescent="0.35">
      <c r="A1796" s="32">
        <f t="shared" ref="A1796:A1859" si="56">F1796</f>
        <v>0</v>
      </c>
      <c r="B1796" s="33"/>
      <c r="C1796" s="34">
        <f t="shared" ref="C1796:C1859" si="57">F1796</f>
        <v>0</v>
      </c>
      <c r="D1796" s="42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4"/>
    </row>
    <row r="1797" spans="1:18" x14ac:dyDescent="0.35">
      <c r="A1797" s="32">
        <f t="shared" si="56"/>
        <v>0</v>
      </c>
      <c r="B1797" s="33"/>
      <c r="C1797" s="34">
        <f t="shared" si="57"/>
        <v>0</v>
      </c>
      <c r="D1797" s="42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4"/>
    </row>
    <row r="1798" spans="1:18" x14ac:dyDescent="0.35">
      <c r="A1798" s="32">
        <f t="shared" si="56"/>
        <v>0</v>
      </c>
      <c r="B1798" s="33"/>
      <c r="C1798" s="34">
        <f t="shared" si="57"/>
        <v>0</v>
      </c>
      <c r="D1798" s="42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4"/>
    </row>
    <row r="1799" spans="1:18" x14ac:dyDescent="0.35">
      <c r="A1799" s="32">
        <f t="shared" si="56"/>
        <v>0</v>
      </c>
      <c r="B1799" s="33"/>
      <c r="C1799" s="34">
        <f t="shared" si="57"/>
        <v>0</v>
      </c>
      <c r="D1799" s="42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4"/>
    </row>
    <row r="1800" spans="1:18" x14ac:dyDescent="0.35">
      <c r="A1800" s="32">
        <f t="shared" si="56"/>
        <v>0</v>
      </c>
      <c r="B1800" s="33"/>
      <c r="C1800" s="34">
        <f t="shared" si="57"/>
        <v>0</v>
      </c>
      <c r="D1800" s="42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4"/>
    </row>
    <row r="1801" spans="1:18" x14ac:dyDescent="0.35">
      <c r="A1801" s="32">
        <f t="shared" si="56"/>
        <v>0</v>
      </c>
      <c r="B1801" s="33"/>
      <c r="C1801" s="34">
        <f t="shared" si="57"/>
        <v>0</v>
      </c>
      <c r="D1801" s="42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4"/>
    </row>
    <row r="1802" spans="1:18" x14ac:dyDescent="0.35">
      <c r="A1802" s="32">
        <f t="shared" si="56"/>
        <v>0</v>
      </c>
      <c r="B1802" s="33"/>
      <c r="C1802" s="34">
        <f t="shared" si="57"/>
        <v>0</v>
      </c>
      <c r="D1802" s="42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4"/>
    </row>
    <row r="1803" spans="1:18" x14ac:dyDescent="0.35">
      <c r="A1803" s="32">
        <f t="shared" si="56"/>
        <v>0</v>
      </c>
      <c r="B1803" s="33"/>
      <c r="C1803" s="34">
        <f t="shared" si="57"/>
        <v>0</v>
      </c>
      <c r="D1803" s="42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4"/>
    </row>
    <row r="1804" spans="1:18" x14ac:dyDescent="0.35">
      <c r="A1804" s="32">
        <f t="shared" si="56"/>
        <v>0</v>
      </c>
      <c r="B1804" s="33"/>
      <c r="C1804" s="34">
        <f t="shared" si="57"/>
        <v>0</v>
      </c>
      <c r="D1804" s="42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4"/>
    </row>
    <row r="1805" spans="1:18" x14ac:dyDescent="0.35">
      <c r="A1805" s="32">
        <f t="shared" si="56"/>
        <v>0</v>
      </c>
      <c r="B1805" s="33"/>
      <c r="C1805" s="34">
        <f t="shared" si="57"/>
        <v>0</v>
      </c>
      <c r="D1805" s="42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4"/>
    </row>
    <row r="1806" spans="1:18" x14ac:dyDescent="0.35">
      <c r="A1806" s="32">
        <f t="shared" si="56"/>
        <v>0</v>
      </c>
      <c r="B1806" s="33"/>
      <c r="C1806" s="34">
        <f t="shared" si="57"/>
        <v>0</v>
      </c>
      <c r="D1806" s="42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4"/>
    </row>
    <row r="1807" spans="1:18" x14ac:dyDescent="0.35">
      <c r="A1807" s="32">
        <f t="shared" si="56"/>
        <v>0</v>
      </c>
      <c r="B1807" s="33"/>
      <c r="C1807" s="34">
        <f t="shared" si="57"/>
        <v>0</v>
      </c>
      <c r="D1807" s="42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4"/>
    </row>
    <row r="1808" spans="1:18" x14ac:dyDescent="0.35">
      <c r="A1808" s="32">
        <f t="shared" si="56"/>
        <v>0</v>
      </c>
      <c r="B1808" s="33"/>
      <c r="C1808" s="34">
        <f t="shared" si="57"/>
        <v>0</v>
      </c>
      <c r="D1808" s="42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4"/>
    </row>
    <row r="1809" spans="1:18" x14ac:dyDescent="0.35">
      <c r="A1809" s="32">
        <f t="shared" si="56"/>
        <v>0</v>
      </c>
      <c r="B1809" s="33"/>
      <c r="C1809" s="34">
        <f t="shared" si="57"/>
        <v>0</v>
      </c>
      <c r="D1809" s="42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4"/>
    </row>
    <row r="1810" spans="1:18" x14ac:dyDescent="0.35">
      <c r="A1810" s="32">
        <f t="shared" si="56"/>
        <v>0</v>
      </c>
      <c r="B1810" s="33"/>
      <c r="C1810" s="34">
        <f t="shared" si="57"/>
        <v>0</v>
      </c>
      <c r="D1810" s="42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4"/>
    </row>
    <row r="1811" spans="1:18" x14ac:dyDescent="0.35">
      <c r="A1811" s="32">
        <f t="shared" si="56"/>
        <v>0</v>
      </c>
      <c r="B1811" s="33"/>
      <c r="C1811" s="34">
        <f t="shared" si="57"/>
        <v>0</v>
      </c>
      <c r="D1811" s="42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4"/>
    </row>
    <row r="1812" spans="1:18" x14ac:dyDescent="0.35">
      <c r="A1812" s="32">
        <f t="shared" si="56"/>
        <v>0</v>
      </c>
      <c r="B1812" s="33"/>
      <c r="C1812" s="34">
        <f t="shared" si="57"/>
        <v>0</v>
      </c>
      <c r="D1812" s="42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4"/>
    </row>
    <row r="1813" spans="1:18" x14ac:dyDescent="0.35">
      <c r="A1813" s="32">
        <f t="shared" si="56"/>
        <v>0</v>
      </c>
      <c r="B1813" s="33"/>
      <c r="C1813" s="34">
        <f t="shared" si="57"/>
        <v>0</v>
      </c>
      <c r="D1813" s="42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4"/>
    </row>
    <row r="1814" spans="1:18" x14ac:dyDescent="0.35">
      <c r="A1814" s="32">
        <f t="shared" si="56"/>
        <v>0</v>
      </c>
      <c r="B1814" s="33"/>
      <c r="C1814" s="34">
        <f t="shared" si="57"/>
        <v>0</v>
      </c>
      <c r="D1814" s="42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4"/>
    </row>
    <row r="1815" spans="1:18" x14ac:dyDescent="0.35">
      <c r="A1815" s="32">
        <f t="shared" si="56"/>
        <v>0</v>
      </c>
      <c r="B1815" s="33"/>
      <c r="C1815" s="34">
        <f t="shared" si="57"/>
        <v>0</v>
      </c>
      <c r="D1815" s="42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4"/>
    </row>
    <row r="1816" spans="1:18" x14ac:dyDescent="0.35">
      <c r="A1816" s="32">
        <f t="shared" si="56"/>
        <v>0</v>
      </c>
      <c r="B1816" s="33"/>
      <c r="C1816" s="34">
        <f t="shared" si="57"/>
        <v>0</v>
      </c>
      <c r="D1816" s="42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4"/>
    </row>
    <row r="1817" spans="1:18" x14ac:dyDescent="0.35">
      <c r="A1817" s="32">
        <f t="shared" si="56"/>
        <v>0</v>
      </c>
      <c r="B1817" s="33"/>
      <c r="C1817" s="34">
        <f t="shared" si="57"/>
        <v>0</v>
      </c>
      <c r="D1817" s="42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4"/>
    </row>
    <row r="1818" spans="1:18" x14ac:dyDescent="0.35">
      <c r="A1818" s="32">
        <f t="shared" si="56"/>
        <v>0</v>
      </c>
      <c r="B1818" s="33"/>
      <c r="C1818" s="34">
        <f t="shared" si="57"/>
        <v>0</v>
      </c>
      <c r="D1818" s="42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4"/>
    </row>
    <row r="1819" spans="1:18" x14ac:dyDescent="0.35">
      <c r="A1819" s="32">
        <f t="shared" si="56"/>
        <v>0</v>
      </c>
      <c r="B1819" s="33"/>
      <c r="C1819" s="34">
        <f t="shared" si="57"/>
        <v>0</v>
      </c>
      <c r="D1819" s="42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4"/>
    </row>
    <row r="1820" spans="1:18" x14ac:dyDescent="0.35">
      <c r="A1820" s="32">
        <f t="shared" si="56"/>
        <v>0</v>
      </c>
      <c r="B1820" s="33"/>
      <c r="C1820" s="34">
        <f t="shared" si="57"/>
        <v>0</v>
      </c>
      <c r="D1820" s="42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4"/>
    </row>
    <row r="1821" spans="1:18" x14ac:dyDescent="0.35">
      <c r="A1821" s="32">
        <f t="shared" si="56"/>
        <v>0</v>
      </c>
      <c r="B1821" s="33"/>
      <c r="C1821" s="34">
        <f t="shared" si="57"/>
        <v>0</v>
      </c>
      <c r="D1821" s="42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4"/>
    </row>
    <row r="1822" spans="1:18" x14ac:dyDescent="0.35">
      <c r="A1822" s="32">
        <f t="shared" si="56"/>
        <v>0</v>
      </c>
      <c r="B1822" s="33"/>
      <c r="C1822" s="34">
        <f t="shared" si="57"/>
        <v>0</v>
      </c>
      <c r="D1822" s="42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4"/>
    </row>
    <row r="1823" spans="1:18" x14ac:dyDescent="0.35">
      <c r="A1823" s="32">
        <f t="shared" si="56"/>
        <v>0</v>
      </c>
      <c r="B1823" s="33"/>
      <c r="C1823" s="34">
        <f t="shared" si="57"/>
        <v>0</v>
      </c>
      <c r="D1823" s="42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4"/>
    </row>
    <row r="1824" spans="1:18" x14ac:dyDescent="0.35">
      <c r="A1824" s="32">
        <f t="shared" si="56"/>
        <v>0</v>
      </c>
      <c r="B1824" s="33"/>
      <c r="C1824" s="34">
        <f t="shared" si="57"/>
        <v>0</v>
      </c>
      <c r="D1824" s="42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4"/>
    </row>
    <row r="1825" spans="1:18" x14ac:dyDescent="0.35">
      <c r="A1825" s="32">
        <f t="shared" si="56"/>
        <v>0</v>
      </c>
      <c r="B1825" s="33"/>
      <c r="C1825" s="34">
        <f t="shared" si="57"/>
        <v>0</v>
      </c>
      <c r="D1825" s="42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4"/>
    </row>
    <row r="1826" spans="1:18" x14ac:dyDescent="0.35">
      <c r="A1826" s="32">
        <f t="shared" si="56"/>
        <v>0</v>
      </c>
      <c r="B1826" s="33"/>
      <c r="C1826" s="34">
        <f t="shared" si="57"/>
        <v>0</v>
      </c>
      <c r="D1826" s="42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4"/>
    </row>
    <row r="1827" spans="1:18" x14ac:dyDescent="0.35">
      <c r="A1827" s="32">
        <f t="shared" si="56"/>
        <v>0</v>
      </c>
      <c r="B1827" s="33"/>
      <c r="C1827" s="34">
        <f t="shared" si="57"/>
        <v>0</v>
      </c>
      <c r="D1827" s="42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4"/>
    </row>
    <row r="1828" spans="1:18" x14ac:dyDescent="0.35">
      <c r="A1828" s="32">
        <f t="shared" si="56"/>
        <v>0</v>
      </c>
      <c r="B1828" s="33"/>
      <c r="C1828" s="34">
        <f t="shared" si="57"/>
        <v>0</v>
      </c>
      <c r="D1828" s="42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4"/>
    </row>
    <row r="1829" spans="1:18" x14ac:dyDescent="0.35">
      <c r="A1829" s="32">
        <f t="shared" si="56"/>
        <v>0</v>
      </c>
      <c r="B1829" s="33"/>
      <c r="C1829" s="34">
        <f t="shared" si="57"/>
        <v>0</v>
      </c>
      <c r="D1829" s="42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4"/>
    </row>
    <row r="1830" spans="1:18" x14ac:dyDescent="0.35">
      <c r="A1830" s="32">
        <f t="shared" si="56"/>
        <v>0</v>
      </c>
      <c r="B1830" s="33"/>
      <c r="C1830" s="34">
        <f t="shared" si="57"/>
        <v>0</v>
      </c>
      <c r="D1830" s="42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4"/>
    </row>
    <row r="1831" spans="1:18" x14ac:dyDescent="0.35">
      <c r="A1831" s="32">
        <f t="shared" si="56"/>
        <v>0</v>
      </c>
      <c r="B1831" s="33"/>
      <c r="C1831" s="34">
        <f t="shared" si="57"/>
        <v>0</v>
      </c>
      <c r="D1831" s="42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4"/>
    </row>
    <row r="1832" spans="1:18" x14ac:dyDescent="0.35">
      <c r="A1832" s="32">
        <f t="shared" si="56"/>
        <v>0</v>
      </c>
      <c r="B1832" s="33"/>
      <c r="C1832" s="34">
        <f t="shared" si="57"/>
        <v>0</v>
      </c>
      <c r="D1832" s="42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4"/>
    </row>
    <row r="1833" spans="1:18" x14ac:dyDescent="0.35">
      <c r="A1833" s="32">
        <f t="shared" si="56"/>
        <v>0</v>
      </c>
      <c r="B1833" s="33"/>
      <c r="C1833" s="34">
        <f t="shared" si="57"/>
        <v>0</v>
      </c>
      <c r="D1833" s="42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4"/>
    </row>
    <row r="1834" spans="1:18" x14ac:dyDescent="0.35">
      <c r="A1834" s="32">
        <f t="shared" si="56"/>
        <v>0</v>
      </c>
      <c r="B1834" s="33"/>
      <c r="C1834" s="34">
        <f t="shared" si="57"/>
        <v>0</v>
      </c>
      <c r="D1834" s="42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4"/>
    </row>
    <row r="1835" spans="1:18" x14ac:dyDescent="0.35">
      <c r="A1835" s="32">
        <f t="shared" si="56"/>
        <v>0</v>
      </c>
      <c r="B1835" s="33"/>
      <c r="C1835" s="34">
        <f t="shared" si="57"/>
        <v>0</v>
      </c>
      <c r="D1835" s="42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4"/>
    </row>
    <row r="1836" spans="1:18" x14ac:dyDescent="0.35">
      <c r="A1836" s="32">
        <f t="shared" si="56"/>
        <v>0</v>
      </c>
      <c r="B1836" s="33"/>
      <c r="C1836" s="34">
        <f t="shared" si="57"/>
        <v>0</v>
      </c>
      <c r="D1836" s="42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4"/>
    </row>
    <row r="1837" spans="1:18" x14ac:dyDescent="0.35">
      <c r="A1837" s="32">
        <f t="shared" si="56"/>
        <v>0</v>
      </c>
      <c r="B1837" s="33"/>
      <c r="C1837" s="34">
        <f t="shared" si="57"/>
        <v>0</v>
      </c>
      <c r="D1837" s="42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4"/>
    </row>
    <row r="1838" spans="1:18" x14ac:dyDescent="0.35">
      <c r="A1838" s="32">
        <f t="shared" si="56"/>
        <v>0</v>
      </c>
      <c r="B1838" s="33"/>
      <c r="C1838" s="34">
        <f t="shared" si="57"/>
        <v>0</v>
      </c>
      <c r="D1838" s="42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4"/>
    </row>
    <row r="1839" spans="1:18" x14ac:dyDescent="0.35">
      <c r="A1839" s="32">
        <f t="shared" si="56"/>
        <v>0</v>
      </c>
      <c r="B1839" s="33"/>
      <c r="C1839" s="34">
        <f t="shared" si="57"/>
        <v>0</v>
      </c>
      <c r="D1839" s="42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4"/>
    </row>
    <row r="1840" spans="1:18" x14ac:dyDescent="0.35">
      <c r="A1840" s="32">
        <f t="shared" si="56"/>
        <v>0</v>
      </c>
      <c r="B1840" s="33"/>
      <c r="C1840" s="34">
        <f t="shared" si="57"/>
        <v>0</v>
      </c>
      <c r="D1840" s="42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4"/>
    </row>
    <row r="1841" spans="1:18" x14ac:dyDescent="0.35">
      <c r="A1841" s="32">
        <f t="shared" si="56"/>
        <v>0</v>
      </c>
      <c r="B1841" s="33"/>
      <c r="C1841" s="34">
        <f t="shared" si="57"/>
        <v>0</v>
      </c>
      <c r="D1841" s="42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4"/>
    </row>
    <row r="1842" spans="1:18" x14ac:dyDescent="0.35">
      <c r="A1842" s="32">
        <f t="shared" si="56"/>
        <v>0</v>
      </c>
      <c r="B1842" s="33"/>
      <c r="C1842" s="34">
        <f t="shared" si="57"/>
        <v>0</v>
      </c>
      <c r="D1842" s="42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4"/>
    </row>
    <row r="1843" spans="1:18" x14ac:dyDescent="0.35">
      <c r="A1843" s="32">
        <f t="shared" si="56"/>
        <v>0</v>
      </c>
      <c r="B1843" s="33"/>
      <c r="C1843" s="34">
        <f t="shared" si="57"/>
        <v>0</v>
      </c>
      <c r="D1843" s="42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4"/>
    </row>
    <row r="1844" spans="1:18" x14ac:dyDescent="0.35">
      <c r="A1844" s="32">
        <f t="shared" si="56"/>
        <v>0</v>
      </c>
      <c r="B1844" s="33"/>
      <c r="C1844" s="34">
        <f t="shared" si="57"/>
        <v>0</v>
      </c>
      <c r="D1844" s="42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4"/>
    </row>
    <row r="1845" spans="1:18" x14ac:dyDescent="0.35">
      <c r="A1845" s="32">
        <f t="shared" si="56"/>
        <v>0</v>
      </c>
      <c r="B1845" s="33"/>
      <c r="C1845" s="34">
        <f t="shared" si="57"/>
        <v>0</v>
      </c>
      <c r="D1845" s="42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4"/>
    </row>
    <row r="1846" spans="1:18" x14ac:dyDescent="0.35">
      <c r="A1846" s="32">
        <f t="shared" si="56"/>
        <v>0</v>
      </c>
      <c r="B1846" s="33"/>
      <c r="C1846" s="34">
        <f t="shared" si="57"/>
        <v>0</v>
      </c>
      <c r="D1846" s="42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4"/>
    </row>
    <row r="1847" spans="1:18" x14ac:dyDescent="0.35">
      <c r="A1847" s="32">
        <f t="shared" si="56"/>
        <v>0</v>
      </c>
      <c r="B1847" s="33"/>
      <c r="C1847" s="34">
        <f t="shared" si="57"/>
        <v>0</v>
      </c>
      <c r="D1847" s="42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4"/>
    </row>
    <row r="1848" spans="1:18" x14ac:dyDescent="0.35">
      <c r="A1848" s="32">
        <f t="shared" si="56"/>
        <v>0</v>
      </c>
      <c r="B1848" s="33"/>
      <c r="C1848" s="34">
        <f t="shared" si="57"/>
        <v>0</v>
      </c>
      <c r="D1848" s="42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4"/>
    </row>
    <row r="1849" spans="1:18" x14ac:dyDescent="0.35">
      <c r="A1849" s="32">
        <f t="shared" si="56"/>
        <v>0</v>
      </c>
      <c r="B1849" s="33"/>
      <c r="C1849" s="34">
        <f t="shared" si="57"/>
        <v>0</v>
      </c>
      <c r="D1849" s="42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4"/>
    </row>
    <row r="1850" spans="1:18" x14ac:dyDescent="0.35">
      <c r="A1850" s="32">
        <f t="shared" si="56"/>
        <v>0</v>
      </c>
      <c r="B1850" s="33"/>
      <c r="C1850" s="34">
        <f t="shared" si="57"/>
        <v>0</v>
      </c>
      <c r="D1850" s="42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4"/>
    </row>
    <row r="1851" spans="1:18" x14ac:dyDescent="0.35">
      <c r="A1851" s="32">
        <f t="shared" si="56"/>
        <v>0</v>
      </c>
      <c r="B1851" s="33"/>
      <c r="C1851" s="34">
        <f t="shared" si="57"/>
        <v>0</v>
      </c>
      <c r="D1851" s="42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4"/>
    </row>
    <row r="1852" spans="1:18" x14ac:dyDescent="0.35">
      <c r="A1852" s="32">
        <f t="shared" si="56"/>
        <v>0</v>
      </c>
      <c r="B1852" s="33"/>
      <c r="C1852" s="34">
        <f t="shared" si="57"/>
        <v>0</v>
      </c>
      <c r="D1852" s="42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4"/>
    </row>
    <row r="1853" spans="1:18" x14ac:dyDescent="0.35">
      <c r="A1853" s="32">
        <f t="shared" si="56"/>
        <v>0</v>
      </c>
      <c r="B1853" s="33"/>
      <c r="C1853" s="34">
        <f t="shared" si="57"/>
        <v>0</v>
      </c>
      <c r="D1853" s="42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4"/>
    </row>
    <row r="1854" spans="1:18" x14ac:dyDescent="0.35">
      <c r="A1854" s="32">
        <f t="shared" si="56"/>
        <v>0</v>
      </c>
      <c r="B1854" s="33"/>
      <c r="C1854" s="34">
        <f t="shared" si="57"/>
        <v>0</v>
      </c>
      <c r="D1854" s="42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4"/>
    </row>
    <row r="1855" spans="1:18" x14ac:dyDescent="0.35">
      <c r="A1855" s="32">
        <f t="shared" si="56"/>
        <v>0</v>
      </c>
      <c r="B1855" s="33"/>
      <c r="C1855" s="34">
        <f t="shared" si="57"/>
        <v>0</v>
      </c>
      <c r="D1855" s="42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4"/>
    </row>
    <row r="1856" spans="1:18" x14ac:dyDescent="0.35">
      <c r="A1856" s="32">
        <f t="shared" si="56"/>
        <v>0</v>
      </c>
      <c r="B1856" s="33"/>
      <c r="C1856" s="34">
        <f t="shared" si="57"/>
        <v>0</v>
      </c>
      <c r="D1856" s="42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4"/>
    </row>
    <row r="1857" spans="1:18" x14ac:dyDescent="0.35">
      <c r="A1857" s="32">
        <f t="shared" si="56"/>
        <v>0</v>
      </c>
      <c r="B1857" s="33"/>
      <c r="C1857" s="34">
        <f t="shared" si="57"/>
        <v>0</v>
      </c>
      <c r="D1857" s="42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4"/>
    </row>
    <row r="1858" spans="1:18" x14ac:dyDescent="0.35">
      <c r="A1858" s="32">
        <f t="shared" si="56"/>
        <v>0</v>
      </c>
      <c r="B1858" s="33"/>
      <c r="C1858" s="34">
        <f t="shared" si="57"/>
        <v>0</v>
      </c>
      <c r="D1858" s="42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4"/>
    </row>
    <row r="1859" spans="1:18" x14ac:dyDescent="0.35">
      <c r="A1859" s="32">
        <f t="shared" si="56"/>
        <v>0</v>
      </c>
      <c r="B1859" s="33"/>
      <c r="C1859" s="34">
        <f t="shared" si="57"/>
        <v>0</v>
      </c>
      <c r="D1859" s="42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4"/>
    </row>
    <row r="1860" spans="1:18" x14ac:dyDescent="0.35">
      <c r="A1860" s="32">
        <f t="shared" ref="A1860:A1923" si="58">F1860</f>
        <v>0</v>
      </c>
      <c r="B1860" s="33"/>
      <c r="C1860" s="34">
        <f t="shared" ref="C1860:C1923" si="59">F1860</f>
        <v>0</v>
      </c>
      <c r="D1860" s="42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4"/>
    </row>
    <row r="1861" spans="1:18" x14ac:dyDescent="0.35">
      <c r="A1861" s="32">
        <f t="shared" si="58"/>
        <v>0</v>
      </c>
      <c r="B1861" s="33"/>
      <c r="C1861" s="34">
        <f t="shared" si="59"/>
        <v>0</v>
      </c>
      <c r="D1861" s="42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4"/>
    </row>
    <row r="1862" spans="1:18" x14ac:dyDescent="0.35">
      <c r="A1862" s="32">
        <f t="shared" si="58"/>
        <v>0</v>
      </c>
      <c r="B1862" s="33"/>
      <c r="C1862" s="34">
        <f t="shared" si="59"/>
        <v>0</v>
      </c>
      <c r="D1862" s="42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4"/>
    </row>
    <row r="1863" spans="1:18" x14ac:dyDescent="0.35">
      <c r="A1863" s="32">
        <f t="shared" si="58"/>
        <v>0</v>
      </c>
      <c r="B1863" s="33"/>
      <c r="C1863" s="34">
        <f t="shared" si="59"/>
        <v>0</v>
      </c>
      <c r="D1863" s="42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4"/>
    </row>
    <row r="1864" spans="1:18" x14ac:dyDescent="0.35">
      <c r="A1864" s="32">
        <f t="shared" si="58"/>
        <v>0</v>
      </c>
      <c r="B1864" s="33"/>
      <c r="C1864" s="34">
        <f t="shared" si="59"/>
        <v>0</v>
      </c>
      <c r="D1864" s="42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4"/>
    </row>
    <row r="1865" spans="1:18" x14ac:dyDescent="0.35">
      <c r="A1865" s="32">
        <f t="shared" si="58"/>
        <v>0</v>
      </c>
      <c r="B1865" s="33"/>
      <c r="C1865" s="34">
        <f t="shared" si="59"/>
        <v>0</v>
      </c>
      <c r="D1865" s="42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4"/>
    </row>
    <row r="1866" spans="1:18" x14ac:dyDescent="0.35">
      <c r="A1866" s="32">
        <f t="shared" si="58"/>
        <v>0</v>
      </c>
      <c r="B1866" s="33"/>
      <c r="C1866" s="34">
        <f t="shared" si="59"/>
        <v>0</v>
      </c>
      <c r="D1866" s="42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4"/>
    </row>
    <row r="1867" spans="1:18" x14ac:dyDescent="0.35">
      <c r="A1867" s="32">
        <f t="shared" si="58"/>
        <v>0</v>
      </c>
      <c r="B1867" s="33"/>
      <c r="C1867" s="34">
        <f t="shared" si="59"/>
        <v>0</v>
      </c>
      <c r="D1867" s="42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4"/>
    </row>
    <row r="1868" spans="1:18" x14ac:dyDescent="0.35">
      <c r="A1868" s="32">
        <f t="shared" si="58"/>
        <v>0</v>
      </c>
      <c r="B1868" s="33"/>
      <c r="C1868" s="34">
        <f t="shared" si="59"/>
        <v>0</v>
      </c>
      <c r="D1868" s="42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4"/>
    </row>
    <row r="1869" spans="1:18" x14ac:dyDescent="0.35">
      <c r="A1869" s="32">
        <f t="shared" si="58"/>
        <v>0</v>
      </c>
      <c r="B1869" s="33"/>
      <c r="C1869" s="34">
        <f t="shared" si="59"/>
        <v>0</v>
      </c>
      <c r="D1869" s="42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4"/>
    </row>
    <row r="1870" spans="1:18" x14ac:dyDescent="0.35">
      <c r="A1870" s="32">
        <f t="shared" si="58"/>
        <v>0</v>
      </c>
      <c r="B1870" s="33"/>
      <c r="C1870" s="34">
        <f t="shared" si="59"/>
        <v>0</v>
      </c>
      <c r="D1870" s="42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4"/>
    </row>
    <row r="1871" spans="1:18" x14ac:dyDescent="0.35">
      <c r="A1871" s="32">
        <f t="shared" si="58"/>
        <v>0</v>
      </c>
      <c r="B1871" s="33"/>
      <c r="C1871" s="34">
        <f t="shared" si="59"/>
        <v>0</v>
      </c>
      <c r="D1871" s="42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4"/>
    </row>
    <row r="1872" spans="1:18" x14ac:dyDescent="0.35">
      <c r="A1872" s="32">
        <f t="shared" si="58"/>
        <v>0</v>
      </c>
      <c r="B1872" s="33"/>
      <c r="C1872" s="34">
        <f t="shared" si="59"/>
        <v>0</v>
      </c>
      <c r="D1872" s="42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4"/>
    </row>
    <row r="1873" spans="1:18" x14ac:dyDescent="0.35">
      <c r="A1873" s="32">
        <f t="shared" si="58"/>
        <v>0</v>
      </c>
      <c r="B1873" s="33"/>
      <c r="C1873" s="34">
        <f t="shared" si="59"/>
        <v>0</v>
      </c>
      <c r="D1873" s="42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4"/>
    </row>
    <row r="1874" spans="1:18" x14ac:dyDescent="0.35">
      <c r="A1874" s="32">
        <f t="shared" si="58"/>
        <v>0</v>
      </c>
      <c r="B1874" s="33"/>
      <c r="C1874" s="34">
        <f t="shared" si="59"/>
        <v>0</v>
      </c>
      <c r="D1874" s="42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4"/>
    </row>
    <row r="1875" spans="1:18" x14ac:dyDescent="0.35">
      <c r="A1875" s="32">
        <f t="shared" si="58"/>
        <v>0</v>
      </c>
      <c r="B1875" s="33"/>
      <c r="C1875" s="34">
        <f t="shared" si="59"/>
        <v>0</v>
      </c>
      <c r="D1875" s="42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4"/>
    </row>
    <row r="1876" spans="1:18" x14ac:dyDescent="0.35">
      <c r="A1876" s="32">
        <f t="shared" si="58"/>
        <v>0</v>
      </c>
      <c r="B1876" s="33"/>
      <c r="C1876" s="34">
        <f t="shared" si="59"/>
        <v>0</v>
      </c>
      <c r="D1876" s="42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4"/>
    </row>
    <row r="1877" spans="1:18" x14ac:dyDescent="0.35">
      <c r="A1877" s="32">
        <f t="shared" si="58"/>
        <v>0</v>
      </c>
      <c r="B1877" s="33"/>
      <c r="C1877" s="34">
        <f t="shared" si="59"/>
        <v>0</v>
      </c>
      <c r="D1877" s="42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4"/>
    </row>
    <row r="1878" spans="1:18" x14ac:dyDescent="0.35">
      <c r="A1878" s="32">
        <f t="shared" si="58"/>
        <v>0</v>
      </c>
      <c r="B1878" s="33"/>
      <c r="C1878" s="34">
        <f t="shared" si="59"/>
        <v>0</v>
      </c>
      <c r="D1878" s="42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4"/>
    </row>
    <row r="1879" spans="1:18" x14ac:dyDescent="0.35">
      <c r="A1879" s="32">
        <f t="shared" si="58"/>
        <v>0</v>
      </c>
      <c r="B1879" s="33"/>
      <c r="C1879" s="34">
        <f t="shared" si="59"/>
        <v>0</v>
      </c>
      <c r="D1879" s="42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4"/>
    </row>
    <row r="1880" spans="1:18" x14ac:dyDescent="0.35">
      <c r="A1880" s="32">
        <f t="shared" si="58"/>
        <v>0</v>
      </c>
      <c r="B1880" s="33"/>
      <c r="C1880" s="34">
        <f t="shared" si="59"/>
        <v>0</v>
      </c>
      <c r="D1880" s="42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4"/>
    </row>
    <row r="1881" spans="1:18" x14ac:dyDescent="0.35">
      <c r="A1881" s="32">
        <f t="shared" si="58"/>
        <v>0</v>
      </c>
      <c r="B1881" s="33"/>
      <c r="C1881" s="34">
        <f t="shared" si="59"/>
        <v>0</v>
      </c>
      <c r="D1881" s="42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4"/>
    </row>
    <row r="1882" spans="1:18" x14ac:dyDescent="0.35">
      <c r="A1882" s="32">
        <f t="shared" si="58"/>
        <v>0</v>
      </c>
      <c r="B1882" s="33"/>
      <c r="C1882" s="34">
        <f t="shared" si="59"/>
        <v>0</v>
      </c>
      <c r="D1882" s="42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4"/>
    </row>
    <row r="1883" spans="1:18" x14ac:dyDescent="0.35">
      <c r="A1883" s="32">
        <f t="shared" si="58"/>
        <v>0</v>
      </c>
      <c r="B1883" s="33"/>
      <c r="C1883" s="34">
        <f t="shared" si="59"/>
        <v>0</v>
      </c>
      <c r="D1883" s="42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4"/>
    </row>
    <row r="1884" spans="1:18" x14ac:dyDescent="0.35">
      <c r="A1884" s="32">
        <f t="shared" si="58"/>
        <v>0</v>
      </c>
      <c r="B1884" s="33"/>
      <c r="C1884" s="34">
        <f t="shared" si="59"/>
        <v>0</v>
      </c>
      <c r="D1884" s="42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4"/>
    </row>
    <row r="1885" spans="1:18" x14ac:dyDescent="0.35">
      <c r="A1885" s="32">
        <f t="shared" si="58"/>
        <v>0</v>
      </c>
      <c r="B1885" s="33"/>
      <c r="C1885" s="34">
        <f t="shared" si="59"/>
        <v>0</v>
      </c>
      <c r="D1885" s="42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4"/>
    </row>
    <row r="1886" spans="1:18" x14ac:dyDescent="0.35">
      <c r="A1886" s="32">
        <f t="shared" si="58"/>
        <v>0</v>
      </c>
      <c r="B1886" s="33"/>
      <c r="C1886" s="34">
        <f t="shared" si="59"/>
        <v>0</v>
      </c>
      <c r="D1886" s="42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4"/>
    </row>
    <row r="1887" spans="1:18" x14ac:dyDescent="0.35">
      <c r="A1887" s="32">
        <f t="shared" si="58"/>
        <v>0</v>
      </c>
      <c r="B1887" s="33"/>
      <c r="C1887" s="34">
        <f t="shared" si="59"/>
        <v>0</v>
      </c>
      <c r="D1887" s="42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4"/>
    </row>
    <row r="1888" spans="1:18" x14ac:dyDescent="0.35">
      <c r="A1888" s="32">
        <f t="shared" si="58"/>
        <v>0</v>
      </c>
      <c r="B1888" s="33"/>
      <c r="C1888" s="34">
        <f t="shared" si="59"/>
        <v>0</v>
      </c>
      <c r="D1888" s="42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4"/>
    </row>
    <row r="1889" spans="1:18" x14ac:dyDescent="0.35">
      <c r="A1889" s="32">
        <f t="shared" si="58"/>
        <v>0</v>
      </c>
      <c r="B1889" s="33"/>
      <c r="C1889" s="34">
        <f t="shared" si="59"/>
        <v>0</v>
      </c>
      <c r="D1889" s="42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4"/>
    </row>
    <row r="1890" spans="1:18" x14ac:dyDescent="0.35">
      <c r="A1890" s="32">
        <f t="shared" si="58"/>
        <v>0</v>
      </c>
      <c r="B1890" s="33"/>
      <c r="C1890" s="34">
        <f t="shared" si="59"/>
        <v>0</v>
      </c>
      <c r="D1890" s="42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4"/>
    </row>
    <row r="1891" spans="1:18" x14ac:dyDescent="0.35">
      <c r="A1891" s="32">
        <f t="shared" si="58"/>
        <v>0</v>
      </c>
      <c r="B1891" s="33"/>
      <c r="C1891" s="34">
        <f t="shared" si="59"/>
        <v>0</v>
      </c>
      <c r="D1891" s="42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4"/>
    </row>
    <row r="1892" spans="1:18" x14ac:dyDescent="0.35">
      <c r="A1892" s="32">
        <f t="shared" si="58"/>
        <v>0</v>
      </c>
      <c r="B1892" s="33"/>
      <c r="C1892" s="34">
        <f t="shared" si="59"/>
        <v>0</v>
      </c>
      <c r="D1892" s="42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4"/>
    </row>
    <row r="1893" spans="1:18" x14ac:dyDescent="0.35">
      <c r="A1893" s="32">
        <f t="shared" si="58"/>
        <v>0</v>
      </c>
      <c r="B1893" s="33"/>
      <c r="C1893" s="34">
        <f t="shared" si="59"/>
        <v>0</v>
      </c>
      <c r="D1893" s="42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4"/>
    </row>
    <row r="1894" spans="1:18" x14ac:dyDescent="0.35">
      <c r="A1894" s="32">
        <f t="shared" si="58"/>
        <v>0</v>
      </c>
      <c r="B1894" s="33"/>
      <c r="C1894" s="34">
        <f t="shared" si="59"/>
        <v>0</v>
      </c>
      <c r="D1894" s="42"/>
      <c r="E1894" s="43"/>
      <c r="F1894" s="43"/>
      <c r="G1894" s="43"/>
      <c r="H1894" s="43"/>
      <c r="I1894" s="43"/>
      <c r="J1894" s="43"/>
      <c r="K1894" s="43"/>
      <c r="L1894" s="43"/>
      <c r="M1894" s="43"/>
      <c r="N1894" s="43"/>
      <c r="O1894" s="43"/>
      <c r="P1894" s="43"/>
      <c r="Q1894" s="43"/>
      <c r="R1894" s="44"/>
    </row>
    <row r="1895" spans="1:18" x14ac:dyDescent="0.35">
      <c r="A1895" s="32">
        <f t="shared" si="58"/>
        <v>0</v>
      </c>
      <c r="B1895" s="33"/>
      <c r="C1895" s="34">
        <f t="shared" si="59"/>
        <v>0</v>
      </c>
      <c r="D1895" s="42"/>
      <c r="E1895" s="43"/>
      <c r="F1895" s="43"/>
      <c r="G1895" s="43"/>
      <c r="H1895" s="43"/>
      <c r="I1895" s="43"/>
      <c r="J1895" s="43"/>
      <c r="K1895" s="43"/>
      <c r="L1895" s="43"/>
      <c r="M1895" s="43"/>
      <c r="N1895" s="43"/>
      <c r="O1895" s="43"/>
      <c r="P1895" s="43"/>
      <c r="Q1895" s="43"/>
      <c r="R1895" s="44"/>
    </row>
    <row r="1896" spans="1:18" x14ac:dyDescent="0.35">
      <c r="A1896" s="32">
        <f t="shared" si="58"/>
        <v>0</v>
      </c>
      <c r="B1896" s="33"/>
      <c r="C1896" s="34">
        <f t="shared" si="59"/>
        <v>0</v>
      </c>
      <c r="D1896" s="42"/>
      <c r="E1896" s="43"/>
      <c r="F1896" s="43"/>
      <c r="G1896" s="43"/>
      <c r="H1896" s="43"/>
      <c r="I1896" s="43"/>
      <c r="J1896" s="43"/>
      <c r="K1896" s="43"/>
      <c r="L1896" s="43"/>
      <c r="M1896" s="43"/>
      <c r="N1896" s="43"/>
      <c r="O1896" s="43"/>
      <c r="P1896" s="43"/>
      <c r="Q1896" s="43"/>
      <c r="R1896" s="44"/>
    </row>
    <row r="1897" spans="1:18" x14ac:dyDescent="0.35">
      <c r="A1897" s="32">
        <f t="shared" si="58"/>
        <v>0</v>
      </c>
      <c r="B1897" s="33"/>
      <c r="C1897" s="34">
        <f t="shared" si="59"/>
        <v>0</v>
      </c>
      <c r="D1897" s="42"/>
      <c r="E1897" s="43"/>
      <c r="F1897" s="43"/>
      <c r="G1897" s="43"/>
      <c r="H1897" s="43"/>
      <c r="I1897" s="43"/>
      <c r="J1897" s="43"/>
      <c r="K1897" s="43"/>
      <c r="L1897" s="43"/>
      <c r="M1897" s="43"/>
      <c r="N1897" s="43"/>
      <c r="O1897" s="43"/>
      <c r="P1897" s="43"/>
      <c r="Q1897" s="43"/>
      <c r="R1897" s="44"/>
    </row>
    <row r="1898" spans="1:18" x14ac:dyDescent="0.35">
      <c r="A1898" s="32">
        <f t="shared" si="58"/>
        <v>0</v>
      </c>
      <c r="B1898" s="33"/>
      <c r="C1898" s="34">
        <f t="shared" si="59"/>
        <v>0</v>
      </c>
      <c r="D1898" s="42"/>
      <c r="E1898" s="43"/>
      <c r="F1898" s="43"/>
      <c r="G1898" s="43"/>
      <c r="H1898" s="43"/>
      <c r="I1898" s="43"/>
      <c r="J1898" s="43"/>
      <c r="K1898" s="43"/>
      <c r="L1898" s="43"/>
      <c r="M1898" s="43"/>
      <c r="N1898" s="43"/>
      <c r="O1898" s="43"/>
      <c r="P1898" s="43"/>
      <c r="Q1898" s="43"/>
      <c r="R1898" s="44"/>
    </row>
    <row r="1899" spans="1:18" x14ac:dyDescent="0.35">
      <c r="A1899" s="32">
        <f t="shared" si="58"/>
        <v>0</v>
      </c>
      <c r="B1899" s="33"/>
      <c r="C1899" s="34">
        <f t="shared" si="59"/>
        <v>0</v>
      </c>
      <c r="D1899" s="42"/>
      <c r="E1899" s="43"/>
      <c r="F1899" s="43"/>
      <c r="G1899" s="43"/>
      <c r="H1899" s="43"/>
      <c r="I1899" s="43"/>
      <c r="J1899" s="43"/>
      <c r="K1899" s="43"/>
      <c r="L1899" s="43"/>
      <c r="M1899" s="43"/>
      <c r="N1899" s="43"/>
      <c r="O1899" s="43"/>
      <c r="P1899" s="43"/>
      <c r="Q1899" s="43"/>
      <c r="R1899" s="44"/>
    </row>
    <row r="1900" spans="1:18" x14ac:dyDescent="0.35">
      <c r="A1900" s="32">
        <f t="shared" si="58"/>
        <v>0</v>
      </c>
      <c r="B1900" s="33"/>
      <c r="C1900" s="34">
        <f t="shared" si="59"/>
        <v>0</v>
      </c>
      <c r="D1900" s="42"/>
      <c r="E1900" s="43"/>
      <c r="F1900" s="43"/>
      <c r="G1900" s="43"/>
      <c r="H1900" s="43"/>
      <c r="I1900" s="43"/>
      <c r="J1900" s="43"/>
      <c r="K1900" s="43"/>
      <c r="L1900" s="43"/>
      <c r="M1900" s="43"/>
      <c r="N1900" s="43"/>
      <c r="O1900" s="43"/>
      <c r="P1900" s="43"/>
      <c r="Q1900" s="43"/>
      <c r="R1900" s="44"/>
    </row>
    <row r="1901" spans="1:18" x14ac:dyDescent="0.35">
      <c r="A1901" s="32">
        <f t="shared" si="58"/>
        <v>0</v>
      </c>
      <c r="B1901" s="33"/>
      <c r="C1901" s="34">
        <f t="shared" si="59"/>
        <v>0</v>
      </c>
      <c r="D1901" s="42"/>
      <c r="E1901" s="43"/>
      <c r="F1901" s="43"/>
      <c r="G1901" s="43"/>
      <c r="H1901" s="43"/>
      <c r="I1901" s="43"/>
      <c r="J1901" s="43"/>
      <c r="K1901" s="43"/>
      <c r="L1901" s="43"/>
      <c r="M1901" s="43"/>
      <c r="N1901" s="43"/>
      <c r="O1901" s="43"/>
      <c r="P1901" s="43"/>
      <c r="Q1901" s="43"/>
      <c r="R1901" s="44"/>
    </row>
    <row r="1902" spans="1:18" x14ac:dyDescent="0.35">
      <c r="A1902" s="32">
        <f t="shared" si="58"/>
        <v>0</v>
      </c>
      <c r="B1902" s="33"/>
      <c r="C1902" s="34">
        <f t="shared" si="59"/>
        <v>0</v>
      </c>
      <c r="D1902" s="42"/>
      <c r="E1902" s="43"/>
      <c r="F1902" s="43"/>
      <c r="G1902" s="43"/>
      <c r="H1902" s="43"/>
      <c r="I1902" s="43"/>
      <c r="J1902" s="43"/>
      <c r="K1902" s="43"/>
      <c r="L1902" s="43"/>
      <c r="M1902" s="43"/>
      <c r="N1902" s="43"/>
      <c r="O1902" s="43"/>
      <c r="P1902" s="43"/>
      <c r="Q1902" s="43"/>
      <c r="R1902" s="44"/>
    </row>
    <row r="1903" spans="1:18" x14ac:dyDescent="0.35">
      <c r="A1903" s="32">
        <f t="shared" si="58"/>
        <v>0</v>
      </c>
      <c r="B1903" s="33"/>
      <c r="C1903" s="34">
        <f t="shared" si="59"/>
        <v>0</v>
      </c>
      <c r="D1903" s="42"/>
      <c r="E1903" s="43"/>
      <c r="F1903" s="43"/>
      <c r="G1903" s="43"/>
      <c r="H1903" s="43"/>
      <c r="I1903" s="43"/>
      <c r="J1903" s="43"/>
      <c r="K1903" s="43"/>
      <c r="L1903" s="43"/>
      <c r="M1903" s="43"/>
      <c r="N1903" s="43"/>
      <c r="O1903" s="43"/>
      <c r="P1903" s="43"/>
      <c r="Q1903" s="43"/>
      <c r="R1903" s="44"/>
    </row>
    <row r="1904" spans="1:18" x14ac:dyDescent="0.35">
      <c r="A1904" s="32">
        <f t="shared" si="58"/>
        <v>0</v>
      </c>
      <c r="B1904" s="33"/>
      <c r="C1904" s="34">
        <f t="shared" si="59"/>
        <v>0</v>
      </c>
      <c r="D1904" s="42"/>
      <c r="E1904" s="43"/>
      <c r="F1904" s="43"/>
      <c r="G1904" s="43"/>
      <c r="H1904" s="43"/>
      <c r="I1904" s="43"/>
      <c r="J1904" s="43"/>
      <c r="K1904" s="43"/>
      <c r="L1904" s="43"/>
      <c r="M1904" s="43"/>
      <c r="N1904" s="43"/>
      <c r="O1904" s="43"/>
      <c r="P1904" s="43"/>
      <c r="Q1904" s="43"/>
      <c r="R1904" s="44"/>
    </row>
    <row r="1905" spans="1:18" x14ac:dyDescent="0.35">
      <c r="A1905" s="32">
        <f t="shared" si="58"/>
        <v>0</v>
      </c>
      <c r="B1905" s="33"/>
      <c r="C1905" s="34">
        <f t="shared" si="59"/>
        <v>0</v>
      </c>
      <c r="D1905" s="42"/>
      <c r="E1905" s="43"/>
      <c r="F1905" s="43"/>
      <c r="G1905" s="43"/>
      <c r="H1905" s="43"/>
      <c r="I1905" s="43"/>
      <c r="J1905" s="43"/>
      <c r="K1905" s="43"/>
      <c r="L1905" s="43"/>
      <c r="M1905" s="43"/>
      <c r="N1905" s="43"/>
      <c r="O1905" s="43"/>
      <c r="P1905" s="43"/>
      <c r="Q1905" s="43"/>
      <c r="R1905" s="44"/>
    </row>
    <row r="1906" spans="1:18" x14ac:dyDescent="0.35">
      <c r="A1906" s="32">
        <f t="shared" si="58"/>
        <v>0</v>
      </c>
      <c r="B1906" s="33"/>
      <c r="C1906" s="34">
        <f t="shared" si="59"/>
        <v>0</v>
      </c>
      <c r="D1906" s="42"/>
      <c r="E1906" s="43"/>
      <c r="F1906" s="43"/>
      <c r="G1906" s="43"/>
      <c r="H1906" s="43"/>
      <c r="I1906" s="43"/>
      <c r="J1906" s="43"/>
      <c r="K1906" s="43"/>
      <c r="L1906" s="43"/>
      <c r="M1906" s="43"/>
      <c r="N1906" s="43"/>
      <c r="O1906" s="43"/>
      <c r="P1906" s="43"/>
      <c r="Q1906" s="43"/>
      <c r="R1906" s="44"/>
    </row>
    <row r="1907" spans="1:18" x14ac:dyDescent="0.35">
      <c r="A1907" s="32">
        <f t="shared" si="58"/>
        <v>0</v>
      </c>
      <c r="B1907" s="33"/>
      <c r="C1907" s="34">
        <f t="shared" si="59"/>
        <v>0</v>
      </c>
      <c r="D1907" s="42"/>
      <c r="E1907" s="43"/>
      <c r="F1907" s="43"/>
      <c r="G1907" s="43"/>
      <c r="H1907" s="43"/>
      <c r="I1907" s="43"/>
      <c r="J1907" s="43"/>
      <c r="K1907" s="43"/>
      <c r="L1907" s="43"/>
      <c r="M1907" s="43"/>
      <c r="N1907" s="43"/>
      <c r="O1907" s="43"/>
      <c r="P1907" s="43"/>
      <c r="Q1907" s="43"/>
      <c r="R1907" s="44"/>
    </row>
    <row r="1908" spans="1:18" x14ac:dyDescent="0.35">
      <c r="A1908" s="32">
        <f t="shared" si="58"/>
        <v>0</v>
      </c>
      <c r="B1908" s="33"/>
      <c r="C1908" s="34">
        <f t="shared" si="59"/>
        <v>0</v>
      </c>
      <c r="D1908" s="42"/>
      <c r="E1908" s="43"/>
      <c r="F1908" s="43"/>
      <c r="G1908" s="43"/>
      <c r="H1908" s="43"/>
      <c r="I1908" s="43"/>
      <c r="J1908" s="43"/>
      <c r="K1908" s="43"/>
      <c r="L1908" s="43"/>
      <c r="M1908" s="43"/>
      <c r="N1908" s="43"/>
      <c r="O1908" s="43"/>
      <c r="P1908" s="43"/>
      <c r="Q1908" s="43"/>
      <c r="R1908" s="44"/>
    </row>
    <row r="1909" spans="1:18" x14ac:dyDescent="0.35">
      <c r="A1909" s="32">
        <f t="shared" si="58"/>
        <v>0</v>
      </c>
      <c r="B1909" s="33"/>
      <c r="C1909" s="34">
        <f t="shared" si="59"/>
        <v>0</v>
      </c>
      <c r="D1909" s="42"/>
      <c r="E1909" s="43"/>
      <c r="F1909" s="43"/>
      <c r="G1909" s="43"/>
      <c r="H1909" s="43"/>
      <c r="I1909" s="43"/>
      <c r="J1909" s="43"/>
      <c r="K1909" s="43"/>
      <c r="L1909" s="43"/>
      <c r="M1909" s="43"/>
      <c r="N1909" s="43"/>
      <c r="O1909" s="43"/>
      <c r="P1909" s="43"/>
      <c r="Q1909" s="43"/>
      <c r="R1909" s="44"/>
    </row>
    <row r="1910" spans="1:18" x14ac:dyDescent="0.35">
      <c r="A1910" s="32">
        <f t="shared" si="58"/>
        <v>0</v>
      </c>
      <c r="B1910" s="33"/>
      <c r="C1910" s="34">
        <f t="shared" si="59"/>
        <v>0</v>
      </c>
      <c r="D1910" s="42"/>
      <c r="E1910" s="43"/>
      <c r="F1910" s="43"/>
      <c r="G1910" s="43"/>
      <c r="H1910" s="43"/>
      <c r="I1910" s="43"/>
      <c r="J1910" s="43"/>
      <c r="K1910" s="43"/>
      <c r="L1910" s="43"/>
      <c r="M1910" s="43"/>
      <c r="N1910" s="43"/>
      <c r="O1910" s="43"/>
      <c r="P1910" s="43"/>
      <c r="Q1910" s="43"/>
      <c r="R1910" s="44"/>
    </row>
    <row r="1911" spans="1:18" x14ac:dyDescent="0.35">
      <c r="A1911" s="32">
        <f t="shared" si="58"/>
        <v>0</v>
      </c>
      <c r="B1911" s="33"/>
      <c r="C1911" s="34">
        <f t="shared" si="59"/>
        <v>0</v>
      </c>
      <c r="D1911" s="42"/>
      <c r="E1911" s="43"/>
      <c r="F1911" s="43"/>
      <c r="G1911" s="43"/>
      <c r="H1911" s="43"/>
      <c r="I1911" s="43"/>
      <c r="J1911" s="43"/>
      <c r="K1911" s="43"/>
      <c r="L1911" s="43"/>
      <c r="M1911" s="43"/>
      <c r="N1911" s="43"/>
      <c r="O1911" s="43"/>
      <c r="P1911" s="43"/>
      <c r="Q1911" s="43"/>
      <c r="R1911" s="44"/>
    </row>
    <row r="1912" spans="1:18" x14ac:dyDescent="0.35">
      <c r="A1912" s="32">
        <f t="shared" si="58"/>
        <v>0</v>
      </c>
      <c r="B1912" s="33"/>
      <c r="C1912" s="34">
        <f t="shared" si="59"/>
        <v>0</v>
      </c>
      <c r="D1912" s="42"/>
      <c r="E1912" s="43"/>
      <c r="F1912" s="43"/>
      <c r="G1912" s="43"/>
      <c r="H1912" s="43"/>
      <c r="I1912" s="43"/>
      <c r="J1912" s="43"/>
      <c r="K1912" s="43"/>
      <c r="L1912" s="43"/>
      <c r="M1912" s="43"/>
      <c r="N1912" s="43"/>
      <c r="O1912" s="43"/>
      <c r="P1912" s="43"/>
      <c r="Q1912" s="43"/>
      <c r="R1912" s="44"/>
    </row>
    <row r="1913" spans="1:18" x14ac:dyDescent="0.35">
      <c r="A1913" s="32">
        <f t="shared" si="58"/>
        <v>0</v>
      </c>
      <c r="B1913" s="33"/>
      <c r="C1913" s="34">
        <f t="shared" si="59"/>
        <v>0</v>
      </c>
      <c r="D1913" s="42"/>
      <c r="E1913" s="43"/>
      <c r="F1913" s="43"/>
      <c r="G1913" s="43"/>
      <c r="H1913" s="43"/>
      <c r="I1913" s="43"/>
      <c r="J1913" s="43"/>
      <c r="K1913" s="43"/>
      <c r="L1913" s="43"/>
      <c r="M1913" s="43"/>
      <c r="N1913" s="43"/>
      <c r="O1913" s="43"/>
      <c r="P1913" s="43"/>
      <c r="Q1913" s="43"/>
      <c r="R1913" s="44"/>
    </row>
    <row r="1914" spans="1:18" x14ac:dyDescent="0.35">
      <c r="A1914" s="32">
        <f t="shared" si="58"/>
        <v>0</v>
      </c>
      <c r="B1914" s="33"/>
      <c r="C1914" s="34">
        <f t="shared" si="59"/>
        <v>0</v>
      </c>
      <c r="D1914" s="42"/>
      <c r="E1914" s="43"/>
      <c r="F1914" s="43"/>
      <c r="G1914" s="43"/>
      <c r="H1914" s="43"/>
      <c r="I1914" s="43"/>
      <c r="J1914" s="43"/>
      <c r="K1914" s="43"/>
      <c r="L1914" s="43"/>
      <c r="M1914" s="43"/>
      <c r="N1914" s="43"/>
      <c r="O1914" s="43"/>
      <c r="P1914" s="43"/>
      <c r="Q1914" s="43"/>
      <c r="R1914" s="44"/>
    </row>
    <row r="1915" spans="1:18" x14ac:dyDescent="0.35">
      <c r="A1915" s="32">
        <f t="shared" si="58"/>
        <v>0</v>
      </c>
      <c r="B1915" s="33"/>
      <c r="C1915" s="34">
        <f t="shared" si="59"/>
        <v>0</v>
      </c>
      <c r="D1915" s="42"/>
      <c r="E1915" s="43"/>
      <c r="F1915" s="43"/>
      <c r="G1915" s="43"/>
      <c r="H1915" s="43"/>
      <c r="I1915" s="43"/>
      <c r="J1915" s="43"/>
      <c r="K1915" s="43"/>
      <c r="L1915" s="43"/>
      <c r="M1915" s="43"/>
      <c r="N1915" s="43"/>
      <c r="O1915" s="43"/>
      <c r="P1915" s="43"/>
      <c r="Q1915" s="43"/>
      <c r="R1915" s="44"/>
    </row>
    <row r="1916" spans="1:18" x14ac:dyDescent="0.35">
      <c r="A1916" s="32">
        <f t="shared" si="58"/>
        <v>0</v>
      </c>
      <c r="B1916" s="33"/>
      <c r="C1916" s="34">
        <f t="shared" si="59"/>
        <v>0</v>
      </c>
      <c r="D1916" s="42"/>
      <c r="E1916" s="43"/>
      <c r="F1916" s="43"/>
      <c r="G1916" s="43"/>
      <c r="H1916" s="43"/>
      <c r="I1916" s="43"/>
      <c r="J1916" s="43"/>
      <c r="K1916" s="43"/>
      <c r="L1916" s="43"/>
      <c r="M1916" s="43"/>
      <c r="N1916" s="43"/>
      <c r="O1916" s="43"/>
      <c r="P1916" s="43"/>
      <c r="Q1916" s="43"/>
      <c r="R1916" s="44"/>
    </row>
    <row r="1917" spans="1:18" x14ac:dyDescent="0.35">
      <c r="A1917" s="32">
        <f t="shared" si="58"/>
        <v>0</v>
      </c>
      <c r="B1917" s="33"/>
      <c r="C1917" s="34">
        <f t="shared" si="59"/>
        <v>0</v>
      </c>
      <c r="D1917" s="42"/>
      <c r="E1917" s="43"/>
      <c r="F1917" s="43"/>
      <c r="G1917" s="43"/>
      <c r="H1917" s="43"/>
      <c r="I1917" s="43"/>
      <c r="J1917" s="43"/>
      <c r="K1917" s="43"/>
      <c r="L1917" s="43"/>
      <c r="M1917" s="43"/>
      <c r="N1917" s="43"/>
      <c r="O1917" s="43"/>
      <c r="P1917" s="43"/>
      <c r="Q1917" s="43"/>
      <c r="R1917" s="44"/>
    </row>
    <row r="1918" spans="1:18" x14ac:dyDescent="0.35">
      <c r="A1918" s="32">
        <f t="shared" si="58"/>
        <v>0</v>
      </c>
      <c r="B1918" s="33"/>
      <c r="C1918" s="34">
        <f t="shared" si="59"/>
        <v>0</v>
      </c>
      <c r="D1918" s="42"/>
      <c r="E1918" s="43"/>
      <c r="F1918" s="43"/>
      <c r="G1918" s="43"/>
      <c r="H1918" s="43"/>
      <c r="I1918" s="43"/>
      <c r="J1918" s="43"/>
      <c r="K1918" s="43"/>
      <c r="L1918" s="43"/>
      <c r="M1918" s="43"/>
      <c r="N1918" s="43"/>
      <c r="O1918" s="43"/>
      <c r="P1918" s="43"/>
      <c r="Q1918" s="43"/>
      <c r="R1918" s="44"/>
    </row>
    <row r="1919" spans="1:18" x14ac:dyDescent="0.35">
      <c r="A1919" s="32">
        <f t="shared" si="58"/>
        <v>0</v>
      </c>
      <c r="B1919" s="33"/>
      <c r="C1919" s="34">
        <f t="shared" si="59"/>
        <v>0</v>
      </c>
      <c r="D1919" s="42"/>
      <c r="E1919" s="43"/>
      <c r="F1919" s="43"/>
      <c r="G1919" s="43"/>
      <c r="H1919" s="43"/>
      <c r="I1919" s="43"/>
      <c r="J1919" s="43"/>
      <c r="K1919" s="43"/>
      <c r="L1919" s="43"/>
      <c r="M1919" s="43"/>
      <c r="N1919" s="43"/>
      <c r="O1919" s="43"/>
      <c r="P1919" s="43"/>
      <c r="Q1919" s="43"/>
      <c r="R1919" s="44"/>
    </row>
    <row r="1920" spans="1:18" x14ac:dyDescent="0.35">
      <c r="A1920" s="32">
        <f t="shared" si="58"/>
        <v>0</v>
      </c>
      <c r="B1920" s="33"/>
      <c r="C1920" s="34">
        <f t="shared" si="59"/>
        <v>0</v>
      </c>
      <c r="D1920" s="42"/>
      <c r="E1920" s="43"/>
      <c r="F1920" s="43"/>
      <c r="G1920" s="43"/>
      <c r="H1920" s="43"/>
      <c r="I1920" s="43"/>
      <c r="J1920" s="43"/>
      <c r="K1920" s="43"/>
      <c r="L1920" s="43"/>
      <c r="M1920" s="43"/>
      <c r="N1920" s="43"/>
      <c r="O1920" s="43"/>
      <c r="P1920" s="43"/>
      <c r="Q1920" s="43"/>
      <c r="R1920" s="44"/>
    </row>
    <row r="1921" spans="1:18" x14ac:dyDescent="0.35">
      <c r="A1921" s="32">
        <f t="shared" si="58"/>
        <v>0</v>
      </c>
      <c r="B1921" s="33"/>
      <c r="C1921" s="34">
        <f t="shared" si="59"/>
        <v>0</v>
      </c>
      <c r="D1921" s="42"/>
      <c r="E1921" s="43"/>
      <c r="F1921" s="43"/>
      <c r="G1921" s="43"/>
      <c r="H1921" s="43"/>
      <c r="I1921" s="43"/>
      <c r="J1921" s="43"/>
      <c r="K1921" s="43"/>
      <c r="L1921" s="43"/>
      <c r="M1921" s="43"/>
      <c r="N1921" s="43"/>
      <c r="O1921" s="43"/>
      <c r="P1921" s="43"/>
      <c r="Q1921" s="43"/>
      <c r="R1921" s="44"/>
    </row>
    <row r="1922" spans="1:18" x14ac:dyDescent="0.35">
      <c r="A1922" s="32">
        <f t="shared" si="58"/>
        <v>0</v>
      </c>
      <c r="B1922" s="33"/>
      <c r="C1922" s="34">
        <f t="shared" si="59"/>
        <v>0</v>
      </c>
      <c r="D1922" s="42"/>
      <c r="E1922" s="43"/>
      <c r="F1922" s="43"/>
      <c r="G1922" s="43"/>
      <c r="H1922" s="43"/>
      <c r="I1922" s="43"/>
      <c r="J1922" s="43"/>
      <c r="K1922" s="43"/>
      <c r="L1922" s="43"/>
      <c r="M1922" s="43"/>
      <c r="N1922" s="43"/>
      <c r="O1922" s="43"/>
      <c r="P1922" s="43"/>
      <c r="Q1922" s="43"/>
      <c r="R1922" s="44"/>
    </row>
    <row r="1923" spans="1:18" x14ac:dyDescent="0.35">
      <c r="A1923" s="32">
        <f t="shared" si="58"/>
        <v>0</v>
      </c>
      <c r="B1923" s="33"/>
      <c r="C1923" s="34">
        <f t="shared" si="59"/>
        <v>0</v>
      </c>
      <c r="D1923" s="42"/>
      <c r="E1923" s="43"/>
      <c r="F1923" s="43"/>
      <c r="G1923" s="43"/>
      <c r="H1923" s="43"/>
      <c r="I1923" s="43"/>
      <c r="J1923" s="43"/>
      <c r="K1923" s="43"/>
      <c r="L1923" s="43"/>
      <c r="M1923" s="43"/>
      <c r="N1923" s="43"/>
      <c r="O1923" s="43"/>
      <c r="P1923" s="43"/>
      <c r="Q1923" s="43"/>
      <c r="R1923" s="44"/>
    </row>
    <row r="1924" spans="1:18" x14ac:dyDescent="0.35">
      <c r="A1924" s="32">
        <f t="shared" ref="A1924:A1987" si="60">F1924</f>
        <v>0</v>
      </c>
      <c r="B1924" s="33"/>
      <c r="C1924" s="34">
        <f t="shared" ref="C1924:C1987" si="61">F1924</f>
        <v>0</v>
      </c>
      <c r="D1924" s="42"/>
      <c r="E1924" s="43"/>
      <c r="F1924" s="43"/>
      <c r="G1924" s="43"/>
      <c r="H1924" s="43"/>
      <c r="I1924" s="43"/>
      <c r="J1924" s="43"/>
      <c r="K1924" s="43"/>
      <c r="L1924" s="43"/>
      <c r="M1924" s="43"/>
      <c r="N1924" s="43"/>
      <c r="O1924" s="43"/>
      <c r="P1924" s="43"/>
      <c r="Q1924" s="43"/>
      <c r="R1924" s="44"/>
    </row>
    <row r="1925" spans="1:18" x14ac:dyDescent="0.35">
      <c r="A1925" s="32">
        <f t="shared" si="60"/>
        <v>0</v>
      </c>
      <c r="B1925" s="33"/>
      <c r="C1925" s="34">
        <f t="shared" si="61"/>
        <v>0</v>
      </c>
      <c r="D1925" s="42"/>
      <c r="E1925" s="43"/>
      <c r="F1925" s="43"/>
      <c r="G1925" s="43"/>
      <c r="H1925" s="43"/>
      <c r="I1925" s="43"/>
      <c r="J1925" s="43"/>
      <c r="K1925" s="43"/>
      <c r="L1925" s="43"/>
      <c r="M1925" s="43"/>
      <c r="N1925" s="43"/>
      <c r="O1925" s="43"/>
      <c r="P1925" s="43"/>
      <c r="Q1925" s="43"/>
      <c r="R1925" s="44"/>
    </row>
    <row r="1926" spans="1:18" x14ac:dyDescent="0.35">
      <c r="A1926" s="32">
        <f t="shared" si="60"/>
        <v>0</v>
      </c>
      <c r="B1926" s="33"/>
      <c r="C1926" s="34">
        <f t="shared" si="61"/>
        <v>0</v>
      </c>
      <c r="D1926" s="42"/>
      <c r="E1926" s="43"/>
      <c r="F1926" s="43"/>
      <c r="G1926" s="43"/>
      <c r="H1926" s="43"/>
      <c r="I1926" s="43"/>
      <c r="J1926" s="43"/>
      <c r="K1926" s="43"/>
      <c r="L1926" s="43"/>
      <c r="M1926" s="43"/>
      <c r="N1926" s="43"/>
      <c r="O1926" s="43"/>
      <c r="P1926" s="43"/>
      <c r="Q1926" s="43"/>
      <c r="R1926" s="44"/>
    </row>
    <row r="1927" spans="1:18" x14ac:dyDescent="0.35">
      <c r="A1927" s="32">
        <f t="shared" si="60"/>
        <v>0</v>
      </c>
      <c r="B1927" s="33"/>
      <c r="C1927" s="34">
        <f t="shared" si="61"/>
        <v>0</v>
      </c>
      <c r="D1927" s="42"/>
      <c r="E1927" s="43"/>
      <c r="F1927" s="43"/>
      <c r="G1927" s="43"/>
      <c r="H1927" s="43"/>
      <c r="I1927" s="43"/>
      <c r="J1927" s="43"/>
      <c r="K1927" s="43"/>
      <c r="L1927" s="43"/>
      <c r="M1927" s="43"/>
      <c r="N1927" s="43"/>
      <c r="O1927" s="43"/>
      <c r="P1927" s="43"/>
      <c r="Q1927" s="43"/>
      <c r="R1927" s="44"/>
    </row>
    <row r="1928" spans="1:18" x14ac:dyDescent="0.35">
      <c r="A1928" s="32">
        <f t="shared" si="60"/>
        <v>0</v>
      </c>
      <c r="B1928" s="33"/>
      <c r="C1928" s="34">
        <f t="shared" si="61"/>
        <v>0</v>
      </c>
      <c r="D1928" s="42"/>
      <c r="E1928" s="43"/>
      <c r="F1928" s="43"/>
      <c r="G1928" s="43"/>
      <c r="H1928" s="43"/>
      <c r="I1928" s="43"/>
      <c r="J1928" s="43"/>
      <c r="K1928" s="43"/>
      <c r="L1928" s="43"/>
      <c r="M1928" s="43"/>
      <c r="N1928" s="43"/>
      <c r="O1928" s="43"/>
      <c r="P1928" s="43"/>
      <c r="Q1928" s="43"/>
      <c r="R1928" s="44"/>
    </row>
    <row r="1929" spans="1:18" x14ac:dyDescent="0.35">
      <c r="A1929" s="32">
        <f t="shared" si="60"/>
        <v>0</v>
      </c>
      <c r="B1929" s="33"/>
      <c r="C1929" s="34">
        <f t="shared" si="61"/>
        <v>0</v>
      </c>
      <c r="D1929" s="42"/>
      <c r="E1929" s="43"/>
      <c r="F1929" s="43"/>
      <c r="G1929" s="43"/>
      <c r="H1929" s="43"/>
      <c r="I1929" s="43"/>
      <c r="J1929" s="43"/>
      <c r="K1929" s="43"/>
      <c r="L1929" s="43"/>
      <c r="M1929" s="43"/>
      <c r="N1929" s="43"/>
      <c r="O1929" s="43"/>
      <c r="P1929" s="43"/>
      <c r="Q1929" s="43"/>
      <c r="R1929" s="44"/>
    </row>
    <row r="1930" spans="1:18" x14ac:dyDescent="0.35">
      <c r="A1930" s="32">
        <f t="shared" si="60"/>
        <v>0</v>
      </c>
      <c r="B1930" s="33"/>
      <c r="C1930" s="34">
        <f t="shared" si="61"/>
        <v>0</v>
      </c>
      <c r="D1930" s="42"/>
      <c r="E1930" s="43"/>
      <c r="F1930" s="43"/>
      <c r="G1930" s="43"/>
      <c r="H1930" s="43"/>
      <c r="I1930" s="43"/>
      <c r="J1930" s="43"/>
      <c r="K1930" s="43"/>
      <c r="L1930" s="43"/>
      <c r="M1930" s="43"/>
      <c r="N1930" s="43"/>
      <c r="O1930" s="43"/>
      <c r="P1930" s="43"/>
      <c r="Q1930" s="43"/>
      <c r="R1930" s="44"/>
    </row>
    <row r="1931" spans="1:18" x14ac:dyDescent="0.35">
      <c r="A1931" s="32">
        <f t="shared" si="60"/>
        <v>0</v>
      </c>
      <c r="B1931" s="33"/>
      <c r="C1931" s="34">
        <f t="shared" si="61"/>
        <v>0</v>
      </c>
      <c r="D1931" s="42"/>
      <c r="E1931" s="43"/>
      <c r="F1931" s="43"/>
      <c r="G1931" s="43"/>
      <c r="H1931" s="43"/>
      <c r="I1931" s="43"/>
      <c r="J1931" s="43"/>
      <c r="K1931" s="43"/>
      <c r="L1931" s="43"/>
      <c r="M1931" s="43"/>
      <c r="N1931" s="43"/>
      <c r="O1931" s="43"/>
      <c r="P1931" s="43"/>
      <c r="Q1931" s="43"/>
      <c r="R1931" s="44"/>
    </row>
    <row r="1932" spans="1:18" x14ac:dyDescent="0.35">
      <c r="A1932" s="32">
        <f t="shared" si="60"/>
        <v>0</v>
      </c>
      <c r="B1932" s="33"/>
      <c r="C1932" s="34">
        <f t="shared" si="61"/>
        <v>0</v>
      </c>
      <c r="D1932" s="42"/>
      <c r="E1932" s="43"/>
      <c r="F1932" s="43"/>
      <c r="G1932" s="43"/>
      <c r="H1932" s="43"/>
      <c r="I1932" s="43"/>
      <c r="J1932" s="43"/>
      <c r="K1932" s="43"/>
      <c r="L1932" s="43"/>
      <c r="M1932" s="43"/>
      <c r="N1932" s="43"/>
      <c r="O1932" s="43"/>
      <c r="P1932" s="43"/>
      <c r="Q1932" s="43"/>
      <c r="R1932" s="44"/>
    </row>
    <row r="1933" spans="1:18" x14ac:dyDescent="0.35">
      <c r="A1933" s="32">
        <f t="shared" si="60"/>
        <v>0</v>
      </c>
      <c r="B1933" s="33"/>
      <c r="C1933" s="34">
        <f t="shared" si="61"/>
        <v>0</v>
      </c>
      <c r="D1933" s="42"/>
      <c r="E1933" s="43"/>
      <c r="F1933" s="43"/>
      <c r="G1933" s="43"/>
      <c r="H1933" s="43"/>
      <c r="I1933" s="43"/>
      <c r="J1933" s="43"/>
      <c r="K1933" s="43"/>
      <c r="L1933" s="43"/>
      <c r="M1933" s="43"/>
      <c r="N1933" s="43"/>
      <c r="O1933" s="43"/>
      <c r="P1933" s="43"/>
      <c r="Q1933" s="43"/>
      <c r="R1933" s="44"/>
    </row>
    <row r="1934" spans="1:18" x14ac:dyDescent="0.35">
      <c r="A1934" s="32">
        <f t="shared" si="60"/>
        <v>0</v>
      </c>
      <c r="B1934" s="33"/>
      <c r="C1934" s="34">
        <f t="shared" si="61"/>
        <v>0</v>
      </c>
      <c r="D1934" s="42"/>
      <c r="E1934" s="43"/>
      <c r="F1934" s="43"/>
      <c r="G1934" s="43"/>
      <c r="H1934" s="43"/>
      <c r="I1934" s="43"/>
      <c r="J1934" s="43"/>
      <c r="K1934" s="43"/>
      <c r="L1934" s="43"/>
      <c r="M1934" s="43"/>
      <c r="N1934" s="43"/>
      <c r="O1934" s="43"/>
      <c r="P1934" s="43"/>
      <c r="Q1934" s="43"/>
      <c r="R1934" s="44"/>
    </row>
    <row r="1935" spans="1:18" x14ac:dyDescent="0.35">
      <c r="A1935" s="32">
        <f t="shared" si="60"/>
        <v>0</v>
      </c>
      <c r="B1935" s="33"/>
      <c r="C1935" s="34">
        <f t="shared" si="61"/>
        <v>0</v>
      </c>
      <c r="D1935" s="42"/>
      <c r="E1935" s="43"/>
      <c r="F1935" s="43"/>
      <c r="G1935" s="43"/>
      <c r="H1935" s="43"/>
      <c r="I1935" s="43"/>
      <c r="J1935" s="43"/>
      <c r="K1935" s="43"/>
      <c r="L1935" s="43"/>
      <c r="M1935" s="43"/>
      <c r="N1935" s="43"/>
      <c r="O1935" s="43"/>
      <c r="P1935" s="43"/>
      <c r="Q1935" s="43"/>
      <c r="R1935" s="44"/>
    </row>
    <row r="1936" spans="1:18" x14ac:dyDescent="0.35">
      <c r="A1936" s="32">
        <f t="shared" si="60"/>
        <v>0</v>
      </c>
      <c r="B1936" s="33"/>
      <c r="C1936" s="34">
        <f t="shared" si="61"/>
        <v>0</v>
      </c>
      <c r="D1936" s="42"/>
      <c r="E1936" s="43"/>
      <c r="F1936" s="43"/>
      <c r="G1936" s="43"/>
      <c r="H1936" s="43"/>
      <c r="I1936" s="43"/>
      <c r="J1936" s="43"/>
      <c r="K1936" s="43"/>
      <c r="L1936" s="43"/>
      <c r="M1936" s="43"/>
      <c r="N1936" s="43"/>
      <c r="O1936" s="43"/>
      <c r="P1936" s="43"/>
      <c r="Q1936" s="43"/>
      <c r="R1936" s="44"/>
    </row>
    <row r="1937" spans="1:18" x14ac:dyDescent="0.35">
      <c r="A1937" s="32">
        <f t="shared" si="60"/>
        <v>0</v>
      </c>
      <c r="B1937" s="33"/>
      <c r="C1937" s="34">
        <f t="shared" si="61"/>
        <v>0</v>
      </c>
      <c r="D1937" s="42"/>
      <c r="E1937" s="43"/>
      <c r="F1937" s="43"/>
      <c r="G1937" s="43"/>
      <c r="H1937" s="43"/>
      <c r="I1937" s="43"/>
      <c r="J1937" s="43"/>
      <c r="K1937" s="43"/>
      <c r="L1937" s="43"/>
      <c r="M1937" s="43"/>
      <c r="N1937" s="43"/>
      <c r="O1937" s="43"/>
      <c r="P1937" s="43"/>
      <c r="Q1937" s="43"/>
      <c r="R1937" s="44"/>
    </row>
    <row r="1938" spans="1:18" x14ac:dyDescent="0.35">
      <c r="A1938" s="32">
        <f t="shared" si="60"/>
        <v>0</v>
      </c>
      <c r="B1938" s="33"/>
      <c r="C1938" s="34">
        <f t="shared" si="61"/>
        <v>0</v>
      </c>
      <c r="D1938" s="42"/>
      <c r="E1938" s="43"/>
      <c r="F1938" s="43"/>
      <c r="G1938" s="43"/>
      <c r="H1938" s="43"/>
      <c r="I1938" s="43"/>
      <c r="J1938" s="43"/>
      <c r="K1938" s="43"/>
      <c r="L1938" s="43"/>
      <c r="M1938" s="43"/>
      <c r="N1938" s="43"/>
      <c r="O1938" s="43"/>
      <c r="P1938" s="43"/>
      <c r="Q1938" s="43"/>
      <c r="R1938" s="44"/>
    </row>
    <row r="1939" spans="1:18" x14ac:dyDescent="0.35">
      <c r="A1939" s="32">
        <f t="shared" si="60"/>
        <v>0</v>
      </c>
      <c r="B1939" s="33"/>
      <c r="C1939" s="34">
        <f t="shared" si="61"/>
        <v>0</v>
      </c>
      <c r="D1939" s="42"/>
      <c r="E1939" s="43"/>
      <c r="F1939" s="43"/>
      <c r="G1939" s="43"/>
      <c r="H1939" s="43"/>
      <c r="I1939" s="43"/>
      <c r="J1939" s="43"/>
      <c r="K1939" s="43"/>
      <c r="L1939" s="43"/>
      <c r="M1939" s="43"/>
      <c r="N1939" s="43"/>
      <c r="O1939" s="43"/>
      <c r="P1939" s="43"/>
      <c r="Q1939" s="43"/>
      <c r="R1939" s="44"/>
    </row>
    <row r="1940" spans="1:18" x14ac:dyDescent="0.35">
      <c r="A1940" s="32">
        <f t="shared" si="60"/>
        <v>0</v>
      </c>
      <c r="B1940" s="33"/>
      <c r="C1940" s="34">
        <f t="shared" si="61"/>
        <v>0</v>
      </c>
      <c r="D1940" s="42"/>
      <c r="E1940" s="43"/>
      <c r="F1940" s="43"/>
      <c r="G1940" s="43"/>
      <c r="H1940" s="43"/>
      <c r="I1940" s="43"/>
      <c r="J1940" s="43"/>
      <c r="K1940" s="43"/>
      <c r="L1940" s="43"/>
      <c r="M1940" s="43"/>
      <c r="N1940" s="43"/>
      <c r="O1940" s="43"/>
      <c r="P1940" s="43"/>
      <c r="Q1940" s="43"/>
      <c r="R1940" s="44"/>
    </row>
    <row r="1941" spans="1:18" x14ac:dyDescent="0.35">
      <c r="A1941" s="32">
        <f t="shared" si="60"/>
        <v>0</v>
      </c>
      <c r="B1941" s="33"/>
      <c r="C1941" s="34">
        <f t="shared" si="61"/>
        <v>0</v>
      </c>
      <c r="D1941" s="42"/>
      <c r="E1941" s="43"/>
      <c r="F1941" s="43"/>
      <c r="G1941" s="43"/>
      <c r="H1941" s="43"/>
      <c r="I1941" s="43"/>
      <c r="J1941" s="43"/>
      <c r="K1941" s="43"/>
      <c r="L1941" s="43"/>
      <c r="M1941" s="43"/>
      <c r="N1941" s="43"/>
      <c r="O1941" s="43"/>
      <c r="P1941" s="43"/>
      <c r="Q1941" s="43"/>
      <c r="R1941" s="44"/>
    </row>
    <row r="1942" spans="1:18" x14ac:dyDescent="0.35">
      <c r="A1942" s="32">
        <f t="shared" si="60"/>
        <v>0</v>
      </c>
      <c r="B1942" s="33"/>
      <c r="C1942" s="34">
        <f t="shared" si="61"/>
        <v>0</v>
      </c>
      <c r="D1942" s="42"/>
      <c r="E1942" s="43"/>
      <c r="F1942" s="43"/>
      <c r="G1942" s="43"/>
      <c r="H1942" s="43"/>
      <c r="I1942" s="43"/>
      <c r="J1942" s="43"/>
      <c r="K1942" s="43"/>
      <c r="L1942" s="43"/>
      <c r="M1942" s="43"/>
      <c r="N1942" s="43"/>
      <c r="O1942" s="43"/>
      <c r="P1942" s="43"/>
      <c r="Q1942" s="43"/>
      <c r="R1942" s="44"/>
    </row>
    <row r="1943" spans="1:18" x14ac:dyDescent="0.35">
      <c r="A1943" s="32">
        <f t="shared" si="60"/>
        <v>0</v>
      </c>
      <c r="B1943" s="33"/>
      <c r="C1943" s="34">
        <f t="shared" si="61"/>
        <v>0</v>
      </c>
      <c r="D1943" s="42"/>
      <c r="E1943" s="43"/>
      <c r="F1943" s="43"/>
      <c r="G1943" s="43"/>
      <c r="H1943" s="43"/>
      <c r="I1943" s="43"/>
      <c r="J1943" s="43"/>
      <c r="K1943" s="43"/>
      <c r="L1943" s="43"/>
      <c r="M1943" s="43"/>
      <c r="N1943" s="43"/>
      <c r="O1943" s="43"/>
      <c r="P1943" s="43"/>
      <c r="Q1943" s="43"/>
      <c r="R1943" s="44"/>
    </row>
    <row r="1944" spans="1:18" x14ac:dyDescent="0.35">
      <c r="A1944" s="32">
        <f t="shared" si="60"/>
        <v>0</v>
      </c>
      <c r="B1944" s="33"/>
      <c r="C1944" s="34">
        <f t="shared" si="61"/>
        <v>0</v>
      </c>
      <c r="D1944" s="42"/>
      <c r="E1944" s="43"/>
      <c r="F1944" s="43"/>
      <c r="G1944" s="43"/>
      <c r="H1944" s="43"/>
      <c r="I1944" s="43"/>
      <c r="J1944" s="43"/>
      <c r="K1944" s="43"/>
      <c r="L1944" s="43"/>
      <c r="M1944" s="43"/>
      <c r="N1944" s="43"/>
      <c r="O1944" s="43"/>
      <c r="P1944" s="43"/>
      <c r="Q1944" s="43"/>
      <c r="R1944" s="44"/>
    </row>
    <row r="1945" spans="1:18" x14ac:dyDescent="0.35">
      <c r="A1945" s="32">
        <f t="shared" si="60"/>
        <v>0</v>
      </c>
      <c r="B1945" s="33"/>
      <c r="C1945" s="34">
        <f t="shared" si="61"/>
        <v>0</v>
      </c>
      <c r="D1945" s="42"/>
      <c r="E1945" s="43"/>
      <c r="F1945" s="43"/>
      <c r="G1945" s="43"/>
      <c r="H1945" s="43"/>
      <c r="I1945" s="43"/>
      <c r="J1945" s="43"/>
      <c r="K1945" s="43"/>
      <c r="L1945" s="43"/>
      <c r="M1945" s="43"/>
      <c r="N1945" s="43"/>
      <c r="O1945" s="43"/>
      <c r="P1945" s="43"/>
      <c r="Q1945" s="43"/>
      <c r="R1945" s="44"/>
    </row>
    <row r="1946" spans="1:18" x14ac:dyDescent="0.35">
      <c r="A1946" s="32">
        <f t="shared" si="60"/>
        <v>0</v>
      </c>
      <c r="B1946" s="33"/>
      <c r="C1946" s="34">
        <f t="shared" si="61"/>
        <v>0</v>
      </c>
      <c r="D1946" s="42"/>
      <c r="E1946" s="43"/>
      <c r="F1946" s="43"/>
      <c r="G1946" s="43"/>
      <c r="H1946" s="43"/>
      <c r="I1946" s="43"/>
      <c r="J1946" s="43"/>
      <c r="K1946" s="43"/>
      <c r="L1946" s="43"/>
      <c r="M1946" s="43"/>
      <c r="N1946" s="43"/>
      <c r="O1946" s="43"/>
      <c r="P1946" s="43"/>
      <c r="Q1946" s="43"/>
      <c r="R1946" s="44"/>
    </row>
    <row r="1947" spans="1:18" x14ac:dyDescent="0.35">
      <c r="A1947" s="32">
        <f t="shared" si="60"/>
        <v>0</v>
      </c>
      <c r="B1947" s="33"/>
      <c r="C1947" s="34">
        <f t="shared" si="61"/>
        <v>0</v>
      </c>
      <c r="D1947" s="42"/>
      <c r="E1947" s="43"/>
      <c r="F1947" s="43"/>
      <c r="G1947" s="43"/>
      <c r="H1947" s="43"/>
      <c r="I1947" s="43"/>
      <c r="J1947" s="43"/>
      <c r="K1947" s="43"/>
      <c r="L1947" s="43"/>
      <c r="M1947" s="43"/>
      <c r="N1947" s="43"/>
      <c r="O1947" s="43"/>
      <c r="P1947" s="43"/>
      <c r="Q1947" s="43"/>
      <c r="R1947" s="44"/>
    </row>
    <row r="1948" spans="1:18" x14ac:dyDescent="0.35">
      <c r="A1948" s="32">
        <f t="shared" si="60"/>
        <v>0</v>
      </c>
      <c r="B1948" s="33"/>
      <c r="C1948" s="34">
        <f t="shared" si="61"/>
        <v>0</v>
      </c>
      <c r="D1948" s="42"/>
      <c r="E1948" s="43"/>
      <c r="F1948" s="43"/>
      <c r="G1948" s="43"/>
      <c r="H1948" s="43"/>
      <c r="I1948" s="43"/>
      <c r="J1948" s="43"/>
      <c r="K1948" s="43"/>
      <c r="L1948" s="43"/>
      <c r="M1948" s="43"/>
      <c r="N1948" s="43"/>
      <c r="O1948" s="43"/>
      <c r="P1948" s="43"/>
      <c r="Q1948" s="43"/>
      <c r="R1948" s="44"/>
    </row>
    <row r="1949" spans="1:18" x14ac:dyDescent="0.35">
      <c r="A1949" s="32">
        <f t="shared" si="60"/>
        <v>0</v>
      </c>
      <c r="B1949" s="33"/>
      <c r="C1949" s="34">
        <f t="shared" si="61"/>
        <v>0</v>
      </c>
      <c r="D1949" s="42"/>
      <c r="E1949" s="43"/>
      <c r="F1949" s="43"/>
      <c r="G1949" s="43"/>
      <c r="H1949" s="43"/>
      <c r="I1949" s="43"/>
      <c r="J1949" s="43"/>
      <c r="K1949" s="43"/>
      <c r="L1949" s="43"/>
      <c r="M1949" s="43"/>
      <c r="N1949" s="43"/>
      <c r="O1949" s="43"/>
      <c r="P1949" s="43"/>
      <c r="Q1949" s="43"/>
      <c r="R1949" s="44"/>
    </row>
    <row r="1950" spans="1:18" x14ac:dyDescent="0.35">
      <c r="A1950" s="32">
        <f t="shared" si="60"/>
        <v>0</v>
      </c>
      <c r="B1950" s="33"/>
      <c r="C1950" s="34">
        <f t="shared" si="61"/>
        <v>0</v>
      </c>
      <c r="D1950" s="42"/>
      <c r="E1950" s="43"/>
      <c r="F1950" s="43"/>
      <c r="G1950" s="43"/>
      <c r="H1950" s="43"/>
      <c r="I1950" s="43"/>
      <c r="J1950" s="43"/>
      <c r="K1950" s="43"/>
      <c r="L1950" s="43"/>
      <c r="M1950" s="43"/>
      <c r="N1950" s="43"/>
      <c r="O1950" s="43"/>
      <c r="P1950" s="43"/>
      <c r="Q1950" s="43"/>
      <c r="R1950" s="44"/>
    </row>
    <row r="1951" spans="1:18" x14ac:dyDescent="0.35">
      <c r="A1951" s="32">
        <f t="shared" si="60"/>
        <v>0</v>
      </c>
      <c r="B1951" s="33"/>
      <c r="C1951" s="34">
        <f t="shared" si="61"/>
        <v>0</v>
      </c>
      <c r="D1951" s="42"/>
      <c r="E1951" s="43"/>
      <c r="F1951" s="43"/>
      <c r="G1951" s="43"/>
      <c r="H1951" s="43"/>
      <c r="I1951" s="43"/>
      <c r="J1951" s="43"/>
      <c r="K1951" s="43"/>
      <c r="L1951" s="43"/>
      <c r="M1951" s="43"/>
      <c r="N1951" s="43"/>
      <c r="O1951" s="43"/>
      <c r="P1951" s="43"/>
      <c r="Q1951" s="43"/>
      <c r="R1951" s="44"/>
    </row>
    <row r="1952" spans="1:18" x14ac:dyDescent="0.35">
      <c r="A1952" s="32">
        <f t="shared" si="60"/>
        <v>0</v>
      </c>
      <c r="B1952" s="33"/>
      <c r="C1952" s="34">
        <f t="shared" si="61"/>
        <v>0</v>
      </c>
      <c r="D1952" s="42"/>
      <c r="E1952" s="43"/>
      <c r="F1952" s="43"/>
      <c r="G1952" s="43"/>
      <c r="H1952" s="43"/>
      <c r="I1952" s="43"/>
      <c r="J1952" s="43"/>
      <c r="K1952" s="43"/>
      <c r="L1952" s="43"/>
      <c r="M1952" s="43"/>
      <c r="N1952" s="43"/>
      <c r="O1952" s="43"/>
      <c r="P1952" s="43"/>
      <c r="Q1952" s="43"/>
      <c r="R1952" s="44"/>
    </row>
    <row r="1953" spans="1:18" x14ac:dyDescent="0.35">
      <c r="A1953" s="32">
        <f t="shared" si="60"/>
        <v>0</v>
      </c>
      <c r="B1953" s="33"/>
      <c r="C1953" s="34">
        <f t="shared" si="61"/>
        <v>0</v>
      </c>
      <c r="D1953" s="42"/>
      <c r="E1953" s="43"/>
      <c r="F1953" s="43"/>
      <c r="G1953" s="43"/>
      <c r="H1953" s="43"/>
      <c r="I1953" s="43"/>
      <c r="J1953" s="43"/>
      <c r="K1953" s="43"/>
      <c r="L1953" s="43"/>
      <c r="M1953" s="43"/>
      <c r="N1953" s="43"/>
      <c r="O1953" s="43"/>
      <c r="P1953" s="43"/>
      <c r="Q1953" s="43"/>
      <c r="R1953" s="44"/>
    </row>
    <row r="1954" spans="1:18" x14ac:dyDescent="0.35">
      <c r="A1954" s="32">
        <f t="shared" si="60"/>
        <v>0</v>
      </c>
      <c r="B1954" s="33"/>
      <c r="C1954" s="34">
        <f t="shared" si="61"/>
        <v>0</v>
      </c>
      <c r="D1954" s="42"/>
      <c r="E1954" s="43"/>
      <c r="F1954" s="43"/>
      <c r="G1954" s="43"/>
      <c r="H1954" s="43"/>
      <c r="I1954" s="43"/>
      <c r="J1954" s="43"/>
      <c r="K1954" s="43"/>
      <c r="L1954" s="43"/>
      <c r="M1954" s="43"/>
      <c r="N1954" s="43"/>
      <c r="O1954" s="43"/>
      <c r="P1954" s="43"/>
      <c r="Q1954" s="43"/>
      <c r="R1954" s="44"/>
    </row>
    <row r="1955" spans="1:18" x14ac:dyDescent="0.35">
      <c r="A1955" s="32">
        <f t="shared" si="60"/>
        <v>0</v>
      </c>
      <c r="B1955" s="33"/>
      <c r="C1955" s="34">
        <f t="shared" si="61"/>
        <v>0</v>
      </c>
      <c r="D1955" s="42"/>
      <c r="E1955" s="43"/>
      <c r="F1955" s="43"/>
      <c r="G1955" s="43"/>
      <c r="H1955" s="43"/>
      <c r="I1955" s="43"/>
      <c r="J1955" s="43"/>
      <c r="K1955" s="43"/>
      <c r="L1955" s="43"/>
      <c r="M1955" s="43"/>
      <c r="N1955" s="43"/>
      <c r="O1955" s="43"/>
      <c r="P1955" s="43"/>
      <c r="Q1955" s="43"/>
      <c r="R1955" s="44"/>
    </row>
    <row r="1956" spans="1:18" x14ac:dyDescent="0.35">
      <c r="A1956" s="32">
        <f t="shared" si="60"/>
        <v>0</v>
      </c>
      <c r="B1956" s="33"/>
      <c r="C1956" s="34">
        <f t="shared" si="61"/>
        <v>0</v>
      </c>
      <c r="D1956" s="42"/>
      <c r="E1956" s="43"/>
      <c r="F1956" s="43"/>
      <c r="G1956" s="43"/>
      <c r="H1956" s="43"/>
      <c r="I1956" s="43"/>
      <c r="J1956" s="43"/>
      <c r="K1956" s="43"/>
      <c r="L1956" s="43"/>
      <c r="M1956" s="43"/>
      <c r="N1956" s="43"/>
      <c r="O1956" s="43"/>
      <c r="P1956" s="43"/>
      <c r="Q1956" s="43"/>
      <c r="R1956" s="44"/>
    </row>
    <row r="1957" spans="1:18" x14ac:dyDescent="0.35">
      <c r="A1957" s="32">
        <f t="shared" si="60"/>
        <v>0</v>
      </c>
      <c r="B1957" s="33"/>
      <c r="C1957" s="34">
        <f t="shared" si="61"/>
        <v>0</v>
      </c>
      <c r="D1957" s="42"/>
      <c r="E1957" s="43"/>
      <c r="F1957" s="43"/>
      <c r="G1957" s="43"/>
      <c r="H1957" s="43"/>
      <c r="I1957" s="43"/>
      <c r="J1957" s="43"/>
      <c r="K1957" s="43"/>
      <c r="L1957" s="43"/>
      <c r="M1957" s="43"/>
      <c r="N1957" s="43"/>
      <c r="O1957" s="43"/>
      <c r="P1957" s="43"/>
      <c r="Q1957" s="43"/>
      <c r="R1957" s="44"/>
    </row>
    <row r="1958" spans="1:18" x14ac:dyDescent="0.35">
      <c r="A1958" s="32">
        <f t="shared" si="60"/>
        <v>0</v>
      </c>
      <c r="B1958" s="33"/>
      <c r="C1958" s="34">
        <f t="shared" si="61"/>
        <v>0</v>
      </c>
      <c r="D1958" s="42"/>
      <c r="E1958" s="43"/>
      <c r="F1958" s="43"/>
      <c r="G1958" s="43"/>
      <c r="H1958" s="43"/>
      <c r="I1958" s="43"/>
      <c r="J1958" s="43"/>
      <c r="K1958" s="43"/>
      <c r="L1958" s="43"/>
      <c r="M1958" s="43"/>
      <c r="N1958" s="43"/>
      <c r="O1958" s="43"/>
      <c r="P1958" s="43"/>
      <c r="Q1958" s="43"/>
      <c r="R1958" s="44"/>
    </row>
    <row r="1959" spans="1:18" x14ac:dyDescent="0.35">
      <c r="A1959" s="32">
        <f t="shared" si="60"/>
        <v>0</v>
      </c>
      <c r="B1959" s="33"/>
      <c r="C1959" s="34">
        <f t="shared" si="61"/>
        <v>0</v>
      </c>
      <c r="D1959" s="42"/>
      <c r="E1959" s="43"/>
      <c r="F1959" s="43"/>
      <c r="G1959" s="43"/>
      <c r="H1959" s="43"/>
      <c r="I1959" s="43"/>
      <c r="J1959" s="43"/>
      <c r="K1959" s="43"/>
      <c r="L1959" s="43"/>
      <c r="M1959" s="43"/>
      <c r="N1959" s="43"/>
      <c r="O1959" s="43"/>
      <c r="P1959" s="43"/>
      <c r="Q1959" s="43"/>
      <c r="R1959" s="44"/>
    </row>
    <row r="1960" spans="1:18" x14ac:dyDescent="0.35">
      <c r="A1960" s="32">
        <f t="shared" si="60"/>
        <v>0</v>
      </c>
      <c r="B1960" s="33"/>
      <c r="C1960" s="34">
        <f t="shared" si="61"/>
        <v>0</v>
      </c>
      <c r="D1960" s="42"/>
      <c r="E1960" s="43"/>
      <c r="F1960" s="43"/>
      <c r="G1960" s="43"/>
      <c r="H1960" s="43"/>
      <c r="I1960" s="43"/>
      <c r="J1960" s="43"/>
      <c r="K1960" s="43"/>
      <c r="L1960" s="43"/>
      <c r="M1960" s="43"/>
      <c r="N1960" s="43"/>
      <c r="O1960" s="43"/>
      <c r="P1960" s="43"/>
      <c r="Q1960" s="43"/>
      <c r="R1960" s="44"/>
    </row>
    <row r="1961" spans="1:18" x14ac:dyDescent="0.35">
      <c r="A1961" s="32">
        <f t="shared" si="60"/>
        <v>0</v>
      </c>
      <c r="B1961" s="33"/>
      <c r="C1961" s="34">
        <f t="shared" si="61"/>
        <v>0</v>
      </c>
      <c r="D1961" s="42"/>
      <c r="E1961" s="43"/>
      <c r="F1961" s="43"/>
      <c r="G1961" s="43"/>
      <c r="H1961" s="43"/>
      <c r="I1961" s="43"/>
      <c r="J1961" s="43"/>
      <c r="K1961" s="43"/>
      <c r="L1961" s="43"/>
      <c r="M1961" s="43"/>
      <c r="N1961" s="43"/>
      <c r="O1961" s="43"/>
      <c r="P1961" s="43"/>
      <c r="Q1961" s="43"/>
      <c r="R1961" s="44"/>
    </row>
    <row r="1962" spans="1:18" x14ac:dyDescent="0.35">
      <c r="A1962" s="32">
        <f t="shared" si="60"/>
        <v>0</v>
      </c>
      <c r="B1962" s="33"/>
      <c r="C1962" s="34">
        <f t="shared" si="61"/>
        <v>0</v>
      </c>
      <c r="D1962" s="42"/>
      <c r="E1962" s="43"/>
      <c r="F1962" s="43"/>
      <c r="G1962" s="43"/>
      <c r="H1962" s="43"/>
      <c r="I1962" s="43"/>
      <c r="J1962" s="43"/>
      <c r="K1962" s="43"/>
      <c r="L1962" s="43"/>
      <c r="M1962" s="43"/>
      <c r="N1962" s="43"/>
      <c r="O1962" s="43"/>
      <c r="P1962" s="43"/>
      <c r="Q1962" s="43"/>
      <c r="R1962" s="44"/>
    </row>
    <row r="1963" spans="1:18" x14ac:dyDescent="0.35">
      <c r="A1963" s="32">
        <f t="shared" si="60"/>
        <v>0</v>
      </c>
      <c r="B1963" s="33"/>
      <c r="C1963" s="34">
        <f t="shared" si="61"/>
        <v>0</v>
      </c>
      <c r="D1963" s="42"/>
      <c r="E1963" s="43"/>
      <c r="F1963" s="43"/>
      <c r="G1963" s="43"/>
      <c r="H1963" s="43"/>
      <c r="I1963" s="43"/>
      <c r="J1963" s="43"/>
      <c r="K1963" s="43"/>
      <c r="L1963" s="43"/>
      <c r="M1963" s="43"/>
      <c r="N1963" s="43"/>
      <c r="O1963" s="43"/>
      <c r="P1963" s="43"/>
      <c r="Q1963" s="43"/>
      <c r="R1963" s="44"/>
    </row>
    <row r="1964" spans="1:18" x14ac:dyDescent="0.35">
      <c r="A1964" s="32">
        <f t="shared" si="60"/>
        <v>0</v>
      </c>
      <c r="B1964" s="33"/>
      <c r="C1964" s="34">
        <f t="shared" si="61"/>
        <v>0</v>
      </c>
      <c r="D1964" s="42"/>
      <c r="E1964" s="43"/>
      <c r="F1964" s="43"/>
      <c r="G1964" s="43"/>
      <c r="H1964" s="43"/>
      <c r="I1964" s="43"/>
      <c r="J1964" s="43"/>
      <c r="K1964" s="43"/>
      <c r="L1964" s="43"/>
      <c r="M1964" s="43"/>
      <c r="N1964" s="43"/>
      <c r="O1964" s="43"/>
      <c r="P1964" s="43"/>
      <c r="Q1964" s="43"/>
      <c r="R1964" s="44"/>
    </row>
    <row r="1965" spans="1:18" x14ac:dyDescent="0.35">
      <c r="A1965" s="32">
        <f t="shared" si="60"/>
        <v>0</v>
      </c>
      <c r="B1965" s="33"/>
      <c r="C1965" s="34">
        <f t="shared" si="61"/>
        <v>0</v>
      </c>
      <c r="D1965" s="42"/>
      <c r="E1965" s="43"/>
      <c r="F1965" s="43"/>
      <c r="G1965" s="43"/>
      <c r="H1965" s="43"/>
      <c r="I1965" s="43"/>
      <c r="J1965" s="43"/>
      <c r="K1965" s="43"/>
      <c r="L1965" s="43"/>
      <c r="M1965" s="43"/>
      <c r="N1965" s="43"/>
      <c r="O1965" s="43"/>
      <c r="P1965" s="43"/>
      <c r="Q1965" s="43"/>
      <c r="R1965" s="44"/>
    </row>
    <row r="1966" spans="1:18" x14ac:dyDescent="0.35">
      <c r="A1966" s="32">
        <f t="shared" si="60"/>
        <v>0</v>
      </c>
      <c r="B1966" s="33"/>
      <c r="C1966" s="34">
        <f t="shared" si="61"/>
        <v>0</v>
      </c>
      <c r="D1966" s="42"/>
      <c r="E1966" s="43"/>
      <c r="F1966" s="43"/>
      <c r="G1966" s="43"/>
      <c r="H1966" s="43"/>
      <c r="I1966" s="43"/>
      <c r="J1966" s="43"/>
      <c r="K1966" s="43"/>
      <c r="L1966" s="43"/>
      <c r="M1966" s="43"/>
      <c r="N1966" s="43"/>
      <c r="O1966" s="43"/>
      <c r="P1966" s="43"/>
      <c r="Q1966" s="43"/>
      <c r="R1966" s="44"/>
    </row>
    <row r="1967" spans="1:18" x14ac:dyDescent="0.35">
      <c r="A1967" s="32">
        <f t="shared" si="60"/>
        <v>0</v>
      </c>
      <c r="B1967" s="33"/>
      <c r="C1967" s="34">
        <f t="shared" si="61"/>
        <v>0</v>
      </c>
      <c r="D1967" s="42"/>
      <c r="E1967" s="43"/>
      <c r="F1967" s="43"/>
      <c r="G1967" s="43"/>
      <c r="H1967" s="43"/>
      <c r="I1967" s="43"/>
      <c r="J1967" s="43"/>
      <c r="K1967" s="43"/>
      <c r="L1967" s="43"/>
      <c r="M1967" s="43"/>
      <c r="N1967" s="43"/>
      <c r="O1967" s="43"/>
      <c r="P1967" s="43"/>
      <c r="Q1967" s="43"/>
      <c r="R1967" s="44"/>
    </row>
    <row r="1968" spans="1:18" x14ac:dyDescent="0.35">
      <c r="A1968" s="32">
        <f t="shared" si="60"/>
        <v>0</v>
      </c>
      <c r="B1968" s="33"/>
      <c r="C1968" s="34">
        <f t="shared" si="61"/>
        <v>0</v>
      </c>
      <c r="D1968" s="42"/>
      <c r="E1968" s="43"/>
      <c r="F1968" s="43"/>
      <c r="G1968" s="43"/>
      <c r="H1968" s="43"/>
      <c r="I1968" s="43"/>
      <c r="J1968" s="43"/>
      <c r="K1968" s="43"/>
      <c r="L1968" s="43"/>
      <c r="M1968" s="43"/>
      <c r="N1968" s="43"/>
      <c r="O1968" s="43"/>
      <c r="P1968" s="43"/>
      <c r="Q1968" s="43"/>
      <c r="R1968" s="44"/>
    </row>
    <row r="1969" spans="1:18" x14ac:dyDescent="0.35">
      <c r="A1969" s="32">
        <f t="shared" si="60"/>
        <v>0</v>
      </c>
      <c r="B1969" s="33"/>
      <c r="C1969" s="34">
        <f t="shared" si="61"/>
        <v>0</v>
      </c>
      <c r="D1969" s="42"/>
      <c r="E1969" s="43"/>
      <c r="F1969" s="43"/>
      <c r="G1969" s="43"/>
      <c r="H1969" s="43"/>
      <c r="I1969" s="43"/>
      <c r="J1969" s="43"/>
      <c r="K1969" s="43"/>
      <c r="L1969" s="43"/>
      <c r="M1969" s="43"/>
      <c r="N1969" s="43"/>
      <c r="O1969" s="43"/>
      <c r="P1969" s="43"/>
      <c r="Q1969" s="43"/>
      <c r="R1969" s="44"/>
    </row>
    <row r="1970" spans="1:18" x14ac:dyDescent="0.35">
      <c r="A1970" s="32">
        <f t="shared" si="60"/>
        <v>0</v>
      </c>
      <c r="B1970" s="33"/>
      <c r="C1970" s="34">
        <f t="shared" si="61"/>
        <v>0</v>
      </c>
      <c r="D1970" s="42"/>
      <c r="E1970" s="43"/>
      <c r="F1970" s="43"/>
      <c r="G1970" s="43"/>
      <c r="H1970" s="43"/>
      <c r="I1970" s="43"/>
      <c r="J1970" s="43"/>
      <c r="K1970" s="43"/>
      <c r="L1970" s="43"/>
      <c r="M1970" s="43"/>
      <c r="N1970" s="43"/>
      <c r="O1970" s="43"/>
      <c r="P1970" s="43"/>
      <c r="Q1970" s="43"/>
      <c r="R1970" s="44"/>
    </row>
    <row r="1971" spans="1:18" x14ac:dyDescent="0.35">
      <c r="A1971" s="32">
        <f t="shared" si="60"/>
        <v>0</v>
      </c>
      <c r="B1971" s="33"/>
      <c r="C1971" s="34">
        <f t="shared" si="61"/>
        <v>0</v>
      </c>
      <c r="D1971" s="42"/>
      <c r="E1971" s="43"/>
      <c r="F1971" s="43"/>
      <c r="G1971" s="43"/>
      <c r="H1971" s="43"/>
      <c r="I1971" s="43"/>
      <c r="J1971" s="43"/>
      <c r="K1971" s="43"/>
      <c r="L1971" s="43"/>
      <c r="M1971" s="43"/>
      <c r="N1971" s="43"/>
      <c r="O1971" s="43"/>
      <c r="P1971" s="43"/>
      <c r="Q1971" s="43"/>
      <c r="R1971" s="44"/>
    </row>
    <row r="1972" spans="1:18" x14ac:dyDescent="0.35">
      <c r="A1972" s="32">
        <f t="shared" si="60"/>
        <v>0</v>
      </c>
      <c r="B1972" s="33"/>
      <c r="C1972" s="34">
        <f t="shared" si="61"/>
        <v>0</v>
      </c>
      <c r="D1972" s="42"/>
      <c r="E1972" s="43"/>
      <c r="F1972" s="43"/>
      <c r="G1972" s="43"/>
      <c r="H1972" s="43"/>
      <c r="I1972" s="43"/>
      <c r="J1972" s="43"/>
      <c r="K1972" s="43"/>
      <c r="L1972" s="43"/>
      <c r="M1972" s="43"/>
      <c r="N1972" s="43"/>
      <c r="O1972" s="43"/>
      <c r="P1972" s="43"/>
      <c r="Q1972" s="43"/>
      <c r="R1972" s="44"/>
    </row>
    <row r="1973" spans="1:18" x14ac:dyDescent="0.35">
      <c r="A1973" s="32">
        <f t="shared" si="60"/>
        <v>0</v>
      </c>
      <c r="B1973" s="33"/>
      <c r="C1973" s="34">
        <f t="shared" si="61"/>
        <v>0</v>
      </c>
      <c r="D1973" s="42"/>
      <c r="E1973" s="43"/>
      <c r="F1973" s="43"/>
      <c r="G1973" s="43"/>
      <c r="H1973" s="43"/>
      <c r="I1973" s="43"/>
      <c r="J1973" s="43"/>
      <c r="K1973" s="43"/>
      <c r="L1973" s="43"/>
      <c r="M1973" s="43"/>
      <c r="N1973" s="43"/>
      <c r="O1973" s="43"/>
      <c r="P1973" s="43"/>
      <c r="Q1973" s="43"/>
      <c r="R1973" s="44"/>
    </row>
    <row r="1974" spans="1:18" x14ac:dyDescent="0.35">
      <c r="A1974" s="32">
        <f t="shared" si="60"/>
        <v>0</v>
      </c>
      <c r="B1974" s="33"/>
      <c r="C1974" s="34">
        <f t="shared" si="61"/>
        <v>0</v>
      </c>
      <c r="D1974" s="42"/>
      <c r="E1974" s="43"/>
      <c r="F1974" s="43"/>
      <c r="G1974" s="43"/>
      <c r="H1974" s="43"/>
      <c r="I1974" s="43"/>
      <c r="J1974" s="43"/>
      <c r="K1974" s="43"/>
      <c r="L1974" s="43"/>
      <c r="M1974" s="43"/>
      <c r="N1974" s="43"/>
      <c r="O1974" s="43"/>
      <c r="P1974" s="43"/>
      <c r="Q1974" s="43"/>
      <c r="R1974" s="44"/>
    </row>
    <row r="1975" spans="1:18" x14ac:dyDescent="0.35">
      <c r="A1975" s="32">
        <f t="shared" si="60"/>
        <v>0</v>
      </c>
      <c r="B1975" s="33"/>
      <c r="C1975" s="34">
        <f t="shared" si="61"/>
        <v>0</v>
      </c>
      <c r="D1975" s="42"/>
      <c r="E1975" s="43"/>
      <c r="F1975" s="43"/>
      <c r="G1975" s="43"/>
      <c r="H1975" s="43"/>
      <c r="I1975" s="43"/>
      <c r="J1975" s="43"/>
      <c r="K1975" s="43"/>
      <c r="L1975" s="43"/>
      <c r="M1975" s="43"/>
      <c r="N1975" s="43"/>
      <c r="O1975" s="43"/>
      <c r="P1975" s="43"/>
      <c r="Q1975" s="43"/>
      <c r="R1975" s="44"/>
    </row>
    <row r="1976" spans="1:18" x14ac:dyDescent="0.35">
      <c r="A1976" s="32">
        <f t="shared" si="60"/>
        <v>0</v>
      </c>
      <c r="B1976" s="33"/>
      <c r="C1976" s="34">
        <f t="shared" si="61"/>
        <v>0</v>
      </c>
      <c r="D1976" s="42"/>
      <c r="E1976" s="43"/>
      <c r="F1976" s="43"/>
      <c r="G1976" s="43"/>
      <c r="H1976" s="43"/>
      <c r="I1976" s="43"/>
      <c r="J1976" s="43"/>
      <c r="K1976" s="43"/>
      <c r="L1976" s="43"/>
      <c r="M1976" s="43"/>
      <c r="N1976" s="43"/>
      <c r="O1976" s="43"/>
      <c r="P1976" s="43"/>
      <c r="Q1976" s="43"/>
      <c r="R1976" s="44"/>
    </row>
    <row r="1977" spans="1:18" x14ac:dyDescent="0.35">
      <c r="A1977" s="32">
        <f t="shared" si="60"/>
        <v>0</v>
      </c>
      <c r="B1977" s="33"/>
      <c r="C1977" s="34">
        <f t="shared" si="61"/>
        <v>0</v>
      </c>
      <c r="D1977" s="42"/>
      <c r="E1977" s="43"/>
      <c r="F1977" s="43"/>
      <c r="G1977" s="43"/>
      <c r="H1977" s="43"/>
      <c r="I1977" s="43"/>
      <c r="J1977" s="43"/>
      <c r="K1977" s="43"/>
      <c r="L1977" s="43"/>
      <c r="M1977" s="43"/>
      <c r="N1977" s="43"/>
      <c r="O1977" s="43"/>
      <c r="P1977" s="43"/>
      <c r="Q1977" s="43"/>
      <c r="R1977" s="44"/>
    </row>
    <row r="1978" spans="1:18" x14ac:dyDescent="0.35">
      <c r="A1978" s="32">
        <f t="shared" si="60"/>
        <v>0</v>
      </c>
      <c r="B1978" s="33"/>
      <c r="C1978" s="34">
        <f t="shared" si="61"/>
        <v>0</v>
      </c>
      <c r="D1978" s="42"/>
      <c r="E1978" s="43"/>
      <c r="F1978" s="43"/>
      <c r="G1978" s="43"/>
      <c r="H1978" s="43"/>
      <c r="I1978" s="43"/>
      <c r="J1978" s="43"/>
      <c r="K1978" s="43"/>
      <c r="L1978" s="43"/>
      <c r="M1978" s="43"/>
      <c r="N1978" s="43"/>
      <c r="O1978" s="43"/>
      <c r="P1978" s="43"/>
      <c r="Q1978" s="43"/>
      <c r="R1978" s="44"/>
    </row>
    <row r="1979" spans="1:18" x14ac:dyDescent="0.35">
      <c r="A1979" s="32">
        <f t="shared" si="60"/>
        <v>0</v>
      </c>
      <c r="B1979" s="33"/>
      <c r="C1979" s="34">
        <f t="shared" si="61"/>
        <v>0</v>
      </c>
      <c r="D1979" s="42"/>
      <c r="E1979" s="43"/>
      <c r="F1979" s="43"/>
      <c r="G1979" s="43"/>
      <c r="H1979" s="43"/>
      <c r="I1979" s="43"/>
      <c r="J1979" s="43"/>
      <c r="K1979" s="43"/>
      <c r="L1979" s="43"/>
      <c r="M1979" s="43"/>
      <c r="N1979" s="43"/>
      <c r="O1979" s="43"/>
      <c r="P1979" s="43"/>
      <c r="Q1979" s="43"/>
      <c r="R1979" s="44"/>
    </row>
    <row r="1980" spans="1:18" x14ac:dyDescent="0.35">
      <c r="A1980" s="32">
        <f t="shared" si="60"/>
        <v>0</v>
      </c>
      <c r="B1980" s="33"/>
      <c r="C1980" s="34">
        <f t="shared" si="61"/>
        <v>0</v>
      </c>
      <c r="D1980" s="42"/>
      <c r="E1980" s="43"/>
      <c r="F1980" s="43"/>
      <c r="G1980" s="43"/>
      <c r="H1980" s="43"/>
      <c r="I1980" s="43"/>
      <c r="J1980" s="43"/>
      <c r="K1980" s="43"/>
      <c r="L1980" s="43"/>
      <c r="M1980" s="43"/>
      <c r="N1980" s="43"/>
      <c r="O1980" s="43"/>
      <c r="P1980" s="43"/>
      <c r="Q1980" s="43"/>
      <c r="R1980" s="44"/>
    </row>
    <row r="1981" spans="1:18" x14ac:dyDescent="0.35">
      <c r="A1981" s="32">
        <f t="shared" si="60"/>
        <v>0</v>
      </c>
      <c r="B1981" s="33"/>
      <c r="C1981" s="34">
        <f t="shared" si="61"/>
        <v>0</v>
      </c>
      <c r="D1981" s="42"/>
      <c r="E1981" s="43"/>
      <c r="F1981" s="43"/>
      <c r="G1981" s="43"/>
      <c r="H1981" s="43"/>
      <c r="I1981" s="43"/>
      <c r="J1981" s="43"/>
      <c r="K1981" s="43"/>
      <c r="L1981" s="43"/>
      <c r="M1981" s="43"/>
      <c r="N1981" s="43"/>
      <c r="O1981" s="43"/>
      <c r="P1981" s="43"/>
      <c r="Q1981" s="43"/>
      <c r="R1981" s="44"/>
    </row>
    <row r="1982" spans="1:18" x14ac:dyDescent="0.35">
      <c r="A1982" s="32">
        <f t="shared" si="60"/>
        <v>0</v>
      </c>
      <c r="B1982" s="33"/>
      <c r="C1982" s="34">
        <f t="shared" si="61"/>
        <v>0</v>
      </c>
      <c r="D1982" s="42"/>
      <c r="E1982" s="43"/>
      <c r="F1982" s="43"/>
      <c r="G1982" s="43"/>
      <c r="H1982" s="43"/>
      <c r="I1982" s="43"/>
      <c r="J1982" s="43"/>
      <c r="K1982" s="43"/>
      <c r="L1982" s="43"/>
      <c r="M1982" s="43"/>
      <c r="N1982" s="43"/>
      <c r="O1982" s="43"/>
      <c r="P1982" s="43"/>
      <c r="Q1982" s="43"/>
      <c r="R1982" s="44"/>
    </row>
    <row r="1983" spans="1:18" x14ac:dyDescent="0.35">
      <c r="A1983" s="32">
        <f t="shared" si="60"/>
        <v>0</v>
      </c>
      <c r="B1983" s="33"/>
      <c r="C1983" s="34">
        <f t="shared" si="61"/>
        <v>0</v>
      </c>
      <c r="D1983" s="42"/>
      <c r="E1983" s="43"/>
      <c r="F1983" s="43"/>
      <c r="G1983" s="43"/>
      <c r="H1983" s="43"/>
      <c r="I1983" s="43"/>
      <c r="J1983" s="43"/>
      <c r="K1983" s="43"/>
      <c r="L1983" s="43"/>
      <c r="M1983" s="43"/>
      <c r="N1983" s="43"/>
      <c r="O1983" s="43"/>
      <c r="P1983" s="43"/>
      <c r="Q1983" s="43"/>
      <c r="R1983" s="44"/>
    </row>
    <row r="1984" spans="1:18" x14ac:dyDescent="0.35">
      <c r="A1984" s="32">
        <f t="shared" si="60"/>
        <v>0</v>
      </c>
      <c r="B1984" s="33"/>
      <c r="C1984" s="34">
        <f t="shared" si="61"/>
        <v>0</v>
      </c>
      <c r="D1984" s="42"/>
      <c r="E1984" s="43"/>
      <c r="F1984" s="43"/>
      <c r="G1984" s="43"/>
      <c r="H1984" s="43"/>
      <c r="I1984" s="43"/>
      <c r="J1984" s="43"/>
      <c r="K1984" s="43"/>
      <c r="L1984" s="43"/>
      <c r="M1984" s="43"/>
      <c r="N1984" s="43"/>
      <c r="O1984" s="43"/>
      <c r="P1984" s="43"/>
      <c r="Q1984" s="43"/>
      <c r="R1984" s="44"/>
    </row>
    <row r="1985" spans="1:18" x14ac:dyDescent="0.35">
      <c r="A1985" s="32">
        <f t="shared" si="60"/>
        <v>0</v>
      </c>
      <c r="B1985" s="33"/>
      <c r="C1985" s="34">
        <f t="shared" si="61"/>
        <v>0</v>
      </c>
      <c r="D1985" s="42"/>
      <c r="E1985" s="43"/>
      <c r="F1985" s="43"/>
      <c r="G1985" s="43"/>
      <c r="H1985" s="43"/>
      <c r="I1985" s="43"/>
      <c r="J1985" s="43"/>
      <c r="K1985" s="43"/>
      <c r="L1985" s="43"/>
      <c r="M1985" s="43"/>
      <c r="N1985" s="43"/>
      <c r="O1985" s="43"/>
      <c r="P1985" s="43"/>
      <c r="Q1985" s="43"/>
      <c r="R1985" s="44"/>
    </row>
    <row r="1986" spans="1:18" x14ac:dyDescent="0.35">
      <c r="A1986" s="32">
        <f t="shared" si="60"/>
        <v>0</v>
      </c>
      <c r="B1986" s="33"/>
      <c r="C1986" s="34">
        <f t="shared" si="61"/>
        <v>0</v>
      </c>
      <c r="D1986" s="42"/>
      <c r="E1986" s="43"/>
      <c r="F1986" s="43"/>
      <c r="G1986" s="43"/>
      <c r="H1986" s="43"/>
      <c r="I1986" s="43"/>
      <c r="J1986" s="43"/>
      <c r="K1986" s="43"/>
      <c r="L1986" s="43"/>
      <c r="M1986" s="43"/>
      <c r="N1986" s="43"/>
      <c r="O1986" s="43"/>
      <c r="P1986" s="43"/>
      <c r="Q1986" s="43"/>
      <c r="R1986" s="44"/>
    </row>
    <row r="1987" spans="1:18" x14ac:dyDescent="0.35">
      <c r="A1987" s="32">
        <f t="shared" si="60"/>
        <v>0</v>
      </c>
      <c r="B1987" s="33"/>
      <c r="C1987" s="34">
        <f t="shared" si="61"/>
        <v>0</v>
      </c>
      <c r="D1987" s="42"/>
      <c r="E1987" s="43"/>
      <c r="F1987" s="43"/>
      <c r="G1987" s="43"/>
      <c r="H1987" s="43"/>
      <c r="I1987" s="43"/>
      <c r="J1987" s="43"/>
      <c r="K1987" s="43"/>
      <c r="L1987" s="43"/>
      <c r="M1987" s="43"/>
      <c r="N1987" s="43"/>
      <c r="O1987" s="43"/>
      <c r="P1987" s="43"/>
      <c r="Q1987" s="43"/>
      <c r="R1987" s="44"/>
    </row>
    <row r="1988" spans="1:18" x14ac:dyDescent="0.35">
      <c r="A1988" s="32">
        <f t="shared" ref="A1988:A2001" si="62">F1988</f>
        <v>0</v>
      </c>
      <c r="B1988" s="33"/>
      <c r="C1988" s="34">
        <f t="shared" ref="C1988:C2001" si="63">F1988</f>
        <v>0</v>
      </c>
      <c r="D1988" s="42"/>
      <c r="E1988" s="43"/>
      <c r="F1988" s="43"/>
      <c r="G1988" s="43"/>
      <c r="H1988" s="43"/>
      <c r="I1988" s="43"/>
      <c r="J1988" s="43"/>
      <c r="K1988" s="43"/>
      <c r="L1988" s="43"/>
      <c r="M1988" s="43"/>
      <c r="N1988" s="43"/>
      <c r="O1988" s="43"/>
      <c r="P1988" s="43"/>
      <c r="Q1988" s="43"/>
      <c r="R1988" s="44"/>
    </row>
    <row r="1989" spans="1:18" x14ac:dyDescent="0.35">
      <c r="A1989" s="32">
        <f t="shared" si="62"/>
        <v>0</v>
      </c>
      <c r="B1989" s="33"/>
      <c r="C1989" s="34">
        <f t="shared" si="63"/>
        <v>0</v>
      </c>
      <c r="D1989" s="42"/>
      <c r="E1989" s="43"/>
      <c r="F1989" s="43"/>
      <c r="G1989" s="43"/>
      <c r="H1989" s="43"/>
      <c r="I1989" s="43"/>
      <c r="J1989" s="43"/>
      <c r="K1989" s="43"/>
      <c r="L1989" s="43"/>
      <c r="M1989" s="43"/>
      <c r="N1989" s="43"/>
      <c r="O1989" s="43"/>
      <c r="P1989" s="43"/>
      <c r="Q1989" s="43"/>
      <c r="R1989" s="44"/>
    </row>
    <row r="1990" spans="1:18" x14ac:dyDescent="0.35">
      <c r="A1990" s="32">
        <f t="shared" si="62"/>
        <v>0</v>
      </c>
      <c r="B1990" s="33"/>
      <c r="C1990" s="34">
        <f t="shared" si="63"/>
        <v>0</v>
      </c>
      <c r="D1990" s="42"/>
      <c r="E1990" s="43"/>
      <c r="F1990" s="43"/>
      <c r="G1990" s="43"/>
      <c r="H1990" s="43"/>
      <c r="I1990" s="43"/>
      <c r="J1990" s="43"/>
      <c r="K1990" s="43"/>
      <c r="L1990" s="43"/>
      <c r="M1990" s="43"/>
      <c r="N1990" s="43"/>
      <c r="O1990" s="43"/>
      <c r="P1990" s="43"/>
      <c r="Q1990" s="43"/>
      <c r="R1990" s="44"/>
    </row>
    <row r="1991" spans="1:18" x14ac:dyDescent="0.35">
      <c r="A1991" s="32">
        <f t="shared" si="62"/>
        <v>0</v>
      </c>
      <c r="B1991" s="33"/>
      <c r="C1991" s="34">
        <f t="shared" si="63"/>
        <v>0</v>
      </c>
      <c r="D1991" s="42"/>
      <c r="E1991" s="43"/>
      <c r="F1991" s="43"/>
      <c r="G1991" s="43"/>
      <c r="H1991" s="43"/>
      <c r="I1991" s="43"/>
      <c r="J1991" s="43"/>
      <c r="K1991" s="43"/>
      <c r="L1991" s="43"/>
      <c r="M1991" s="43"/>
      <c r="N1991" s="43"/>
      <c r="O1991" s="43"/>
      <c r="P1991" s="43"/>
      <c r="Q1991" s="43"/>
      <c r="R1991" s="44"/>
    </row>
    <row r="1992" spans="1:18" x14ac:dyDescent="0.35">
      <c r="A1992" s="32">
        <f t="shared" si="62"/>
        <v>0</v>
      </c>
      <c r="B1992" s="33"/>
      <c r="C1992" s="34">
        <f t="shared" si="63"/>
        <v>0</v>
      </c>
      <c r="D1992" s="42"/>
      <c r="E1992" s="43"/>
      <c r="F1992" s="43"/>
      <c r="G1992" s="43"/>
      <c r="H1992" s="43"/>
      <c r="I1992" s="43"/>
      <c r="J1992" s="43"/>
      <c r="K1992" s="43"/>
      <c r="L1992" s="43"/>
      <c r="M1992" s="43"/>
      <c r="N1992" s="43"/>
      <c r="O1992" s="43"/>
      <c r="P1992" s="43"/>
      <c r="Q1992" s="43"/>
      <c r="R1992" s="44"/>
    </row>
    <row r="1993" spans="1:18" x14ac:dyDescent="0.35">
      <c r="A1993" s="32">
        <f t="shared" si="62"/>
        <v>0</v>
      </c>
      <c r="B1993" s="33"/>
      <c r="C1993" s="34">
        <f t="shared" si="63"/>
        <v>0</v>
      </c>
      <c r="D1993" s="42"/>
      <c r="E1993" s="43"/>
      <c r="F1993" s="43"/>
      <c r="G1993" s="43"/>
      <c r="H1993" s="43"/>
      <c r="I1993" s="43"/>
      <c r="J1993" s="43"/>
      <c r="K1993" s="43"/>
      <c r="L1993" s="43"/>
      <c r="M1993" s="43"/>
      <c r="N1993" s="43"/>
      <c r="O1993" s="43"/>
      <c r="P1993" s="43"/>
      <c r="Q1993" s="43"/>
      <c r="R1993" s="44"/>
    </row>
    <row r="1994" spans="1:18" x14ac:dyDescent="0.35">
      <c r="A1994" s="32">
        <f t="shared" si="62"/>
        <v>0</v>
      </c>
      <c r="B1994" s="33"/>
      <c r="C1994" s="34">
        <f t="shared" si="63"/>
        <v>0</v>
      </c>
      <c r="D1994" s="42"/>
      <c r="E1994" s="43"/>
      <c r="F1994" s="43"/>
      <c r="G1994" s="43"/>
      <c r="H1994" s="43"/>
      <c r="I1994" s="43"/>
      <c r="J1994" s="43"/>
      <c r="K1994" s="43"/>
      <c r="L1994" s="43"/>
      <c r="M1994" s="43"/>
      <c r="N1994" s="43"/>
      <c r="O1994" s="43"/>
      <c r="P1994" s="43"/>
      <c r="Q1994" s="43"/>
      <c r="R1994" s="44"/>
    </row>
    <row r="1995" spans="1:18" x14ac:dyDescent="0.35">
      <c r="A1995" s="32">
        <f t="shared" si="62"/>
        <v>0</v>
      </c>
      <c r="B1995" s="33"/>
      <c r="C1995" s="34">
        <f t="shared" si="63"/>
        <v>0</v>
      </c>
      <c r="D1995" s="42"/>
      <c r="E1995" s="43"/>
      <c r="F1995" s="43"/>
      <c r="G1995" s="43"/>
      <c r="H1995" s="43"/>
      <c r="I1995" s="43"/>
      <c r="J1995" s="43"/>
      <c r="K1995" s="43"/>
      <c r="L1995" s="43"/>
      <c r="M1995" s="43"/>
      <c r="N1995" s="43"/>
      <c r="O1995" s="43"/>
      <c r="P1995" s="43"/>
      <c r="Q1995" s="43"/>
      <c r="R1995" s="44"/>
    </row>
    <row r="1996" spans="1:18" x14ac:dyDescent="0.35">
      <c r="A1996" s="32">
        <f t="shared" si="62"/>
        <v>0</v>
      </c>
      <c r="B1996" s="33"/>
      <c r="C1996" s="34">
        <f t="shared" si="63"/>
        <v>0</v>
      </c>
      <c r="D1996" s="42"/>
      <c r="E1996" s="43"/>
      <c r="F1996" s="43"/>
      <c r="G1996" s="43"/>
      <c r="H1996" s="43"/>
      <c r="I1996" s="43"/>
      <c r="J1996" s="43"/>
      <c r="K1996" s="43"/>
      <c r="L1996" s="43"/>
      <c r="M1996" s="43"/>
      <c r="N1996" s="43"/>
      <c r="O1996" s="43"/>
      <c r="P1996" s="43"/>
      <c r="Q1996" s="43"/>
      <c r="R1996" s="44"/>
    </row>
    <row r="1997" spans="1:18" x14ac:dyDescent="0.35">
      <c r="A1997" s="32">
        <f t="shared" si="62"/>
        <v>0</v>
      </c>
      <c r="B1997" s="33"/>
      <c r="C1997" s="34">
        <f t="shared" si="63"/>
        <v>0</v>
      </c>
      <c r="D1997" s="42"/>
      <c r="E1997" s="43"/>
      <c r="F1997" s="43"/>
      <c r="G1997" s="43"/>
      <c r="H1997" s="43"/>
      <c r="I1997" s="43"/>
      <c r="J1997" s="43"/>
      <c r="K1997" s="43"/>
      <c r="L1997" s="43"/>
      <c r="M1997" s="43"/>
      <c r="N1997" s="43"/>
      <c r="O1997" s="43"/>
      <c r="P1997" s="43"/>
      <c r="Q1997" s="43"/>
      <c r="R1997" s="44"/>
    </row>
    <row r="1998" spans="1:18" x14ac:dyDescent="0.35">
      <c r="A1998" s="32">
        <f t="shared" si="62"/>
        <v>0</v>
      </c>
      <c r="B1998" s="33"/>
      <c r="C1998" s="34">
        <f t="shared" si="63"/>
        <v>0</v>
      </c>
      <c r="D1998" s="42"/>
      <c r="E1998" s="43"/>
      <c r="F1998" s="43"/>
      <c r="G1998" s="43"/>
      <c r="H1998" s="43"/>
      <c r="I1998" s="43"/>
      <c r="J1998" s="43"/>
      <c r="K1998" s="43"/>
      <c r="L1998" s="43"/>
      <c r="M1998" s="43"/>
      <c r="N1998" s="43"/>
      <c r="O1998" s="43"/>
      <c r="P1998" s="43"/>
      <c r="Q1998" s="43"/>
      <c r="R1998" s="44"/>
    </row>
    <row r="1999" spans="1:18" x14ac:dyDescent="0.35">
      <c r="A1999" s="32">
        <f t="shared" si="62"/>
        <v>0</v>
      </c>
      <c r="B1999" s="33"/>
      <c r="C1999" s="34">
        <f t="shared" si="63"/>
        <v>0</v>
      </c>
      <c r="D1999" s="42"/>
      <c r="E1999" s="43"/>
      <c r="F1999" s="43"/>
      <c r="G1999" s="43"/>
      <c r="H1999" s="43"/>
      <c r="I1999" s="43"/>
      <c r="J1999" s="43"/>
      <c r="K1999" s="43"/>
      <c r="L1999" s="43"/>
      <c r="M1999" s="43"/>
      <c r="N1999" s="43"/>
      <c r="O1999" s="43"/>
      <c r="P1999" s="43"/>
      <c r="Q1999" s="43"/>
      <c r="R1999" s="44"/>
    </row>
    <row r="2000" spans="1:18" x14ac:dyDescent="0.35">
      <c r="A2000" s="32">
        <f t="shared" si="62"/>
        <v>0</v>
      </c>
      <c r="B2000" s="33"/>
      <c r="C2000" s="34">
        <f t="shared" si="63"/>
        <v>0</v>
      </c>
      <c r="D2000" s="42"/>
      <c r="E2000" s="43"/>
      <c r="F2000" s="43"/>
      <c r="G2000" s="43"/>
      <c r="H2000" s="43"/>
      <c r="I2000" s="43"/>
      <c r="J2000" s="43"/>
      <c r="K2000" s="43"/>
      <c r="L2000" s="43"/>
      <c r="M2000" s="43"/>
      <c r="N2000" s="43"/>
      <c r="O2000" s="43"/>
      <c r="P2000" s="43"/>
      <c r="Q2000" s="43"/>
      <c r="R2000" s="44"/>
    </row>
    <row r="2001" spans="1:18" x14ac:dyDescent="0.35">
      <c r="A2001" s="32">
        <f t="shared" si="62"/>
        <v>0</v>
      </c>
      <c r="B2001" s="33"/>
      <c r="C2001" s="34">
        <f t="shared" si="63"/>
        <v>0</v>
      </c>
      <c r="D2001" s="45"/>
      <c r="E2001" s="46"/>
      <c r="F2001" s="46"/>
      <c r="G2001" s="46"/>
      <c r="H2001" s="46"/>
      <c r="I2001" s="46"/>
      <c r="J2001" s="46"/>
      <c r="K2001" s="46"/>
      <c r="L2001" s="46"/>
      <c r="M2001" s="46"/>
      <c r="N2001" s="46"/>
      <c r="O2001" s="46"/>
      <c r="P2001" s="46"/>
      <c r="Q2001" s="46"/>
      <c r="R2001" s="47"/>
    </row>
  </sheetData>
  <mergeCells count="1">
    <mergeCell ref="D1:N1"/>
  </mergeCells>
  <dataValidations count="2">
    <dataValidation allowBlank="1" showInputMessage="1" showErrorMessage="1" prompt="Paste Outlook Contacts Here" sqref="D3" xr:uid="{62EFC3E9-28AC-4FD4-A879-123E63B716BC}"/>
    <dataValidation allowBlank="1" showErrorMessage="1" prompt="Paste Outlook Contacts Here" sqref="D4:D5" xr:uid="{2F0A6E88-BC6E-46B7-8AE4-D8EED8C66669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AF02-C46E-46BC-BFF4-85695C08A7EA}">
  <dimension ref="A2:Q200"/>
  <sheetViews>
    <sheetView showZeros="0" tabSelected="1" workbookViewId="0">
      <selection activeCell="B5" sqref="B5:H5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2" spans="1:17" x14ac:dyDescent="0.35">
      <c r="I2" s="106"/>
      <c r="J2" s="106"/>
      <c r="K2" s="106"/>
      <c r="L2" s="106"/>
      <c r="M2" s="106"/>
      <c r="N2" s="106"/>
      <c r="O2" s="106"/>
      <c r="P2" s="106"/>
      <c r="Q2" s="106"/>
    </row>
    <row r="3" spans="1:17" ht="20" x14ac:dyDescent="0.4">
      <c r="A3" s="1"/>
      <c r="B3" s="2"/>
      <c r="C3" s="69" t="s">
        <v>0</v>
      </c>
      <c r="D3" s="70"/>
      <c r="E3" s="70"/>
      <c r="F3" s="70"/>
      <c r="G3" s="3"/>
      <c r="H3" s="3"/>
      <c r="I3" s="105"/>
      <c r="J3" s="105"/>
      <c r="K3" s="105"/>
      <c r="L3" s="105"/>
      <c r="M3" s="105"/>
      <c r="N3" s="105"/>
      <c r="O3" s="105"/>
      <c r="P3" s="106"/>
      <c r="Q3" s="5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71" t="str">
        <f>Contacts!F5</f>
        <v xml:space="preserve"> Project Name</v>
      </c>
      <c r="C5" s="72"/>
      <c r="D5" s="72"/>
      <c r="E5" s="72"/>
      <c r="F5" s="72"/>
      <c r="G5" s="72"/>
      <c r="H5" s="72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71" t="str">
        <f>Contacts!F7</f>
        <v xml:space="preserve"> Owner</v>
      </c>
      <c r="C7" s="72"/>
      <c r="D7" s="72"/>
      <c r="E7" s="72"/>
      <c r="F7" s="73" t="s">
        <v>3</v>
      </c>
      <c r="G7" s="74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73" t="s">
        <v>4</v>
      </c>
      <c r="B9" s="74"/>
      <c r="C9" s="75"/>
      <c r="D9" s="75"/>
      <c r="E9" s="3" t="s">
        <v>5</v>
      </c>
      <c r="F9" s="76" t="s">
        <v>73</v>
      </c>
      <c r="G9" s="76"/>
      <c r="H9" s="76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3" t="s">
        <v>6</v>
      </c>
      <c r="B10" s="74"/>
      <c r="C10" s="75"/>
      <c r="D10" s="75"/>
      <c r="E10" s="3"/>
      <c r="F10" s="77" t="str">
        <f>VLOOKUP(F9,Contacts!C3:R2001,10,FALSE)</f>
        <v>PO Box 976</v>
      </c>
      <c r="G10" s="77"/>
      <c r="H10" s="77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73" t="s">
        <v>7</v>
      </c>
      <c r="B11" s="74"/>
      <c r="C11" s="75"/>
      <c r="D11" s="75"/>
      <c r="E11" s="3"/>
      <c r="F11" s="77" t="str">
        <f>VLOOKUP(F9,Contacts!C3:R2001, 11, FALSE) &amp; ", " &amp; VLOOKUP(F9,Contacts!C3:R2001, 12, FALSE) &amp; " " &amp; VLOOKUP(F9,Contacts!C3:R2001, 13, FALSE)</f>
        <v>Springfield, IL 62523</v>
      </c>
      <c r="G11" s="78"/>
      <c r="H11" s="78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81"/>
      <c r="B12" s="80"/>
      <c r="C12" s="80"/>
      <c r="D12" s="80"/>
      <c r="E12" s="80"/>
      <c r="F12" s="80"/>
      <c r="G12" s="80"/>
      <c r="H12" s="80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2" t="s">
        <v>8</v>
      </c>
      <c r="B13" s="82"/>
      <c r="C13" s="82"/>
      <c r="D13" s="82"/>
      <c r="E13" s="82"/>
      <c r="F13" s="82"/>
      <c r="G13" s="82"/>
      <c r="H13" s="82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2"/>
      <c r="B15" s="82"/>
      <c r="C15" s="82"/>
      <c r="D15" s="82"/>
      <c r="E15" s="82"/>
      <c r="F15" s="82"/>
      <c r="G15" s="82"/>
      <c r="H15" s="82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3" t="s">
        <v>9</v>
      </c>
      <c r="C16" s="84"/>
      <c r="D16" s="8" t="s">
        <v>10</v>
      </c>
      <c r="E16" s="8" t="s">
        <v>11</v>
      </c>
      <c r="F16" s="8" t="s">
        <v>12</v>
      </c>
      <c r="G16" s="83" t="s">
        <v>13</v>
      </c>
      <c r="H16" s="84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5" t="s">
        <v>14</v>
      </c>
      <c r="C17" s="86"/>
      <c r="D17" s="9"/>
      <c r="E17" s="9"/>
      <c r="F17" s="9"/>
      <c r="G17" s="85" t="s">
        <v>14</v>
      </c>
      <c r="H17" s="86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7"/>
      <c r="C19" s="88"/>
      <c r="D19" s="10">
        <f>SUM(F41)</f>
        <v>0</v>
      </c>
      <c r="E19" s="11">
        <f>SUM(G41)</f>
        <v>0</v>
      </c>
      <c r="F19" s="11">
        <f>SUM(D19:E19)</f>
        <v>0</v>
      </c>
      <c r="G19" s="89">
        <f>SUM(B19+F19)</f>
        <v>0</v>
      </c>
      <c r="H19" s="90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73" t="s">
        <v>15</v>
      </c>
      <c r="B21" s="73"/>
      <c r="C21" s="73"/>
      <c r="D21" s="73"/>
      <c r="E21" s="73"/>
      <c r="F21" s="73"/>
      <c r="G21" s="73"/>
      <c r="H21" s="73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79" t="str">
        <f>Contacts!F4</f>
        <v>Your Company Name</v>
      </c>
      <c r="E23" s="80"/>
      <c r="F23" s="80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79" t="str">
        <f>VLOOKUP(D23,Contacts!C3:R2001,10,FALSE)</f>
        <v>1234 Construction Lane</v>
      </c>
      <c r="E24" s="80"/>
      <c r="F24" s="80"/>
      <c r="G24" s="80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79" t="str">
        <f>VLOOKUP(D23,Contacts!C3:R2001, 11, FALSE) &amp; ", " &amp; VLOOKUP(D23,Contacts!C3:R2001, 12, FALSE) &amp; " " &amp; VLOOKUP(D23,Contacts!C3:R2001, 13, FALSE)</f>
        <v>Springfield, IL 62523</v>
      </c>
      <c r="E25" s="80"/>
      <c r="F25" s="80"/>
      <c r="G25" s="80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91" t="s">
        <v>16</v>
      </c>
      <c r="B29" s="72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92"/>
      <c r="B31" s="92"/>
      <c r="C31" s="92"/>
      <c r="D31" s="92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92"/>
      <c r="B32" s="92"/>
      <c r="C32" s="92"/>
      <c r="D32" s="92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92"/>
      <c r="B33" s="92"/>
      <c r="C33" s="92"/>
      <c r="D33" s="92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92"/>
      <c r="B34" s="92"/>
      <c r="C34" s="92"/>
      <c r="D34" s="92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92"/>
      <c r="B35" s="92"/>
      <c r="C35" s="92"/>
      <c r="D35" s="92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92"/>
      <c r="B36" s="92"/>
      <c r="C36" s="92"/>
      <c r="D36" s="92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92"/>
      <c r="B37" s="92"/>
      <c r="C37" s="92"/>
      <c r="D37" s="92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92"/>
      <c r="B38" s="92"/>
      <c r="C38" s="92"/>
      <c r="D38" s="92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92"/>
      <c r="B39" s="92"/>
      <c r="C39" s="92"/>
      <c r="D39" s="92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92"/>
      <c r="B40" s="92"/>
      <c r="C40" s="92"/>
      <c r="D40" s="92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81" t="s">
        <v>20</v>
      </c>
      <c r="B43" s="80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79" t="str">
        <f>F9</f>
        <v>Example Subcontractor</v>
      </c>
      <c r="B45" s="80"/>
      <c r="C45" s="80"/>
      <c r="D45" s="80"/>
      <c r="E45" s="93" t="s">
        <v>22</v>
      </c>
      <c r="F45" s="72"/>
      <c r="G45" s="72"/>
      <c r="H45" s="72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81" t="s">
        <v>23</v>
      </c>
      <c r="B46" s="80"/>
      <c r="C46" s="80"/>
      <c r="D46" s="8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91"/>
      <c r="C47" s="72"/>
      <c r="D47" s="72"/>
      <c r="E47" s="13" t="s">
        <v>24</v>
      </c>
      <c r="F47" s="94" t="s">
        <v>25</v>
      </c>
      <c r="G47" s="91"/>
      <c r="H47" s="91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ErrorMessage="1" sqref="H49 A31:D40 F31:F40 C9:D9 C11:D11" xr:uid="{22CC2D08-D6A2-4BBD-AF11-90F5F6B0C39B}"/>
    <dataValidation allowBlank="1" showInputMessage="1" showErrorMessage="1" prompt="Enter a new Subcontractor Change Order Number." sqref="C10:D10" xr:uid="{9F2258F9-5C4F-4DC5-BF19-6A6184EB50AC}"/>
    <dataValidation allowBlank="1" showInputMessage="1" showErrorMessage="1" prompt="Enter previous contract amount." sqref="B19:C19" xr:uid="{E49D34B7-C1DE-4E01-9F7F-C8E3C453AB8D}"/>
    <dataValidation allowBlank="1" showInputMessage="1" showErrorMessage="1" prompt="This cell must contain a negative number (-100)" sqref="F31:G31 G32:G40" xr:uid="{A3E522BB-64A7-41F9-BE8C-5511D64EAA17}"/>
    <dataValidation allowBlank="1" showInputMessage="1" showErrorMessage="1" prompt="Enter Owner Change Order Number." sqref="H7" xr:uid="{AF9FB751-D275-40EF-A694-BEEE5409B4D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5E2CF86-2DE4-4AC2-98EE-D26D01A096FD}">
          <x14:formula1>
            <xm:f>Contacts!$F$2:$F$2000</xm:f>
          </x14:formula1>
          <xm:sqref>F9:H9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BE3D-F77F-4CAA-877E-E131B9B6D687}">
  <dimension ref="A1:Q200"/>
  <sheetViews>
    <sheetView showZeros="0" workbookViewId="0">
      <selection activeCell="C10" sqref="C10:D10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x14ac:dyDescent="0.35">
      <c r="A1" s="18" t="str">
        <f>A10</f>
        <v>Change Order Number:</v>
      </c>
      <c r="B1" s="19" t="str">
        <f>F7</f>
        <v>Owner's Change Order No.</v>
      </c>
      <c r="C1" s="19" t="str">
        <f>E9</f>
        <v>Subcontractor:</v>
      </c>
      <c r="D1" s="19" t="str">
        <f>A9</f>
        <v>Subcontract Number:</v>
      </c>
      <c r="E1" s="19" t="str">
        <f>B16</f>
        <v>Previous Contract</v>
      </c>
      <c r="F1" s="19" t="str">
        <f>D16</f>
        <v>Increase</v>
      </c>
      <c r="G1" s="19" t="str">
        <f>E16</f>
        <v>Decrease</v>
      </c>
      <c r="H1" s="19" t="str">
        <f>F16</f>
        <v>Net Change</v>
      </c>
      <c r="I1" s="19" t="str">
        <f>G16</f>
        <v>Revised Contract</v>
      </c>
      <c r="J1" s="19" t="str">
        <f>G49</f>
        <v>Date:</v>
      </c>
      <c r="K1" s="19" t="s">
        <v>29</v>
      </c>
      <c r="L1" s="19" t="s">
        <v>30</v>
      </c>
      <c r="M1" s="19" t="s">
        <v>31</v>
      </c>
      <c r="N1" s="19" t="s">
        <v>32</v>
      </c>
      <c r="O1" s="20" t="s">
        <v>33</v>
      </c>
      <c r="P1" s="48"/>
      <c r="Q1" s="48"/>
    </row>
    <row r="2" spans="1:17" x14ac:dyDescent="0.35">
      <c r="A2" s="21">
        <f>C10</f>
        <v>0</v>
      </c>
      <c r="B2" s="22">
        <f>H7</f>
        <v>0</v>
      </c>
      <c r="C2" s="22" t="str">
        <f>F9</f>
        <v>Example Subcontractor</v>
      </c>
      <c r="D2" s="22">
        <f>C9</f>
        <v>0</v>
      </c>
      <c r="E2" s="22">
        <f>B19</f>
        <v>0</v>
      </c>
      <c r="F2" s="22">
        <f>D19</f>
        <v>0</v>
      </c>
      <c r="G2" s="22">
        <f>E19</f>
        <v>0</v>
      </c>
      <c r="H2" s="22">
        <f>F19</f>
        <v>0</v>
      </c>
      <c r="I2" s="22">
        <f>G19</f>
        <v>0</v>
      </c>
      <c r="J2" s="22">
        <f>H49</f>
        <v>0</v>
      </c>
      <c r="K2" s="22"/>
      <c r="L2" s="22"/>
      <c r="M2" s="22"/>
      <c r="N2" s="22"/>
      <c r="O2" s="23"/>
      <c r="P2" s="48"/>
      <c r="Q2" s="48"/>
    </row>
    <row r="3" spans="1:17" ht="20" x14ac:dyDescent="0.4">
      <c r="A3" s="1"/>
      <c r="B3" s="2"/>
      <c r="C3" s="69" t="s">
        <v>0</v>
      </c>
      <c r="D3" s="70"/>
      <c r="E3" s="70"/>
      <c r="F3" s="70"/>
      <c r="G3" s="3"/>
      <c r="H3" s="3"/>
      <c r="I3" s="24"/>
      <c r="J3" s="24"/>
      <c r="K3" s="24"/>
      <c r="L3" s="24"/>
      <c r="M3" s="24"/>
      <c r="N3" s="24"/>
      <c r="O3" s="24"/>
      <c r="P3" s="52"/>
      <c r="Q3" s="53"/>
    </row>
    <row r="4" spans="1:17" x14ac:dyDescent="0.35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Q4" s="5"/>
    </row>
    <row r="5" spans="1:17" ht="15" thickBot="1" x14ac:dyDescent="0.4">
      <c r="A5" s="3" t="s">
        <v>1</v>
      </c>
      <c r="B5" s="71" t="str">
        <f>Contacts!F5</f>
        <v xml:space="preserve"> Project Name</v>
      </c>
      <c r="C5" s="72"/>
      <c r="D5" s="72"/>
      <c r="E5" s="72"/>
      <c r="F5" s="72"/>
      <c r="G5" s="72"/>
      <c r="H5" s="72"/>
      <c r="I5" s="3"/>
      <c r="J5" s="3"/>
      <c r="K5" s="3"/>
      <c r="L5" s="3"/>
      <c r="M5" s="3"/>
      <c r="N5" s="3"/>
      <c r="O5" s="3"/>
      <c r="Q5" s="5"/>
    </row>
    <row r="6" spans="1:17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Q6" s="5"/>
    </row>
    <row r="7" spans="1:17" ht="15" thickBot="1" x14ac:dyDescent="0.4">
      <c r="A7" s="3" t="s">
        <v>2</v>
      </c>
      <c r="B7" s="71" t="str">
        <f>Contacts!F7</f>
        <v xml:space="preserve"> Owner</v>
      </c>
      <c r="C7" s="72"/>
      <c r="D7" s="72"/>
      <c r="E7" s="72"/>
      <c r="F7" s="73" t="s">
        <v>3</v>
      </c>
      <c r="G7" s="74"/>
      <c r="H7" s="6"/>
      <c r="I7" s="3"/>
      <c r="J7" s="3"/>
      <c r="K7" s="3"/>
      <c r="L7" s="3"/>
      <c r="M7" s="3"/>
      <c r="N7" s="3"/>
      <c r="O7" s="3"/>
      <c r="Q7" s="5"/>
    </row>
    <row r="8" spans="1:17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5"/>
    </row>
    <row r="9" spans="1:17" x14ac:dyDescent="0.35">
      <c r="A9" s="73" t="s">
        <v>4</v>
      </c>
      <c r="B9" s="74"/>
      <c r="C9" s="75"/>
      <c r="D9" s="75"/>
      <c r="E9" s="3" t="s">
        <v>5</v>
      </c>
      <c r="F9" s="76" t="s">
        <v>73</v>
      </c>
      <c r="G9" s="76"/>
      <c r="H9" s="76"/>
      <c r="I9" s="3"/>
      <c r="J9" s="3"/>
      <c r="K9" s="3"/>
      <c r="L9" s="3"/>
      <c r="M9" s="3"/>
      <c r="N9" s="3"/>
      <c r="O9" s="3"/>
      <c r="Q9" s="5"/>
    </row>
    <row r="10" spans="1:17" x14ac:dyDescent="0.35">
      <c r="A10" s="73" t="s">
        <v>6</v>
      </c>
      <c r="B10" s="74"/>
      <c r="C10" s="75"/>
      <c r="D10" s="75"/>
      <c r="E10" s="3"/>
      <c r="F10" s="77" t="str">
        <f>VLOOKUP(F9,Contacts!C3:R2001,10,FALSE)</f>
        <v>PO Box 976</v>
      </c>
      <c r="G10" s="77"/>
      <c r="H10" s="77"/>
      <c r="I10" s="3"/>
      <c r="J10" s="3"/>
      <c r="K10" s="3"/>
      <c r="L10" s="3"/>
      <c r="M10" s="3"/>
      <c r="N10" s="3"/>
      <c r="O10" s="3"/>
      <c r="Q10" s="5"/>
    </row>
    <row r="11" spans="1:17" x14ac:dyDescent="0.35">
      <c r="A11" s="73" t="s">
        <v>7</v>
      </c>
      <c r="B11" s="74"/>
      <c r="C11" s="75"/>
      <c r="D11" s="75"/>
      <c r="E11" s="3"/>
      <c r="F11" s="77" t="str">
        <f>VLOOKUP(F9,Contacts!C3:R2001, 11, FALSE) &amp; ", " &amp; VLOOKUP(F9,Contacts!C3:R2001, 12, FALSE) &amp; " " &amp; VLOOKUP(F9,Contacts!C3:R2001, 13, FALSE)</f>
        <v>Springfield, IL 62523</v>
      </c>
      <c r="G11" s="78"/>
      <c r="H11" s="78"/>
      <c r="I11" s="3"/>
      <c r="J11" s="3"/>
      <c r="K11" s="3"/>
      <c r="L11" s="3"/>
      <c r="M11" s="3"/>
      <c r="N11" s="3"/>
      <c r="O11" s="3"/>
      <c r="Q11" s="5"/>
    </row>
    <row r="12" spans="1:17" x14ac:dyDescent="0.35">
      <c r="A12" s="81"/>
      <c r="B12" s="80"/>
      <c r="C12" s="80"/>
      <c r="D12" s="80"/>
      <c r="E12" s="80"/>
      <c r="F12" s="80"/>
      <c r="G12" s="80"/>
      <c r="H12" s="80"/>
      <c r="I12" s="3"/>
      <c r="J12" s="3"/>
      <c r="K12" s="3"/>
      <c r="L12" s="3"/>
      <c r="M12" s="3"/>
      <c r="N12" s="3"/>
      <c r="O12" s="3"/>
      <c r="Q12" s="5"/>
    </row>
    <row r="13" spans="1:17" ht="14.5" customHeight="1" x14ac:dyDescent="0.35">
      <c r="A13" s="82" t="s">
        <v>8</v>
      </c>
      <c r="B13" s="82"/>
      <c r="C13" s="82"/>
      <c r="D13" s="82"/>
      <c r="E13" s="82"/>
      <c r="F13" s="82"/>
      <c r="G13" s="82"/>
      <c r="H13" s="82"/>
      <c r="I13" s="3"/>
      <c r="J13" s="3"/>
      <c r="K13" s="3"/>
      <c r="L13" s="3"/>
      <c r="M13" s="3"/>
      <c r="N13" s="3"/>
      <c r="O13" s="3"/>
      <c r="Q13" s="5"/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3"/>
      <c r="J14" s="3"/>
      <c r="K14" s="3"/>
      <c r="L14" s="3"/>
      <c r="M14" s="3"/>
      <c r="N14" s="3"/>
      <c r="O14" s="3"/>
      <c r="Q14" s="5"/>
    </row>
    <row r="15" spans="1:17" ht="15" thickBot="1" x14ac:dyDescent="0.4">
      <c r="A15" s="82"/>
      <c r="B15" s="82"/>
      <c r="C15" s="82"/>
      <c r="D15" s="82"/>
      <c r="E15" s="82"/>
      <c r="F15" s="82"/>
      <c r="G15" s="82"/>
      <c r="H15" s="82"/>
      <c r="I15" s="3"/>
      <c r="J15" s="3"/>
      <c r="K15" s="3"/>
      <c r="L15" s="3"/>
      <c r="M15" s="3"/>
      <c r="N15" s="3"/>
      <c r="O15" s="3"/>
      <c r="Q15" s="5"/>
    </row>
    <row r="16" spans="1:17" x14ac:dyDescent="0.35">
      <c r="A16" s="3"/>
      <c r="B16" s="83" t="s">
        <v>9</v>
      </c>
      <c r="C16" s="84"/>
      <c r="D16" s="8" t="s">
        <v>10</v>
      </c>
      <c r="E16" s="8" t="s">
        <v>11</v>
      </c>
      <c r="F16" s="8" t="s">
        <v>12</v>
      </c>
      <c r="G16" s="83" t="s">
        <v>13</v>
      </c>
      <c r="H16" s="84"/>
      <c r="I16" s="3"/>
      <c r="J16" s="3"/>
      <c r="K16" s="3"/>
      <c r="L16" s="3"/>
      <c r="M16" s="3"/>
      <c r="N16" s="3"/>
      <c r="O16" s="3"/>
      <c r="Q16" s="5"/>
    </row>
    <row r="17" spans="1:17" ht="15" thickBot="1" x14ac:dyDescent="0.4">
      <c r="A17" s="3"/>
      <c r="B17" s="85" t="s">
        <v>14</v>
      </c>
      <c r="C17" s="86"/>
      <c r="D17" s="9"/>
      <c r="E17" s="9"/>
      <c r="F17" s="9"/>
      <c r="G17" s="85" t="s">
        <v>14</v>
      </c>
      <c r="H17" s="86"/>
      <c r="I17" s="3"/>
      <c r="J17" s="3"/>
      <c r="K17" s="3"/>
      <c r="L17" s="3"/>
      <c r="M17" s="3"/>
      <c r="N17" s="3"/>
      <c r="O17" s="3"/>
      <c r="Q17" s="5"/>
    </row>
    <row r="18" spans="1:17" ht="15" thickBot="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Q18" s="5"/>
    </row>
    <row r="19" spans="1:17" ht="15" thickBot="1" x14ac:dyDescent="0.4">
      <c r="A19" s="3"/>
      <c r="B19" s="87"/>
      <c r="C19" s="88"/>
      <c r="D19" s="10">
        <f>SUM(F41)</f>
        <v>0</v>
      </c>
      <c r="E19" s="11">
        <f>SUM(G41)</f>
        <v>0</v>
      </c>
      <c r="F19" s="11">
        <f>SUM(D19:E19)</f>
        <v>0</v>
      </c>
      <c r="G19" s="89">
        <f>SUM(B19+F19)</f>
        <v>0</v>
      </c>
      <c r="H19" s="90"/>
      <c r="I19" s="3"/>
      <c r="J19" s="3"/>
      <c r="K19" s="3"/>
      <c r="L19" s="3"/>
      <c r="M19" s="3"/>
      <c r="N19" s="3"/>
      <c r="O19" s="3"/>
      <c r="Q19" s="5"/>
    </row>
    <row r="20" spans="1:17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Q20" s="5"/>
    </row>
    <row r="21" spans="1:17" x14ac:dyDescent="0.35">
      <c r="A21" s="73" t="s">
        <v>15</v>
      </c>
      <c r="B21" s="73"/>
      <c r="C21" s="73"/>
      <c r="D21" s="73"/>
      <c r="E21" s="73"/>
      <c r="F21" s="73"/>
      <c r="G21" s="73"/>
      <c r="H21" s="73"/>
      <c r="I21" s="3"/>
      <c r="J21" s="3"/>
      <c r="K21" s="3"/>
      <c r="L21" s="3"/>
      <c r="M21" s="3"/>
      <c r="N21" s="3"/>
      <c r="O21" s="3"/>
      <c r="Q21" s="5"/>
    </row>
    <row r="22" spans="1:17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Q22" s="5"/>
    </row>
    <row r="23" spans="1:17" x14ac:dyDescent="0.35">
      <c r="A23" s="3"/>
      <c r="B23" s="3"/>
      <c r="C23" s="3"/>
      <c r="D23" s="79" t="str">
        <f>Contacts!F4</f>
        <v>Your Company Name</v>
      </c>
      <c r="E23" s="80"/>
      <c r="F23" s="80"/>
      <c r="G23" s="4"/>
      <c r="H23" s="3"/>
      <c r="I23" s="3"/>
      <c r="J23" s="3"/>
      <c r="K23" s="3"/>
      <c r="L23" s="3"/>
      <c r="M23" s="3"/>
      <c r="N23" s="3"/>
      <c r="O23" s="3"/>
      <c r="Q23" s="5"/>
    </row>
    <row r="24" spans="1:17" x14ac:dyDescent="0.35">
      <c r="A24" s="3"/>
      <c r="B24" s="3"/>
      <c r="C24" s="3"/>
      <c r="D24" s="79" t="str">
        <f>VLOOKUP(D23,Contacts!C3:R2001,10,FALSE)</f>
        <v>1234 Construction Lane</v>
      </c>
      <c r="E24" s="80"/>
      <c r="F24" s="80"/>
      <c r="G24" s="80"/>
      <c r="H24" s="3"/>
      <c r="I24" s="3"/>
      <c r="J24" s="3"/>
      <c r="K24" s="3"/>
      <c r="L24" s="3"/>
      <c r="M24" s="3"/>
      <c r="N24" s="3"/>
      <c r="O24" s="3"/>
      <c r="Q24" s="5"/>
    </row>
    <row r="25" spans="1:17" x14ac:dyDescent="0.35">
      <c r="A25" s="3"/>
      <c r="B25" s="3"/>
      <c r="C25" s="3"/>
      <c r="D25" s="79" t="str">
        <f>VLOOKUP(D23,Contacts!C3:R2001, 11, FALSE) &amp; ", " &amp; VLOOKUP(D23,Contacts!C3:R2001, 12, FALSE) &amp; " " &amp; VLOOKUP(D23,Contacts!C3:R2001, 13, FALSE)</f>
        <v>Springfield, IL 62523</v>
      </c>
      <c r="E25" s="80"/>
      <c r="F25" s="80"/>
      <c r="G25" s="80"/>
      <c r="H25" s="3"/>
      <c r="I25" s="3"/>
      <c r="J25" s="3"/>
      <c r="K25" s="3"/>
      <c r="L25" s="3"/>
      <c r="M25" s="3"/>
      <c r="N25" s="3"/>
      <c r="O25" s="3"/>
      <c r="Q25" s="5"/>
    </row>
    <row r="26" spans="1:17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Q26" s="5"/>
    </row>
    <row r="27" spans="1:17" x14ac:dyDescent="0.35">
      <c r="A27" s="12"/>
      <c r="B27" s="12"/>
      <c r="C27" s="12"/>
      <c r="D27" s="12"/>
      <c r="E27" s="12"/>
      <c r="F27" s="12"/>
      <c r="G27" s="12"/>
      <c r="H27" s="12"/>
      <c r="I27" s="3"/>
      <c r="J27" s="3"/>
      <c r="K27" s="3"/>
      <c r="L27" s="3"/>
      <c r="M27" s="3"/>
      <c r="N27" s="3"/>
      <c r="O27" s="3"/>
      <c r="Q27" s="5"/>
    </row>
    <row r="28" spans="1:17" ht="15" thickBo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Q28" s="5"/>
    </row>
    <row r="29" spans="1:17" ht="15" thickBot="1" x14ac:dyDescent="0.4">
      <c r="A29" s="91" t="s">
        <v>16</v>
      </c>
      <c r="B29" s="72"/>
      <c r="C29" s="3"/>
      <c r="D29" s="3"/>
      <c r="E29" s="3"/>
      <c r="F29" s="14" t="s">
        <v>17</v>
      </c>
      <c r="G29" s="14" t="s">
        <v>18</v>
      </c>
      <c r="H29" s="3"/>
      <c r="I29" s="3"/>
      <c r="J29" s="3"/>
      <c r="K29" s="3"/>
      <c r="L29" s="3"/>
      <c r="M29" s="3"/>
      <c r="N29" s="3"/>
      <c r="O29" s="3"/>
      <c r="Q29" s="5"/>
    </row>
    <row r="30" spans="1:17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Q30" s="5"/>
    </row>
    <row r="31" spans="1:17" x14ac:dyDescent="0.35">
      <c r="A31" s="92"/>
      <c r="B31" s="92"/>
      <c r="C31" s="92"/>
      <c r="D31" s="92"/>
      <c r="E31" s="3"/>
      <c r="F31" s="15"/>
      <c r="G31" s="15"/>
      <c r="H31" s="3"/>
      <c r="I31" s="3"/>
      <c r="J31" s="3"/>
      <c r="K31" s="3"/>
      <c r="L31" s="3"/>
      <c r="M31" s="3"/>
      <c r="N31" s="3"/>
      <c r="O31" s="3"/>
      <c r="Q31" s="5"/>
    </row>
    <row r="32" spans="1:17" x14ac:dyDescent="0.35">
      <c r="A32" s="92"/>
      <c r="B32" s="92"/>
      <c r="C32" s="92"/>
      <c r="D32" s="92"/>
      <c r="E32" s="3"/>
      <c r="F32" s="15"/>
      <c r="G32" s="15"/>
      <c r="H32" s="3"/>
      <c r="I32" s="3"/>
      <c r="J32" s="3"/>
      <c r="K32" s="3"/>
      <c r="L32" s="3"/>
      <c r="M32" s="3"/>
      <c r="N32" s="3"/>
      <c r="O32" s="3"/>
      <c r="Q32" s="5"/>
    </row>
    <row r="33" spans="1:17" x14ac:dyDescent="0.35">
      <c r="A33" s="92"/>
      <c r="B33" s="92"/>
      <c r="C33" s="92"/>
      <c r="D33" s="92"/>
      <c r="E33" s="3"/>
      <c r="F33" s="15"/>
      <c r="G33" s="15"/>
      <c r="H33" s="3"/>
      <c r="I33" s="3"/>
      <c r="J33" s="3"/>
      <c r="K33" s="3"/>
      <c r="L33" s="3"/>
      <c r="M33" s="3"/>
      <c r="N33" s="3"/>
      <c r="O33" s="3"/>
      <c r="Q33" s="5"/>
    </row>
    <row r="34" spans="1:17" x14ac:dyDescent="0.35">
      <c r="A34" s="92"/>
      <c r="B34" s="92"/>
      <c r="C34" s="92"/>
      <c r="D34" s="92"/>
      <c r="E34" s="3"/>
      <c r="F34" s="15"/>
      <c r="G34" s="15"/>
      <c r="H34" s="3"/>
      <c r="I34" s="3"/>
      <c r="J34" s="3"/>
      <c r="K34" s="3"/>
      <c r="L34" s="3"/>
      <c r="M34" s="3"/>
      <c r="N34" s="3"/>
      <c r="O34" s="3"/>
      <c r="Q34" s="5"/>
    </row>
    <row r="35" spans="1:17" x14ac:dyDescent="0.35">
      <c r="A35" s="92"/>
      <c r="B35" s="92"/>
      <c r="C35" s="92"/>
      <c r="D35" s="92"/>
      <c r="E35" s="3"/>
      <c r="F35" s="15"/>
      <c r="G35" s="15"/>
      <c r="H35" s="3"/>
      <c r="I35" s="3"/>
      <c r="J35" s="3"/>
      <c r="K35" s="3"/>
      <c r="L35" s="3"/>
      <c r="M35" s="3"/>
      <c r="N35" s="3"/>
      <c r="O35" s="3"/>
      <c r="Q35" s="5"/>
    </row>
    <row r="36" spans="1:17" x14ac:dyDescent="0.35">
      <c r="A36" s="92"/>
      <c r="B36" s="92"/>
      <c r="C36" s="92"/>
      <c r="D36" s="92"/>
      <c r="E36" s="3"/>
      <c r="F36" s="15"/>
      <c r="G36" s="15"/>
      <c r="H36" s="3"/>
      <c r="I36" s="3"/>
      <c r="J36" s="3"/>
      <c r="K36" s="3"/>
      <c r="L36" s="3"/>
      <c r="M36" s="3"/>
      <c r="N36" s="3"/>
      <c r="O36" s="3"/>
      <c r="Q36" s="5"/>
    </row>
    <row r="37" spans="1:17" x14ac:dyDescent="0.35">
      <c r="A37" s="92"/>
      <c r="B37" s="92"/>
      <c r="C37" s="92"/>
      <c r="D37" s="92"/>
      <c r="E37" s="3"/>
      <c r="F37" s="15"/>
      <c r="G37" s="15"/>
      <c r="H37" s="3"/>
      <c r="I37" s="3"/>
      <c r="J37" s="3"/>
      <c r="K37" s="3"/>
      <c r="L37" s="3"/>
      <c r="M37" s="3"/>
      <c r="N37" s="3"/>
      <c r="O37" s="3"/>
      <c r="Q37" s="5"/>
    </row>
    <row r="38" spans="1:17" x14ac:dyDescent="0.35">
      <c r="A38" s="92"/>
      <c r="B38" s="92"/>
      <c r="C38" s="92"/>
      <c r="D38" s="92"/>
      <c r="E38" s="3"/>
      <c r="F38" s="15"/>
      <c r="G38" s="15"/>
      <c r="H38" s="3"/>
      <c r="I38" s="3"/>
      <c r="J38" s="3"/>
      <c r="K38" s="3"/>
      <c r="L38" s="3"/>
      <c r="M38" s="3"/>
      <c r="N38" s="3"/>
      <c r="O38" s="3"/>
      <c r="Q38" s="5"/>
    </row>
    <row r="39" spans="1:17" x14ac:dyDescent="0.35">
      <c r="A39" s="92"/>
      <c r="B39" s="92"/>
      <c r="C39" s="92"/>
      <c r="D39" s="92"/>
      <c r="E39" s="3"/>
      <c r="F39" s="15"/>
      <c r="G39" s="15"/>
      <c r="H39" s="3"/>
      <c r="I39" s="3"/>
      <c r="J39" s="3"/>
      <c r="K39" s="3"/>
      <c r="L39" s="3"/>
      <c r="M39" s="3"/>
      <c r="N39" s="3"/>
      <c r="O39" s="3"/>
      <c r="Q39" s="5"/>
    </row>
    <row r="40" spans="1:17" x14ac:dyDescent="0.35">
      <c r="A40" s="92"/>
      <c r="B40" s="92"/>
      <c r="C40" s="92"/>
      <c r="D40" s="92"/>
      <c r="E40" s="3"/>
      <c r="F40" s="15"/>
      <c r="G40" s="15"/>
      <c r="H40" s="3"/>
      <c r="I40" s="3"/>
      <c r="J40" s="3"/>
      <c r="K40" s="3"/>
      <c r="L40" s="3"/>
      <c r="M40" s="3"/>
      <c r="N40" s="3"/>
      <c r="O40" s="3"/>
      <c r="Q40" s="5"/>
    </row>
    <row r="41" spans="1:17" ht="15" thickBot="1" x14ac:dyDescent="0.4">
      <c r="A41" s="3"/>
      <c r="B41" s="3"/>
      <c r="C41" s="3"/>
      <c r="D41" s="3"/>
      <c r="E41" s="3" t="s">
        <v>19</v>
      </c>
      <c r="F41" s="9">
        <f>SUM(F31:F40)</f>
        <v>0</v>
      </c>
      <c r="G41" s="9">
        <f>SUM(G31:G40)</f>
        <v>0</v>
      </c>
      <c r="H41" s="3"/>
      <c r="I41" s="3"/>
      <c r="J41" s="3"/>
      <c r="K41" s="3"/>
      <c r="L41" s="3"/>
      <c r="M41" s="3"/>
      <c r="N41" s="3"/>
      <c r="O41" s="3"/>
      <c r="Q41" s="5"/>
    </row>
    <row r="42" spans="1:17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Q42" s="5"/>
    </row>
    <row r="43" spans="1:17" x14ac:dyDescent="0.35">
      <c r="A43" s="81" t="s">
        <v>20</v>
      </c>
      <c r="B43" s="80"/>
      <c r="C43" s="3"/>
      <c r="D43" s="3"/>
      <c r="E43" s="3" t="s">
        <v>21</v>
      </c>
      <c r="F43" s="3"/>
      <c r="G43" s="3"/>
      <c r="H43" s="3"/>
      <c r="I43" s="3"/>
      <c r="J43" s="3"/>
      <c r="K43" s="3"/>
      <c r="L43" s="3"/>
      <c r="M43" s="3"/>
      <c r="N43" s="3"/>
      <c r="O43" s="3"/>
      <c r="Q43" s="5"/>
    </row>
    <row r="44" spans="1:17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Q44" s="5"/>
    </row>
    <row r="45" spans="1:17" ht="15" thickBot="1" x14ac:dyDescent="0.4">
      <c r="A45" s="79" t="str">
        <f>F9</f>
        <v>Example Subcontractor</v>
      </c>
      <c r="B45" s="80"/>
      <c r="C45" s="80"/>
      <c r="D45" s="80"/>
      <c r="E45" s="93" t="s">
        <v>22</v>
      </c>
      <c r="F45" s="72"/>
      <c r="G45" s="72"/>
      <c r="H45" s="72"/>
      <c r="I45" s="3"/>
      <c r="J45" s="3"/>
      <c r="K45" s="3"/>
      <c r="L45" s="3"/>
      <c r="M45" s="3"/>
      <c r="N45" s="3"/>
      <c r="O45" s="3"/>
      <c r="Q45" s="5"/>
    </row>
    <row r="46" spans="1:17" x14ac:dyDescent="0.35">
      <c r="A46" s="81" t="s">
        <v>23</v>
      </c>
      <c r="B46" s="80"/>
      <c r="C46" s="80"/>
      <c r="D46" s="80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Q46" s="5"/>
    </row>
    <row r="47" spans="1:17" ht="21.5" thickBot="1" x14ac:dyDescent="0.55000000000000004">
      <c r="A47" s="13" t="s">
        <v>24</v>
      </c>
      <c r="B47" s="91"/>
      <c r="C47" s="72"/>
      <c r="D47" s="72"/>
      <c r="E47" s="13" t="s">
        <v>24</v>
      </c>
      <c r="F47" s="94" t="s">
        <v>25</v>
      </c>
      <c r="G47" s="91"/>
      <c r="H47" s="91"/>
      <c r="I47" s="3"/>
      <c r="J47" s="3"/>
      <c r="K47" s="3"/>
      <c r="L47" s="3"/>
      <c r="M47" s="3"/>
      <c r="N47" s="3"/>
      <c r="O47" s="3"/>
      <c r="Q47" s="5"/>
    </row>
    <row r="48" spans="1:17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Q48" s="5"/>
    </row>
    <row r="49" spans="1:17" ht="15" thickBot="1" x14ac:dyDescent="0.4">
      <c r="A49" s="13" t="s">
        <v>26</v>
      </c>
      <c r="B49" s="13"/>
      <c r="C49" s="3" t="s">
        <v>27</v>
      </c>
      <c r="D49" s="13"/>
      <c r="E49" s="16" t="s">
        <v>28</v>
      </c>
      <c r="F49" s="13"/>
      <c r="G49" s="17" t="s">
        <v>27</v>
      </c>
      <c r="H49" s="15"/>
      <c r="I49" s="3"/>
      <c r="J49" s="3"/>
      <c r="K49" s="3"/>
      <c r="L49" s="3"/>
      <c r="M49" s="3"/>
      <c r="N49" s="3"/>
      <c r="O49" s="3"/>
      <c r="Q49" s="5"/>
    </row>
    <row r="50" spans="1:17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Q50" s="5"/>
    </row>
    <row r="51" spans="1:17" x14ac:dyDescent="0.35">
      <c r="A51" s="54"/>
      <c r="Q51" s="5"/>
    </row>
    <row r="52" spans="1:17" x14ac:dyDescent="0.35">
      <c r="A52" s="54"/>
      <c r="Q52" s="5"/>
    </row>
    <row r="53" spans="1:17" x14ac:dyDescent="0.35">
      <c r="A53" s="54"/>
      <c r="Q53" s="5"/>
    </row>
    <row r="54" spans="1:17" x14ac:dyDescent="0.35">
      <c r="A54" s="54"/>
      <c r="Q54" s="5"/>
    </row>
    <row r="55" spans="1:17" x14ac:dyDescent="0.35">
      <c r="A55" s="54"/>
      <c r="Q55" s="5"/>
    </row>
    <row r="56" spans="1:17" x14ac:dyDescent="0.35">
      <c r="A56" s="54"/>
      <c r="Q56" s="5"/>
    </row>
    <row r="57" spans="1:17" x14ac:dyDescent="0.35">
      <c r="A57" s="54"/>
      <c r="Q57" s="5"/>
    </row>
    <row r="58" spans="1:17" x14ac:dyDescent="0.35">
      <c r="A58" s="54"/>
      <c r="Q58" s="5"/>
    </row>
    <row r="59" spans="1:17" x14ac:dyDescent="0.35">
      <c r="A59" s="54"/>
      <c r="Q59" s="5"/>
    </row>
    <row r="60" spans="1:17" x14ac:dyDescent="0.35">
      <c r="A60" s="54"/>
      <c r="Q60" s="5"/>
    </row>
    <row r="61" spans="1:17" x14ac:dyDescent="0.35">
      <c r="A61" s="54"/>
      <c r="Q61" s="5"/>
    </row>
    <row r="62" spans="1:17" x14ac:dyDescent="0.35">
      <c r="A62" s="54"/>
      <c r="Q62" s="5"/>
    </row>
    <row r="63" spans="1:17" x14ac:dyDescent="0.35">
      <c r="A63" s="54"/>
      <c r="Q63" s="5"/>
    </row>
    <row r="64" spans="1:17" x14ac:dyDescent="0.35">
      <c r="A64" s="54"/>
      <c r="Q64" s="5"/>
    </row>
    <row r="65" spans="1:17" x14ac:dyDescent="0.35">
      <c r="A65" s="54"/>
      <c r="Q65" s="5"/>
    </row>
    <row r="66" spans="1:17" x14ac:dyDescent="0.35">
      <c r="A66" s="54"/>
      <c r="Q66" s="5"/>
    </row>
    <row r="67" spans="1:17" x14ac:dyDescent="0.35">
      <c r="A67" s="54"/>
      <c r="Q67" s="5"/>
    </row>
    <row r="68" spans="1:17" x14ac:dyDescent="0.35">
      <c r="A68" s="54"/>
      <c r="Q68" s="5"/>
    </row>
    <row r="69" spans="1:17" x14ac:dyDescent="0.35">
      <c r="A69" s="54"/>
      <c r="Q69" s="5"/>
    </row>
    <row r="70" spans="1:17" x14ac:dyDescent="0.35">
      <c r="A70" s="54"/>
      <c r="Q70" s="5"/>
    </row>
    <row r="71" spans="1:17" x14ac:dyDescent="0.35">
      <c r="A71" s="54"/>
      <c r="Q71" s="5"/>
    </row>
    <row r="72" spans="1:17" x14ac:dyDescent="0.35">
      <c r="A72" s="54"/>
      <c r="Q72" s="5"/>
    </row>
    <row r="73" spans="1:17" x14ac:dyDescent="0.35">
      <c r="A73" s="54"/>
      <c r="Q73" s="5"/>
    </row>
    <row r="74" spans="1:17" x14ac:dyDescent="0.35">
      <c r="A74" s="54"/>
      <c r="Q74" s="5"/>
    </row>
    <row r="75" spans="1:17" x14ac:dyDescent="0.35">
      <c r="A75" s="54"/>
      <c r="Q75" s="5"/>
    </row>
    <row r="76" spans="1:17" x14ac:dyDescent="0.35">
      <c r="A76" s="54"/>
      <c r="Q76" s="5"/>
    </row>
    <row r="77" spans="1:17" x14ac:dyDescent="0.35">
      <c r="A77" s="54"/>
      <c r="Q77" s="5"/>
    </row>
    <row r="78" spans="1:17" x14ac:dyDescent="0.35">
      <c r="A78" s="54"/>
      <c r="Q78" s="5"/>
    </row>
    <row r="79" spans="1:17" x14ac:dyDescent="0.35">
      <c r="A79" s="54"/>
      <c r="Q79" s="5"/>
    </row>
    <row r="80" spans="1:17" x14ac:dyDescent="0.35">
      <c r="A80" s="54"/>
      <c r="Q80" s="5"/>
    </row>
    <row r="81" spans="1:17" x14ac:dyDescent="0.35">
      <c r="A81" s="54"/>
      <c r="Q81" s="5"/>
    </row>
    <row r="82" spans="1:17" x14ac:dyDescent="0.35">
      <c r="A82" s="54"/>
      <c r="Q82" s="5"/>
    </row>
    <row r="83" spans="1:17" x14ac:dyDescent="0.35">
      <c r="A83" s="54"/>
      <c r="Q83" s="5"/>
    </row>
    <row r="84" spans="1:17" x14ac:dyDescent="0.35">
      <c r="A84" s="54"/>
      <c r="Q84" s="5"/>
    </row>
    <row r="85" spans="1:17" x14ac:dyDescent="0.35">
      <c r="A85" s="54"/>
      <c r="Q85" s="5"/>
    </row>
    <row r="86" spans="1:17" x14ac:dyDescent="0.35">
      <c r="A86" s="54"/>
      <c r="Q86" s="5"/>
    </row>
    <row r="87" spans="1:17" x14ac:dyDescent="0.35">
      <c r="A87" s="54"/>
      <c r="Q87" s="5"/>
    </row>
    <row r="88" spans="1:17" x14ac:dyDescent="0.35">
      <c r="A88" s="54"/>
      <c r="Q88" s="5"/>
    </row>
    <row r="89" spans="1:17" x14ac:dyDescent="0.35">
      <c r="A89" s="54"/>
      <c r="Q89" s="5"/>
    </row>
    <row r="90" spans="1:17" x14ac:dyDescent="0.35">
      <c r="A90" s="54"/>
      <c r="Q90" s="5"/>
    </row>
    <row r="91" spans="1:17" x14ac:dyDescent="0.35">
      <c r="A91" s="54"/>
      <c r="Q91" s="5"/>
    </row>
    <row r="92" spans="1:17" x14ac:dyDescent="0.35">
      <c r="A92" s="54"/>
      <c r="Q92" s="5"/>
    </row>
    <row r="93" spans="1:17" x14ac:dyDescent="0.35">
      <c r="A93" s="54"/>
      <c r="Q93" s="5"/>
    </row>
    <row r="94" spans="1:17" x14ac:dyDescent="0.35">
      <c r="A94" s="54"/>
      <c r="Q94" s="5"/>
    </row>
    <row r="95" spans="1:17" x14ac:dyDescent="0.35">
      <c r="A95" s="54"/>
      <c r="Q95" s="5"/>
    </row>
    <row r="96" spans="1:17" x14ac:dyDescent="0.35">
      <c r="A96" s="54"/>
      <c r="Q96" s="5"/>
    </row>
    <row r="97" spans="1:17" x14ac:dyDescent="0.35">
      <c r="A97" s="54"/>
      <c r="Q97" s="5"/>
    </row>
    <row r="98" spans="1:17" x14ac:dyDescent="0.35">
      <c r="A98" s="54"/>
      <c r="Q98" s="5"/>
    </row>
    <row r="99" spans="1:17" x14ac:dyDescent="0.35">
      <c r="A99" s="54"/>
      <c r="Q99" s="5"/>
    </row>
    <row r="100" spans="1:17" x14ac:dyDescent="0.35">
      <c r="A100" s="54"/>
      <c r="Q100" s="5"/>
    </row>
    <row r="101" spans="1:17" x14ac:dyDescent="0.35">
      <c r="A101" s="54"/>
      <c r="Q101" s="5"/>
    </row>
    <row r="102" spans="1:17" x14ac:dyDescent="0.35">
      <c r="A102" s="54"/>
      <c r="Q102" s="5"/>
    </row>
    <row r="103" spans="1:17" x14ac:dyDescent="0.35">
      <c r="A103" s="54"/>
      <c r="Q103" s="5"/>
    </row>
    <row r="104" spans="1:17" x14ac:dyDescent="0.35">
      <c r="A104" s="54"/>
      <c r="Q104" s="5"/>
    </row>
    <row r="105" spans="1:17" x14ac:dyDescent="0.35">
      <c r="A105" s="54"/>
      <c r="Q105" s="5"/>
    </row>
    <row r="106" spans="1:17" x14ac:dyDescent="0.35">
      <c r="A106" s="54"/>
      <c r="Q106" s="5"/>
    </row>
    <row r="107" spans="1:17" x14ac:dyDescent="0.35">
      <c r="A107" s="54"/>
      <c r="Q107" s="5"/>
    </row>
    <row r="108" spans="1:17" x14ac:dyDescent="0.35">
      <c r="A108" s="54"/>
      <c r="Q108" s="5"/>
    </row>
    <row r="109" spans="1:17" x14ac:dyDescent="0.35">
      <c r="A109" s="54"/>
      <c r="Q109" s="5"/>
    </row>
    <row r="110" spans="1:17" x14ac:dyDescent="0.35">
      <c r="A110" s="54"/>
      <c r="Q110" s="5"/>
    </row>
    <row r="111" spans="1:17" x14ac:dyDescent="0.35">
      <c r="A111" s="54"/>
      <c r="Q111" s="5"/>
    </row>
    <row r="112" spans="1:17" x14ac:dyDescent="0.35">
      <c r="A112" s="54"/>
      <c r="Q112" s="5"/>
    </row>
    <row r="113" spans="1:17" x14ac:dyDescent="0.35">
      <c r="A113" s="54"/>
      <c r="Q113" s="5"/>
    </row>
    <row r="114" spans="1:17" x14ac:dyDescent="0.35">
      <c r="A114" s="54"/>
      <c r="Q114" s="5"/>
    </row>
    <row r="115" spans="1:17" x14ac:dyDescent="0.35">
      <c r="A115" s="54"/>
      <c r="Q115" s="5"/>
    </row>
    <row r="116" spans="1:17" x14ac:dyDescent="0.35">
      <c r="A116" s="54"/>
      <c r="Q116" s="5"/>
    </row>
    <row r="117" spans="1:17" x14ac:dyDescent="0.35">
      <c r="A117" s="54"/>
      <c r="Q117" s="5"/>
    </row>
    <row r="118" spans="1:17" x14ac:dyDescent="0.35">
      <c r="A118" s="54"/>
      <c r="Q118" s="5"/>
    </row>
    <row r="119" spans="1:17" x14ac:dyDescent="0.35">
      <c r="A119" s="54"/>
      <c r="Q119" s="5"/>
    </row>
    <row r="120" spans="1:17" x14ac:dyDescent="0.35">
      <c r="A120" s="54"/>
      <c r="Q120" s="5"/>
    </row>
    <row r="121" spans="1:17" x14ac:dyDescent="0.35">
      <c r="A121" s="54"/>
      <c r="Q121" s="5"/>
    </row>
    <row r="122" spans="1:17" x14ac:dyDescent="0.35">
      <c r="A122" s="54"/>
      <c r="Q122" s="5"/>
    </row>
    <row r="123" spans="1:17" x14ac:dyDescent="0.35">
      <c r="A123" s="54"/>
      <c r="Q123" s="5"/>
    </row>
    <row r="124" spans="1:17" x14ac:dyDescent="0.35">
      <c r="A124" s="54"/>
      <c r="Q124" s="5"/>
    </row>
    <row r="125" spans="1:17" x14ac:dyDescent="0.35">
      <c r="A125" s="54"/>
      <c r="Q125" s="5"/>
    </row>
    <row r="126" spans="1:17" x14ac:dyDescent="0.35">
      <c r="A126" s="54"/>
      <c r="Q126" s="5"/>
    </row>
    <row r="127" spans="1:17" x14ac:dyDescent="0.35">
      <c r="A127" s="54"/>
      <c r="Q127" s="5"/>
    </row>
    <row r="128" spans="1:17" x14ac:dyDescent="0.35">
      <c r="A128" s="54"/>
      <c r="Q128" s="5"/>
    </row>
    <row r="129" spans="1:17" x14ac:dyDescent="0.35">
      <c r="A129" s="54"/>
      <c r="Q129" s="5"/>
    </row>
    <row r="130" spans="1:17" x14ac:dyDescent="0.35">
      <c r="A130" s="54"/>
      <c r="Q130" s="5"/>
    </row>
    <row r="131" spans="1:17" x14ac:dyDescent="0.35">
      <c r="A131" s="54"/>
      <c r="Q131" s="5"/>
    </row>
    <row r="132" spans="1:17" x14ac:dyDescent="0.35">
      <c r="A132" s="54"/>
      <c r="Q132" s="5"/>
    </row>
    <row r="133" spans="1:17" x14ac:dyDescent="0.35">
      <c r="A133" s="54"/>
      <c r="Q133" s="5"/>
    </row>
    <row r="134" spans="1:17" x14ac:dyDescent="0.35">
      <c r="A134" s="54"/>
      <c r="Q134" s="5"/>
    </row>
    <row r="135" spans="1:17" x14ac:dyDescent="0.35">
      <c r="A135" s="54"/>
      <c r="Q135" s="5"/>
    </row>
    <row r="136" spans="1:17" x14ac:dyDescent="0.35">
      <c r="A136" s="54"/>
      <c r="Q136" s="5"/>
    </row>
    <row r="137" spans="1:17" x14ac:dyDescent="0.35">
      <c r="A137" s="54"/>
      <c r="Q137" s="5"/>
    </row>
    <row r="138" spans="1:17" x14ac:dyDescent="0.35">
      <c r="A138" s="54"/>
      <c r="Q138" s="5"/>
    </row>
    <row r="139" spans="1:17" x14ac:dyDescent="0.35">
      <c r="A139" s="54"/>
      <c r="Q139" s="5"/>
    </row>
    <row r="140" spans="1:17" x14ac:dyDescent="0.35">
      <c r="A140" s="54"/>
      <c r="Q140" s="5"/>
    </row>
    <row r="141" spans="1:17" x14ac:dyDescent="0.35">
      <c r="A141" s="54"/>
      <c r="Q141" s="5"/>
    </row>
    <row r="142" spans="1:17" x14ac:dyDescent="0.35">
      <c r="A142" s="54"/>
      <c r="Q142" s="5"/>
    </row>
    <row r="143" spans="1:17" x14ac:dyDescent="0.35">
      <c r="A143" s="54"/>
      <c r="Q143" s="5"/>
    </row>
    <row r="144" spans="1:17" x14ac:dyDescent="0.35">
      <c r="A144" s="54"/>
      <c r="Q144" s="5"/>
    </row>
    <row r="145" spans="1:17" x14ac:dyDescent="0.35">
      <c r="A145" s="54"/>
      <c r="Q145" s="5"/>
    </row>
    <row r="146" spans="1:17" x14ac:dyDescent="0.35">
      <c r="A146" s="54"/>
      <c r="Q146" s="5"/>
    </row>
    <row r="147" spans="1:17" x14ac:dyDescent="0.35">
      <c r="A147" s="54"/>
      <c r="Q147" s="5"/>
    </row>
    <row r="148" spans="1:17" x14ac:dyDescent="0.35">
      <c r="A148" s="54"/>
      <c r="Q148" s="5"/>
    </row>
    <row r="149" spans="1:17" x14ac:dyDescent="0.35">
      <c r="A149" s="54"/>
      <c r="Q149" s="5"/>
    </row>
    <row r="150" spans="1:17" x14ac:dyDescent="0.35">
      <c r="A150" s="54"/>
      <c r="Q150" s="5"/>
    </row>
    <row r="151" spans="1:17" x14ac:dyDescent="0.35">
      <c r="A151" s="54"/>
      <c r="Q151" s="5"/>
    </row>
    <row r="152" spans="1:17" x14ac:dyDescent="0.35">
      <c r="A152" s="54"/>
      <c r="Q152" s="5"/>
    </row>
    <row r="153" spans="1:17" x14ac:dyDescent="0.35">
      <c r="A153" s="54"/>
      <c r="Q153" s="5"/>
    </row>
    <row r="154" spans="1:17" x14ac:dyDescent="0.35">
      <c r="A154" s="54"/>
      <c r="Q154" s="5"/>
    </row>
    <row r="155" spans="1:17" x14ac:dyDescent="0.35">
      <c r="A155" s="54"/>
      <c r="Q155" s="5"/>
    </row>
    <row r="156" spans="1:17" x14ac:dyDescent="0.35">
      <c r="A156" s="54"/>
      <c r="Q156" s="5"/>
    </row>
    <row r="157" spans="1:17" x14ac:dyDescent="0.35">
      <c r="A157" s="54"/>
      <c r="Q157" s="5"/>
    </row>
    <row r="158" spans="1:17" x14ac:dyDescent="0.35">
      <c r="A158" s="54"/>
      <c r="Q158" s="5"/>
    </row>
    <row r="159" spans="1:17" x14ac:dyDescent="0.35">
      <c r="A159" s="54"/>
      <c r="Q159" s="5"/>
    </row>
    <row r="160" spans="1:17" x14ac:dyDescent="0.35">
      <c r="A160" s="54"/>
      <c r="Q160" s="5"/>
    </row>
    <row r="161" spans="1:17" x14ac:dyDescent="0.35">
      <c r="A161" s="54"/>
      <c r="Q161" s="5"/>
    </row>
    <row r="162" spans="1:17" x14ac:dyDescent="0.35">
      <c r="A162" s="54"/>
      <c r="Q162" s="5"/>
    </row>
    <row r="163" spans="1:17" x14ac:dyDescent="0.35">
      <c r="A163" s="54"/>
      <c r="Q163" s="5"/>
    </row>
    <row r="164" spans="1:17" x14ac:dyDescent="0.35">
      <c r="A164" s="54"/>
      <c r="Q164" s="5"/>
    </row>
    <row r="165" spans="1:17" x14ac:dyDescent="0.35">
      <c r="A165" s="54"/>
      <c r="Q165" s="5"/>
    </row>
    <row r="166" spans="1:17" x14ac:dyDescent="0.35">
      <c r="A166" s="54"/>
      <c r="Q166" s="5"/>
    </row>
    <row r="167" spans="1:17" x14ac:dyDescent="0.35">
      <c r="A167" s="54"/>
      <c r="Q167" s="5"/>
    </row>
    <row r="168" spans="1:17" x14ac:dyDescent="0.35">
      <c r="A168" s="54"/>
      <c r="Q168" s="5"/>
    </row>
    <row r="169" spans="1:17" x14ac:dyDescent="0.35">
      <c r="A169" s="54"/>
      <c r="Q169" s="5"/>
    </row>
    <row r="170" spans="1:17" x14ac:dyDescent="0.35">
      <c r="A170" s="54"/>
      <c r="Q170" s="5"/>
    </row>
    <row r="171" spans="1:17" x14ac:dyDescent="0.35">
      <c r="A171" s="54"/>
      <c r="Q171" s="5"/>
    </row>
    <row r="172" spans="1:17" x14ac:dyDescent="0.35">
      <c r="A172" s="54"/>
      <c r="Q172" s="5"/>
    </row>
    <row r="173" spans="1:17" x14ac:dyDescent="0.35">
      <c r="A173" s="54"/>
      <c r="Q173" s="5"/>
    </row>
    <row r="174" spans="1:17" x14ac:dyDescent="0.35">
      <c r="A174" s="54"/>
      <c r="Q174" s="5"/>
    </row>
    <row r="175" spans="1:17" x14ac:dyDescent="0.35">
      <c r="A175" s="54"/>
      <c r="Q175" s="5"/>
    </row>
    <row r="176" spans="1:17" x14ac:dyDescent="0.35">
      <c r="A176" s="54"/>
      <c r="Q176" s="5"/>
    </row>
    <row r="177" spans="1:17" x14ac:dyDescent="0.35">
      <c r="A177" s="54"/>
      <c r="Q177" s="5"/>
    </row>
    <row r="178" spans="1:17" x14ac:dyDescent="0.35">
      <c r="A178" s="54"/>
      <c r="Q178" s="5"/>
    </row>
    <row r="179" spans="1:17" x14ac:dyDescent="0.35">
      <c r="A179" s="54"/>
      <c r="Q179" s="5"/>
    </row>
    <row r="180" spans="1:17" x14ac:dyDescent="0.35">
      <c r="A180" s="54"/>
      <c r="Q180" s="5"/>
    </row>
    <row r="181" spans="1:17" x14ac:dyDescent="0.35">
      <c r="A181" s="54"/>
      <c r="Q181" s="5"/>
    </row>
    <row r="182" spans="1:17" x14ac:dyDescent="0.35">
      <c r="A182" s="54"/>
      <c r="Q182" s="5"/>
    </row>
    <row r="183" spans="1:17" x14ac:dyDescent="0.35">
      <c r="A183" s="54"/>
      <c r="Q183" s="5"/>
    </row>
    <row r="184" spans="1:17" x14ac:dyDescent="0.35">
      <c r="A184" s="54"/>
      <c r="Q184" s="5"/>
    </row>
    <row r="185" spans="1:17" x14ac:dyDescent="0.35">
      <c r="A185" s="54"/>
      <c r="Q185" s="5"/>
    </row>
    <row r="186" spans="1:17" x14ac:dyDescent="0.35">
      <c r="A186" s="54"/>
      <c r="Q186" s="5"/>
    </row>
    <row r="187" spans="1:17" x14ac:dyDescent="0.35">
      <c r="A187" s="54"/>
      <c r="Q187" s="5"/>
    </row>
    <row r="188" spans="1:17" x14ac:dyDescent="0.35">
      <c r="A188" s="54"/>
      <c r="Q188" s="5"/>
    </row>
    <row r="189" spans="1:17" x14ac:dyDescent="0.35">
      <c r="A189" s="54"/>
      <c r="Q189" s="5"/>
    </row>
    <row r="190" spans="1:17" x14ac:dyDescent="0.35">
      <c r="A190" s="54"/>
      <c r="Q190" s="5"/>
    </row>
    <row r="191" spans="1:17" x14ac:dyDescent="0.35">
      <c r="A191" s="54"/>
      <c r="Q191" s="5"/>
    </row>
    <row r="192" spans="1:17" x14ac:dyDescent="0.35">
      <c r="A192" s="54"/>
      <c r="Q192" s="5"/>
    </row>
    <row r="193" spans="1:17" x14ac:dyDescent="0.35">
      <c r="A193" s="54"/>
      <c r="Q193" s="5"/>
    </row>
    <row r="194" spans="1:17" x14ac:dyDescent="0.35">
      <c r="A194" s="54"/>
      <c r="Q194" s="5"/>
    </row>
    <row r="195" spans="1:17" x14ac:dyDescent="0.35">
      <c r="A195" s="54"/>
      <c r="Q195" s="5"/>
    </row>
    <row r="196" spans="1:17" x14ac:dyDescent="0.35">
      <c r="A196" s="54"/>
      <c r="Q196" s="5"/>
    </row>
    <row r="197" spans="1:17" x14ac:dyDescent="0.35">
      <c r="A197" s="54"/>
      <c r="Q197" s="5"/>
    </row>
    <row r="198" spans="1:17" x14ac:dyDescent="0.35">
      <c r="A198" s="54"/>
      <c r="Q198" s="5"/>
    </row>
    <row r="199" spans="1:17" x14ac:dyDescent="0.35">
      <c r="A199" s="54"/>
      <c r="Q199" s="5"/>
    </row>
    <row r="200" spans="1:17" x14ac:dyDescent="0.35">
      <c r="A200" s="49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1"/>
    </row>
  </sheetData>
  <mergeCells count="42"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C3:F3"/>
    <mergeCell ref="B5:H5"/>
    <mergeCell ref="B7:E7"/>
    <mergeCell ref="F7:G7"/>
    <mergeCell ref="A9:B9"/>
    <mergeCell ref="C9:D9"/>
    <mergeCell ref="F9:H9"/>
  </mergeCells>
  <dataValidations count="5">
    <dataValidation allowBlank="1" showInputMessage="1" showErrorMessage="1" prompt="Enter Owner Change Order Number." sqref="H7" xr:uid="{1FB645DA-E8D8-47CB-9B9F-272B7A06D8B1}"/>
    <dataValidation allowBlank="1" showInputMessage="1" showErrorMessage="1" prompt="This cell must contain a negative number (-100)" sqref="F31:G31 G32:G40" xr:uid="{DAA75662-4BDB-40BD-9000-41F8005B3BB5}"/>
    <dataValidation allowBlank="1" showInputMessage="1" showErrorMessage="1" prompt="Enter previous contract amount." sqref="B19:C19" xr:uid="{99826830-0A71-472A-9842-90932CD8263E}"/>
    <dataValidation allowBlank="1" showInputMessage="1" showErrorMessage="1" prompt="Enter a new Subcontractor Change Order Number." sqref="C10:D10" xr:uid="{62A45187-5F2E-4AB9-8918-C9521ACF34C7}"/>
    <dataValidation allowBlank="1" showErrorMessage="1" sqref="H49 A31:D40 F31:F40 C9:D9 C11:D11" xr:uid="{6CE460E4-FA08-4FE5-A5AE-6540D0B1AF0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4D1D-6B75-4034-A0BC-D2B776027CBB}">
          <x14:formula1>
            <xm:f>Contacts!$F$2:$F$2000</xm:f>
          </x14:formula1>
          <xm:sqref>F9:H9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D48A-CDD5-4EB6-9260-F3C0B206B662}">
  <dimension ref="A1:Q200"/>
  <sheetViews>
    <sheetView showZeros="0" workbookViewId="0">
      <selection activeCell="B2" sqref="B2:L2"/>
    </sheetView>
  </sheetViews>
  <sheetFormatPr defaultRowHeight="14.5" x14ac:dyDescent="0.35"/>
  <cols>
    <col min="1" max="1" width="9.7265625" customWidth="1"/>
    <col min="2" max="2" width="11.81640625" customWidth="1"/>
    <col min="3" max="3" width="6.453125" customWidth="1"/>
    <col min="4" max="4" width="12" customWidth="1"/>
    <col min="5" max="5" width="13.26953125" customWidth="1"/>
    <col min="6" max="6" width="14.26953125" customWidth="1"/>
    <col min="7" max="7" width="12.26953125" customWidth="1"/>
    <col min="8" max="8" width="10.453125" bestFit="1" customWidth="1"/>
  </cols>
  <sheetData>
    <row r="1" spans="1:17" ht="16" x14ac:dyDescent="0.35">
      <c r="A1" s="48">
        <f>View_Print!B2</f>
        <v>0</v>
      </c>
      <c r="B1" s="96" t="str">
        <f>HYPERLINK("https://datamateapp.github.io/Donate%205%20per%20mo.html", "All Apps are free of charge with no ads. Please support DataMateApp and help us grow!")</f>
        <v>All Apps are free of charge with no ads. Please support DataMateApp and help us grow!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48" t="str">
        <f>Input!M1</f>
        <v>Update 1</v>
      </c>
      <c r="N1" s="48" t="str">
        <f>Input!N1</f>
        <v>Update 2</v>
      </c>
      <c r="O1" s="48" t="str">
        <f>Input!O1</f>
        <v>Update 3</v>
      </c>
      <c r="P1" s="48"/>
      <c r="Q1" s="48"/>
    </row>
    <row r="2" spans="1:17" x14ac:dyDescent="0.35">
      <c r="A2" s="48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t="e">
        <f>VLOOKUP(A1,Update!$A$1:$P$1000000,2,FALSE)</f>
        <v>#N/A</v>
      </c>
      <c r="N2" t="e">
        <f>VLOOKUP(A1,Update!$A$1:$P$1000000,3,FALSE)</f>
        <v>#N/A</v>
      </c>
      <c r="O2" t="e">
        <f>VLOOKUP(A1,Update!$A$1:$P$1000000,4,FALSE)</f>
        <v>#N/A</v>
      </c>
      <c r="P2" s="48"/>
      <c r="Q2" s="48"/>
    </row>
    <row r="3" spans="1:17" ht="20" x14ac:dyDescent="0.4">
      <c r="A3" s="1" t="e">
        <f>VLOOKUP(A1,Data!$A$1:$DZU$1000000,36,FALSE)</f>
        <v>#N/A</v>
      </c>
      <c r="B3" s="2" t="e">
        <f>VLOOKUP(A1,Data!$A$1:$DZU$1000000,37,FALSE)</f>
        <v>#N/A</v>
      </c>
      <c r="C3" s="69" t="e">
        <f>VLOOKUP(A1,Data!$A$1:$DZU$1000000,38,FALSE)</f>
        <v>#N/A</v>
      </c>
      <c r="D3" s="70"/>
      <c r="E3" s="70"/>
      <c r="F3" s="70"/>
      <c r="G3" s="3" t="e">
        <f>VLOOKUP(A1,Data!$A$1:$DZU$1000000,42,FALSE)</f>
        <v>#N/A</v>
      </c>
      <c r="H3" s="3" t="e">
        <f>VLOOKUP(A1,Data!$A$1:$DZU$1000000,43,FALSE)</f>
        <v>#N/A</v>
      </c>
      <c r="I3" s="24" t="e">
        <f>VLOOKUP(A1,Data!$A$1:$DZU$1000000,44,FALSE)</f>
        <v>#N/A</v>
      </c>
      <c r="J3" s="52" t="e">
        <f>VLOOKUP(A1,Data!$A$1:$DZU$1000000,45,FALSE)</f>
        <v>#N/A</v>
      </c>
      <c r="K3" s="52" t="e">
        <f>VLOOKUP(A1,Data!$A$1:$DZU$1000000,46,FALSE)</f>
        <v>#N/A</v>
      </c>
      <c r="L3" s="52" t="e">
        <f>VLOOKUP(A1,Data!$A$1:$DZU$1000000,47,FALSE)</f>
        <v>#N/A</v>
      </c>
      <c r="M3" s="52" t="e">
        <f>VLOOKUP(A1,Data!$A$1:$DZU$1000000,48,FALSE)</f>
        <v>#N/A</v>
      </c>
      <c r="N3" s="52" t="e">
        <f>VLOOKUP(A1,Data!$A$1:$DZU$1000000,49,FALSE)</f>
        <v>#N/A</v>
      </c>
      <c r="O3" s="52" t="e">
        <f>VLOOKUP(A1,Data!$A$1:$DZU$1000000,50,FALSE)</f>
        <v>#N/A</v>
      </c>
      <c r="P3" s="52" t="e">
        <f>VLOOKUP(A1,Data!$A$1:$DZU$1000000,51,FALSE)</f>
        <v>#N/A</v>
      </c>
      <c r="Q3" s="53" t="e">
        <f>VLOOKUP(A1,Data!$A$1:$DZU$1000000,52,FALSE)</f>
        <v>#N/A</v>
      </c>
    </row>
    <row r="4" spans="1:17" x14ac:dyDescent="0.35">
      <c r="A4" s="3" t="e">
        <f>VLOOKUP(A1,Data!$A$1:$DZU$1000000,53,FALSE)</f>
        <v>#N/A</v>
      </c>
      <c r="B4" s="3" t="e">
        <f>VLOOKUP(A1,Data!$A$1:$DZU$1000000,54,FALSE)</f>
        <v>#N/A</v>
      </c>
      <c r="C4" s="3" t="e">
        <f>VLOOKUP(A1,Data!$A$1:$DZU$1000000,55,FALSE)</f>
        <v>#N/A</v>
      </c>
      <c r="D4" s="4" t="e">
        <f>VLOOKUP(A1,Data!$A$1:$DZU$1000000,56,FALSE)</f>
        <v>#N/A</v>
      </c>
      <c r="E4" s="3" t="e">
        <f>VLOOKUP(A1,Data!$A$1:$DZU$1000000,57,FALSE)</f>
        <v>#N/A</v>
      </c>
      <c r="F4" s="3" t="e">
        <f>VLOOKUP(A1,Data!$A$1:$DZU$1000000,58,FALSE)</f>
        <v>#N/A</v>
      </c>
      <c r="G4" s="3" t="e">
        <f>VLOOKUP(A1,Data!$A$1:$DZU$1000000,59,FALSE)</f>
        <v>#N/A</v>
      </c>
      <c r="H4" s="3" t="e">
        <f>VLOOKUP(A1,Data!$A$1:$DZU$1000000,60,FALSE)</f>
        <v>#N/A</v>
      </c>
      <c r="I4" s="3" t="e">
        <f>VLOOKUP(A1,Data!$A$1:$DZU$1000000,61,FALSE)</f>
        <v>#N/A</v>
      </c>
      <c r="J4" t="e">
        <f>VLOOKUP(A1,Data!$A$1:$DZU$1000000,62,FALSE)</f>
        <v>#N/A</v>
      </c>
      <c r="K4" t="e">
        <f>VLOOKUP(A1,Data!$A$1:$DZU$1000000,63,FALSE)</f>
        <v>#N/A</v>
      </c>
      <c r="L4" t="e">
        <f>VLOOKUP(A1,Data!$A$1:$DZU$1000000,64,FALSE)</f>
        <v>#N/A</v>
      </c>
      <c r="M4" t="e">
        <f>VLOOKUP(A1,Data!$A$1:$DZU$1000000,65,FALSE)</f>
        <v>#N/A</v>
      </c>
      <c r="N4" t="e">
        <f>VLOOKUP(A1,Data!$A$1:$DZU$1000000,66,FALSE)</f>
        <v>#N/A</v>
      </c>
      <c r="O4" t="e">
        <f>VLOOKUP(A1,Data!$A$1:$DZU$1000000,67,FALSE)</f>
        <v>#N/A</v>
      </c>
      <c r="P4" t="e">
        <f>VLOOKUP(A1,Data!$A$1:$DZU$1000000,68,FALSE)</f>
        <v>#N/A</v>
      </c>
      <c r="Q4" s="5" t="e">
        <f>VLOOKUP(A1,Data!$A$1:$DZU$1000000,69,FALSE)</f>
        <v>#N/A</v>
      </c>
    </row>
    <row r="5" spans="1:17" ht="15" thickBot="1" x14ac:dyDescent="0.4">
      <c r="A5" s="3" t="e">
        <f>VLOOKUP(A1,Data!$A$1:$DZU$1000000,70,FALSE)</f>
        <v>#N/A</v>
      </c>
      <c r="B5" s="71" t="e">
        <f>VLOOKUP(A1,Data!$A$1:$DZU$1000000,71,FALSE)</f>
        <v>#N/A</v>
      </c>
      <c r="C5" s="72"/>
      <c r="D5" s="72"/>
      <c r="E5" s="72"/>
      <c r="F5" s="72"/>
      <c r="G5" s="72"/>
      <c r="H5" s="72"/>
      <c r="I5" s="3" t="e">
        <f>VLOOKUP(A1,Data!$A$1:$DZU$1000000,78,FALSE)</f>
        <v>#N/A</v>
      </c>
      <c r="J5" t="e">
        <f>VLOOKUP(A1,Data!$A$1:$DZU$1000000,79,FALSE)</f>
        <v>#N/A</v>
      </c>
      <c r="K5" t="e">
        <f>VLOOKUP(A1,Data!$A$1:$DZU$1000000,80,FALSE)</f>
        <v>#N/A</v>
      </c>
      <c r="L5" t="e">
        <f>VLOOKUP(A1,Data!$A$1:$DZU$1000000,81,FALSE)</f>
        <v>#N/A</v>
      </c>
      <c r="M5" t="e">
        <f>VLOOKUP(A1,Data!$A$1:$DZU$1000000,82,FALSE)</f>
        <v>#N/A</v>
      </c>
      <c r="N5" t="e">
        <f>VLOOKUP(A1,Data!$A$1:$DZU$1000000,83,FALSE)</f>
        <v>#N/A</v>
      </c>
      <c r="O5" t="e">
        <f>VLOOKUP(A1,Data!$A$1:$DZU$1000000,84,FALSE)</f>
        <v>#N/A</v>
      </c>
      <c r="P5" t="e">
        <f>VLOOKUP(A1,Data!$A$1:$DZU$1000000,85,FALSE)</f>
        <v>#N/A</v>
      </c>
      <c r="Q5" s="5" t="e">
        <f>VLOOKUP(A1,Data!$A$1:$DZU$1000000,86,FALSE)</f>
        <v>#N/A</v>
      </c>
    </row>
    <row r="6" spans="1:17" x14ac:dyDescent="0.35">
      <c r="A6" s="3" t="e">
        <f>VLOOKUP(A1,Data!$A$1:$DZU$1000000,87,FALSE)</f>
        <v>#N/A</v>
      </c>
      <c r="B6" s="3" t="e">
        <f>VLOOKUP(A1,Data!$A$1:$DZU$1000000,88,FALSE)</f>
        <v>#N/A</v>
      </c>
      <c r="C6" s="3" t="e">
        <f>VLOOKUP(A1,Data!$A$1:$DZU$1000000,89,FALSE)</f>
        <v>#N/A</v>
      </c>
      <c r="D6" s="3" t="e">
        <f>VLOOKUP(A1,Data!$A$1:$DZU$1000000,90,FALSE)</f>
        <v>#N/A</v>
      </c>
      <c r="E6" s="3" t="e">
        <f>VLOOKUP(A1,Data!$A$1:$DZU$1000000,91,FALSE)</f>
        <v>#N/A</v>
      </c>
      <c r="F6" s="3" t="e">
        <f>VLOOKUP(A1,Data!$A$1:$DZU$1000000,92,FALSE)</f>
        <v>#N/A</v>
      </c>
      <c r="G6" s="3" t="e">
        <f>VLOOKUP(A1,Data!$A$1:$DZU$1000000,93,FALSE)</f>
        <v>#N/A</v>
      </c>
      <c r="H6" s="3" t="e">
        <f>VLOOKUP(A1,Data!$A$1:$DZU$1000000,94,FALSE)</f>
        <v>#N/A</v>
      </c>
      <c r="I6" s="3" t="e">
        <f>VLOOKUP(A1,Data!$A$1:$DZU$1000000,95,FALSE)</f>
        <v>#N/A</v>
      </c>
      <c r="J6" t="e">
        <f>VLOOKUP(A1,Data!$A$1:$DZU$1000000,96,FALSE)</f>
        <v>#N/A</v>
      </c>
      <c r="K6" t="e">
        <f>VLOOKUP(A1,Data!$A$1:$DZU$1000000,97,FALSE)</f>
        <v>#N/A</v>
      </c>
      <c r="L6" t="e">
        <f>VLOOKUP(A1,Data!$A$1:$DZU$1000000,98,FALSE)</f>
        <v>#N/A</v>
      </c>
      <c r="M6" t="e">
        <f>VLOOKUP(A1,Data!$A$1:$DZU$1000000,99,FALSE)</f>
        <v>#N/A</v>
      </c>
      <c r="N6" t="e">
        <f>VLOOKUP(A1,Data!$A$1:$DZU$1000000,100,FALSE)</f>
        <v>#N/A</v>
      </c>
      <c r="O6" t="e">
        <f>VLOOKUP(A1,Data!$A$1:$DZU$1000000,101,FALSE)</f>
        <v>#N/A</v>
      </c>
      <c r="P6" t="e">
        <f>VLOOKUP(A1,Data!$A$1:$DZU$1000000,102,FALSE)</f>
        <v>#N/A</v>
      </c>
      <c r="Q6" s="5" t="e">
        <f>VLOOKUP(A1,Data!$A$1:$DZU$1000000,103,FALSE)</f>
        <v>#N/A</v>
      </c>
    </row>
    <row r="7" spans="1:17" ht="15" thickBot="1" x14ac:dyDescent="0.4">
      <c r="A7" s="3" t="e">
        <f>VLOOKUP(A1,Data!$A$1:$DZU$1000000,104,FALSE)</f>
        <v>#N/A</v>
      </c>
      <c r="B7" s="71" t="e">
        <f>VLOOKUP(A1,Data!$A$1:$DZU$1000000,105,FALSE)</f>
        <v>#N/A</v>
      </c>
      <c r="C7" s="72"/>
      <c r="D7" s="72"/>
      <c r="E7" s="72"/>
      <c r="F7" s="73" t="e">
        <f>VLOOKUP(A1,Data!$A$1:$DZU$1000000,109,FALSE)</f>
        <v>#N/A</v>
      </c>
      <c r="G7" s="74"/>
      <c r="H7" s="6" t="e">
        <f>VLOOKUP(A1,Data!$A$1:$DZU$1000000,111,FALSE)</f>
        <v>#N/A</v>
      </c>
      <c r="I7" s="3" t="e">
        <f>VLOOKUP(A1,Data!$A$1:$DZU$1000000,112,FALSE)</f>
        <v>#N/A</v>
      </c>
      <c r="J7" t="e">
        <f>VLOOKUP(A1,Data!$A$1:$DZU$1000000,113,FALSE)</f>
        <v>#N/A</v>
      </c>
      <c r="K7" t="e">
        <f>VLOOKUP(A1,Data!$A$1:$DZU$1000000,114,FALSE)</f>
        <v>#N/A</v>
      </c>
      <c r="L7" t="e">
        <f>VLOOKUP(A1,Data!$A$1:$DZU$1000000,115,FALSE)</f>
        <v>#N/A</v>
      </c>
      <c r="M7" t="e">
        <f>VLOOKUP(A1,Data!$A$1:$DZU$1000000,116,FALSE)</f>
        <v>#N/A</v>
      </c>
      <c r="N7" t="e">
        <f>VLOOKUP(A1,Data!$A$1:$DZU$1000000,117,FALSE)</f>
        <v>#N/A</v>
      </c>
      <c r="O7" t="e">
        <f>VLOOKUP(A1,Data!$A$1:$DZU$1000000,118,FALSE)</f>
        <v>#N/A</v>
      </c>
      <c r="P7" t="e">
        <f>VLOOKUP(A1,Data!$A$1:$DZU$1000000,119,FALSE)</f>
        <v>#N/A</v>
      </c>
      <c r="Q7" s="5" t="e">
        <f>VLOOKUP(A1,Data!$A$1:$DZU$1000000,120,FALSE)</f>
        <v>#N/A</v>
      </c>
    </row>
    <row r="8" spans="1:17" x14ac:dyDescent="0.35">
      <c r="A8" s="3" t="e">
        <f>VLOOKUP(A1,Data!$A$1:$DZU$1000000,121,FALSE)</f>
        <v>#N/A</v>
      </c>
      <c r="B8" s="3" t="e">
        <f>VLOOKUP(A1,Data!$A$1:$DZU$1000000,122,FALSE)</f>
        <v>#N/A</v>
      </c>
      <c r="C8" s="3" t="e">
        <f>VLOOKUP(A1,Data!$A$1:$DZU$1000000,123,FALSE)</f>
        <v>#N/A</v>
      </c>
      <c r="D8" s="3" t="e">
        <f>VLOOKUP(A1,Data!$A$1:$DZU$1000000,124,FALSE)</f>
        <v>#N/A</v>
      </c>
      <c r="E8" s="3" t="e">
        <f>VLOOKUP(A1,Data!$A$1:$DZU$1000000,125,FALSE)</f>
        <v>#N/A</v>
      </c>
      <c r="F8" s="3" t="e">
        <f>VLOOKUP(A1,Data!$A$1:$DZU$1000000,126,FALSE)</f>
        <v>#N/A</v>
      </c>
      <c r="G8" s="3" t="e">
        <f>VLOOKUP(A1,Data!$A$1:$DZU$1000000,127,FALSE)</f>
        <v>#N/A</v>
      </c>
      <c r="H8" s="3" t="e">
        <f>VLOOKUP(A1,Data!$A$1:$DZU$1000000,128,FALSE)</f>
        <v>#N/A</v>
      </c>
      <c r="I8" s="3" t="e">
        <f>VLOOKUP(A1,Data!$A$1:$DZU$1000000,129,FALSE)</f>
        <v>#N/A</v>
      </c>
      <c r="J8" t="e">
        <f>VLOOKUP(A1,Data!$A$1:$DZU$1000000,130,FALSE)</f>
        <v>#N/A</v>
      </c>
      <c r="K8" t="e">
        <f>VLOOKUP(A1,Data!$A$1:$DZU$1000000,131,FALSE)</f>
        <v>#N/A</v>
      </c>
      <c r="L8" t="e">
        <f>VLOOKUP(A1,Data!$A$1:$DZU$1000000,132,FALSE)</f>
        <v>#N/A</v>
      </c>
      <c r="M8" t="e">
        <f>VLOOKUP(A1,Data!$A$1:$DZU$1000000,133,FALSE)</f>
        <v>#N/A</v>
      </c>
      <c r="N8" t="e">
        <f>VLOOKUP(A1,Data!$A$1:$DZU$1000000,134,FALSE)</f>
        <v>#N/A</v>
      </c>
      <c r="O8" t="e">
        <f>VLOOKUP(A1,Data!$A$1:$DZU$1000000,135,FALSE)</f>
        <v>#N/A</v>
      </c>
      <c r="P8" t="e">
        <f>VLOOKUP(A1,Data!$A$1:$DZU$1000000,136,FALSE)</f>
        <v>#N/A</v>
      </c>
      <c r="Q8" s="5" t="e">
        <f>VLOOKUP(A1,Data!$A$1:$DZU$1000000,137,FALSE)</f>
        <v>#N/A</v>
      </c>
    </row>
    <row r="9" spans="1:17" x14ac:dyDescent="0.35">
      <c r="A9" s="73" t="e">
        <f>VLOOKUP(A1,Data!$A$1:$DZU$1000000,138,FALSE)</f>
        <v>#N/A</v>
      </c>
      <c r="B9" s="74"/>
      <c r="C9" s="75" t="e">
        <f>VLOOKUP(A1,Data!$A$1:$DZU$1000000,140,FALSE)</f>
        <v>#N/A</v>
      </c>
      <c r="D9" s="75"/>
      <c r="E9" s="3" t="e">
        <f>VLOOKUP(A1,Data!$A$1:$DZU$1000000,142,FALSE)</f>
        <v>#N/A</v>
      </c>
      <c r="F9" s="76" t="e">
        <f>VLOOKUP(A1,Data!$A$1:$DZU$1000000,143,FALSE)</f>
        <v>#N/A</v>
      </c>
      <c r="G9" s="76"/>
      <c r="H9" s="76"/>
      <c r="I9" s="3" t="e">
        <f>VLOOKUP(A1,Data!$A$1:$DZU$1000000,146,FALSE)</f>
        <v>#N/A</v>
      </c>
      <c r="J9" t="e">
        <f>VLOOKUP(A1,Data!$A$1:$DZU$1000000,147,FALSE)</f>
        <v>#N/A</v>
      </c>
      <c r="K9" t="e">
        <f>VLOOKUP(A1,Data!$A$1:$DZU$1000000,148,FALSE)</f>
        <v>#N/A</v>
      </c>
      <c r="L9" t="e">
        <f>VLOOKUP(A1,Data!$A$1:$DZU$1000000,149,FALSE)</f>
        <v>#N/A</v>
      </c>
      <c r="M9" t="e">
        <f>VLOOKUP(A1,Data!$A$1:$DZU$1000000,150,FALSE)</f>
        <v>#N/A</v>
      </c>
      <c r="N9" t="e">
        <f>VLOOKUP(A1,Data!$A$1:$DZU$1000000,151,FALSE)</f>
        <v>#N/A</v>
      </c>
      <c r="O9" t="e">
        <f>VLOOKUP(A1,Data!$A$1:$DZU$1000000,152,FALSE)</f>
        <v>#N/A</v>
      </c>
      <c r="P9" t="e">
        <f>VLOOKUP(A1,Data!$A$1:$DZU$1000000,153,FALSE)</f>
        <v>#N/A</v>
      </c>
      <c r="Q9" s="5" t="e">
        <f>VLOOKUP(A1,Data!$A$1:$DZU$1000000,154,FALSE)</f>
        <v>#N/A</v>
      </c>
    </row>
    <row r="10" spans="1:17" x14ac:dyDescent="0.35">
      <c r="A10" s="73" t="e">
        <f>VLOOKUP(A1,Data!$A$1:$DZU$1000000,155,FALSE)</f>
        <v>#N/A</v>
      </c>
      <c r="B10" s="74"/>
      <c r="C10" s="75" t="e">
        <f>VLOOKUP(A1,Data!$A$1:$DZU$1000000,157,FALSE)</f>
        <v>#N/A</v>
      </c>
      <c r="D10" s="75"/>
      <c r="E10" s="3" t="e">
        <f>VLOOKUP(A1,Data!$A$1:$DZU$1000000,159,FALSE)</f>
        <v>#N/A</v>
      </c>
      <c r="F10" s="77" t="e">
        <f>VLOOKUP(A1,Data!$A$1:$DZU$1000000,160,FALSE)</f>
        <v>#N/A</v>
      </c>
      <c r="G10" s="77"/>
      <c r="H10" s="77"/>
      <c r="I10" s="3" t="e">
        <f>VLOOKUP(A1,Data!$A$1:$DZU$1000000,163,FALSE)</f>
        <v>#N/A</v>
      </c>
      <c r="J10" t="e">
        <f>VLOOKUP(A1,Data!$A$1:$DZU$1000000,164,FALSE)</f>
        <v>#N/A</v>
      </c>
      <c r="K10" t="e">
        <f>VLOOKUP(A1,Data!$A$1:$DZU$1000000,165,FALSE)</f>
        <v>#N/A</v>
      </c>
      <c r="L10" t="e">
        <f>VLOOKUP(A1,Data!$A$1:$DZU$1000000,166,FALSE)</f>
        <v>#N/A</v>
      </c>
      <c r="M10" t="e">
        <f>VLOOKUP(A1,Data!$A$1:$DZU$1000000,167,FALSE)</f>
        <v>#N/A</v>
      </c>
      <c r="N10" t="e">
        <f>VLOOKUP(A1,Data!$A$1:$DZU$1000000,168,FALSE)</f>
        <v>#N/A</v>
      </c>
      <c r="O10" t="e">
        <f>VLOOKUP(A1,Data!$A$1:$DZU$1000000,169,FALSE)</f>
        <v>#N/A</v>
      </c>
      <c r="P10" t="e">
        <f>VLOOKUP(A1,Data!$A$1:$DZU$1000000,170,FALSE)</f>
        <v>#N/A</v>
      </c>
      <c r="Q10" s="5" t="e">
        <f>VLOOKUP(A1,Data!$A$1:$DZU$1000000,171,FALSE)</f>
        <v>#N/A</v>
      </c>
    </row>
    <row r="11" spans="1:17" x14ac:dyDescent="0.35">
      <c r="A11" s="73" t="e">
        <f>VLOOKUP(A1,Data!$A$1:$DZU$1000000,172,FALSE)</f>
        <v>#N/A</v>
      </c>
      <c r="B11" s="74"/>
      <c r="C11" s="75" t="e">
        <f>VLOOKUP(A1,Data!$A$1:$DZU$1000000,174,FALSE)</f>
        <v>#N/A</v>
      </c>
      <c r="D11" s="75"/>
      <c r="E11" s="3" t="e">
        <f>VLOOKUP(A1,Data!$A$1:$DZU$1000000,176,FALSE)</f>
        <v>#N/A</v>
      </c>
      <c r="F11" s="77" t="e">
        <f>VLOOKUP(A1,Data!$A$1:$DZU$1000000,177,FALSE)</f>
        <v>#N/A</v>
      </c>
      <c r="G11" s="78"/>
      <c r="H11" s="78"/>
      <c r="I11" s="3" t="e">
        <f>VLOOKUP(A1,Data!$A$1:$DZU$1000000,180,FALSE)</f>
        <v>#N/A</v>
      </c>
      <c r="J11" t="e">
        <f>VLOOKUP(A1,Data!$A$1:$DZU$1000000,181,FALSE)</f>
        <v>#N/A</v>
      </c>
      <c r="K11" t="e">
        <f>VLOOKUP(A1,Data!$A$1:$DZU$1000000,182,FALSE)</f>
        <v>#N/A</v>
      </c>
      <c r="L11" t="e">
        <f>VLOOKUP(A1,Data!$A$1:$DZU$1000000,183,FALSE)</f>
        <v>#N/A</v>
      </c>
      <c r="M11" t="e">
        <f>VLOOKUP(A1,Data!$A$1:$DZU$1000000,184,FALSE)</f>
        <v>#N/A</v>
      </c>
      <c r="N11" t="e">
        <f>VLOOKUP(A1,Data!$A$1:$DZU$1000000,185,FALSE)</f>
        <v>#N/A</v>
      </c>
      <c r="O11" t="e">
        <f>VLOOKUP(A1,Data!$A$1:$DZU$1000000,186,FALSE)</f>
        <v>#N/A</v>
      </c>
      <c r="P11" t="e">
        <f>VLOOKUP(A1,Data!$A$1:$DZU$1000000,187,FALSE)</f>
        <v>#N/A</v>
      </c>
      <c r="Q11" s="5" t="e">
        <f>VLOOKUP(A1,Data!$A$1:$DZU$1000000,188,FALSE)</f>
        <v>#N/A</v>
      </c>
    </row>
    <row r="12" spans="1:17" x14ac:dyDescent="0.35">
      <c r="A12" s="81" t="e">
        <f>VLOOKUP(A1,Data!$A$1:$DZU$1000000,189,FALSE)</f>
        <v>#N/A</v>
      </c>
      <c r="B12" s="80"/>
      <c r="C12" s="80"/>
      <c r="D12" s="80"/>
      <c r="E12" s="80"/>
      <c r="F12" s="80"/>
      <c r="G12" s="80"/>
      <c r="H12" s="80"/>
      <c r="I12" s="3" t="e">
        <f>VLOOKUP(A1,Data!$A$1:$DZU$1000000,197,FALSE)</f>
        <v>#N/A</v>
      </c>
      <c r="J12" t="e">
        <f>VLOOKUP(A1,Data!$A$1:$DZU$1000000,198,FALSE)</f>
        <v>#N/A</v>
      </c>
      <c r="K12" t="e">
        <f>VLOOKUP(A1,Data!$A$1:$DZU$1000000,199,FALSE)</f>
        <v>#N/A</v>
      </c>
      <c r="L12" t="e">
        <f>VLOOKUP(A1,Data!$A$1:$DZU$1000000,200,FALSE)</f>
        <v>#N/A</v>
      </c>
      <c r="M12" t="e">
        <f>VLOOKUP(A1,Data!$A$1:$DZU$1000000,201,FALSE)</f>
        <v>#N/A</v>
      </c>
      <c r="N12" t="e">
        <f>VLOOKUP(A1,Data!$A$1:$DZU$1000000,202,FALSE)</f>
        <v>#N/A</v>
      </c>
      <c r="O12" t="e">
        <f>VLOOKUP(A1,Data!$A$1:$DZU$1000000,203,FALSE)</f>
        <v>#N/A</v>
      </c>
      <c r="P12" t="e">
        <f>VLOOKUP(A1,Data!$A$1:$DZU$1000000,204,FALSE)</f>
        <v>#N/A</v>
      </c>
      <c r="Q12" s="5" t="e">
        <f>VLOOKUP(A1,Data!$A$1:$DZU$1000000,205,FALSE)</f>
        <v>#N/A</v>
      </c>
    </row>
    <row r="13" spans="1:17" ht="14.5" customHeight="1" x14ac:dyDescent="0.35">
      <c r="A13" s="82" t="e">
        <f>VLOOKUP(A1,Data!$A$1:$DZU$1000000,206,FALSE)</f>
        <v>#N/A</v>
      </c>
      <c r="B13" s="82"/>
      <c r="C13" s="82"/>
      <c r="D13" s="82"/>
      <c r="E13" s="82"/>
      <c r="F13" s="82"/>
      <c r="G13" s="82"/>
      <c r="H13" s="82"/>
      <c r="I13" s="3" t="e">
        <f>VLOOKUP(A1,Data!$A$1:$DZU$1000000,214,FALSE)</f>
        <v>#N/A</v>
      </c>
      <c r="J13" t="e">
        <f>VLOOKUP(A1,Data!$A$1:$DZU$1000000,215,FALSE)</f>
        <v>#N/A</v>
      </c>
      <c r="K13" t="e">
        <f>VLOOKUP(A1,Data!$A$1:$DZU$1000000,216,FALSE)</f>
        <v>#N/A</v>
      </c>
      <c r="L13" t="e">
        <f>VLOOKUP(A1,Data!$A$1:$DZU$1000000,217,FALSE)</f>
        <v>#N/A</v>
      </c>
      <c r="M13" t="e">
        <f>VLOOKUP(A1,Data!$A$1:$DZU$1000000,218,FALSE)</f>
        <v>#N/A</v>
      </c>
      <c r="N13" t="e">
        <f>VLOOKUP(A1,Data!$A$1:$DZU$1000000,219,FALSE)</f>
        <v>#N/A</v>
      </c>
      <c r="O13" t="e">
        <f>VLOOKUP(A1,Data!$A$1:$DZU$1000000,220,FALSE)</f>
        <v>#N/A</v>
      </c>
      <c r="P13" t="e">
        <f>VLOOKUP(A1,Data!$A$1:$DZU$1000000,221,FALSE)</f>
        <v>#N/A</v>
      </c>
      <c r="Q13" s="5" t="e">
        <f>VLOOKUP(A1,Data!$A$1:$DZU$1000000,222,FALSE)</f>
        <v>#N/A</v>
      </c>
    </row>
    <row r="14" spans="1:17" x14ac:dyDescent="0.35">
      <c r="A14" s="82"/>
      <c r="B14" s="82"/>
      <c r="C14" s="82"/>
      <c r="D14" s="82"/>
      <c r="E14" s="82"/>
      <c r="F14" s="82"/>
      <c r="G14" s="82"/>
      <c r="H14" s="82"/>
      <c r="I14" s="3" t="e">
        <f>VLOOKUP(A1,Data!$A$1:$DZU$1000000,231,FALSE)</f>
        <v>#N/A</v>
      </c>
      <c r="J14" t="e">
        <f>VLOOKUP(A1,Data!$A$1:$DZU$1000000,232,FALSE)</f>
        <v>#N/A</v>
      </c>
      <c r="K14" t="e">
        <f>VLOOKUP(A1,Data!$A$1:$DZU$1000000,233,FALSE)</f>
        <v>#N/A</v>
      </c>
      <c r="L14" t="e">
        <f>VLOOKUP(A1,Data!$A$1:$DZU$1000000,234,FALSE)</f>
        <v>#N/A</v>
      </c>
      <c r="M14" t="e">
        <f>VLOOKUP(A1,Data!$A$1:$DZU$1000000,235,FALSE)</f>
        <v>#N/A</v>
      </c>
      <c r="N14" t="e">
        <f>VLOOKUP(A1,Data!$A$1:$DZU$1000000,236,FALSE)</f>
        <v>#N/A</v>
      </c>
      <c r="O14" t="e">
        <f>VLOOKUP(A1,Data!$A$1:$DZU$1000000,237,FALSE)</f>
        <v>#N/A</v>
      </c>
      <c r="P14" t="e">
        <f>VLOOKUP(A1,Data!$A$1:$DZU$1000000,238,FALSE)</f>
        <v>#N/A</v>
      </c>
      <c r="Q14" s="5" t="e">
        <f>VLOOKUP(A1,Data!$A$1:$DZU$1000000,239,FALSE)</f>
        <v>#N/A</v>
      </c>
    </row>
    <row r="15" spans="1:17" ht="15" thickBot="1" x14ac:dyDescent="0.4">
      <c r="A15" s="82"/>
      <c r="B15" s="82"/>
      <c r="C15" s="82"/>
      <c r="D15" s="82"/>
      <c r="E15" s="82"/>
      <c r="F15" s="82"/>
      <c r="G15" s="82"/>
      <c r="H15" s="82"/>
      <c r="I15" s="3" t="e">
        <f>VLOOKUP(A1,Data!$A$1:$DZU$1000000,248,FALSE)</f>
        <v>#N/A</v>
      </c>
      <c r="J15" t="e">
        <f>VLOOKUP(A1,Data!$A$1:$DZU$1000000,249,FALSE)</f>
        <v>#N/A</v>
      </c>
      <c r="K15" t="e">
        <f>VLOOKUP(A1,Data!$A$1:$DZU$1000000,250,FALSE)</f>
        <v>#N/A</v>
      </c>
      <c r="L15" t="e">
        <f>VLOOKUP(A1,Data!$A$1:$DZU$1000000,251,FALSE)</f>
        <v>#N/A</v>
      </c>
      <c r="M15" t="e">
        <f>VLOOKUP(A1,Data!$A$1:$DZU$1000000,252,FALSE)</f>
        <v>#N/A</v>
      </c>
      <c r="N15" t="e">
        <f>VLOOKUP(A1,Data!$A$1:$DZU$1000000,253,FALSE)</f>
        <v>#N/A</v>
      </c>
      <c r="O15" t="e">
        <f>VLOOKUP(A1,Data!$A$1:$DZU$1000000,254,FALSE)</f>
        <v>#N/A</v>
      </c>
      <c r="P15" t="e">
        <f>VLOOKUP(A1,Data!$A$1:$DZU$1000000,255,FALSE)</f>
        <v>#N/A</v>
      </c>
      <c r="Q15" s="5" t="e">
        <f>VLOOKUP(A1,Data!$A$1:$DZU$1000000,256,FALSE)</f>
        <v>#N/A</v>
      </c>
    </row>
    <row r="16" spans="1:17" x14ac:dyDescent="0.35">
      <c r="A16" s="3" t="e">
        <f>VLOOKUP(A1,Data!$A$1:$DZU$1000000,257,FALSE)</f>
        <v>#N/A</v>
      </c>
      <c r="B16" s="83" t="e">
        <f>VLOOKUP(A1,Data!$A$1:$DZU$1000000,258,FALSE)</f>
        <v>#N/A</v>
      </c>
      <c r="C16" s="84"/>
      <c r="D16" s="8" t="e">
        <f>VLOOKUP(A1,Data!$A$1:$DZU$1000000,260,FALSE)</f>
        <v>#N/A</v>
      </c>
      <c r="E16" s="8" t="e">
        <f>VLOOKUP(A1,Data!$A$1:$DZU$1000000,261,FALSE)</f>
        <v>#N/A</v>
      </c>
      <c r="F16" s="8" t="e">
        <f>VLOOKUP(A1,Data!$A$1:$DZU$1000000,262,FALSE)</f>
        <v>#N/A</v>
      </c>
      <c r="G16" s="83" t="e">
        <f>VLOOKUP(A1,Data!$A$1:$DZU$1000000,263,FALSE)</f>
        <v>#N/A</v>
      </c>
      <c r="H16" s="84"/>
      <c r="I16" s="3" t="e">
        <f>VLOOKUP(A1,Data!$A$1:$DZU$1000000,265,FALSE)</f>
        <v>#N/A</v>
      </c>
      <c r="J16" t="e">
        <f>VLOOKUP(A1,Data!$A$1:$DZU$1000000,266,FALSE)</f>
        <v>#N/A</v>
      </c>
      <c r="K16" t="e">
        <f>VLOOKUP(A1,Data!$A$1:$DZU$1000000,267,FALSE)</f>
        <v>#N/A</v>
      </c>
      <c r="L16" t="e">
        <f>VLOOKUP(A1,Data!$A$1:$DZU$1000000,268,FALSE)</f>
        <v>#N/A</v>
      </c>
      <c r="M16" t="e">
        <f>VLOOKUP(A1,Data!$A$1:$DZU$1000000,269,FALSE)</f>
        <v>#N/A</v>
      </c>
      <c r="N16" t="e">
        <f>VLOOKUP(A1,Data!$A$1:$DZU$1000000,270,FALSE)</f>
        <v>#N/A</v>
      </c>
      <c r="O16" t="e">
        <f>VLOOKUP(A1,Data!$A$1:$DZU$1000000,271,FALSE)</f>
        <v>#N/A</v>
      </c>
      <c r="P16" t="e">
        <f>VLOOKUP(A1,Data!$A$1:$DZU$1000000,272,FALSE)</f>
        <v>#N/A</v>
      </c>
      <c r="Q16" s="5" t="e">
        <f>VLOOKUP(A1,Data!$A$1:$DZU$1000000,273,FALSE)</f>
        <v>#N/A</v>
      </c>
    </row>
    <row r="17" spans="1:17" ht="15" thickBot="1" x14ac:dyDescent="0.4">
      <c r="A17" s="3" t="e">
        <f>VLOOKUP(A1,Data!$A$1:$DZU$1000000,274,FALSE)</f>
        <v>#N/A</v>
      </c>
      <c r="B17" s="85" t="e">
        <f>VLOOKUP(A1,Data!$A$1:$DZU$1000000,275,FALSE)</f>
        <v>#N/A</v>
      </c>
      <c r="C17" s="86"/>
      <c r="D17" s="9" t="e">
        <f>VLOOKUP(A1,Data!$A$1:$DZU$1000000,277,FALSE)</f>
        <v>#N/A</v>
      </c>
      <c r="E17" s="9" t="e">
        <f>VLOOKUP(A1,Data!$A$1:$DZU$1000000,278,FALSE)</f>
        <v>#N/A</v>
      </c>
      <c r="F17" s="9" t="e">
        <f>VLOOKUP(A1,Data!$A$1:$DZU$1000000,279,FALSE)</f>
        <v>#N/A</v>
      </c>
      <c r="G17" s="85" t="e">
        <f>VLOOKUP(A1,Data!$A$1:$DZU$1000000,280,FALSE)</f>
        <v>#N/A</v>
      </c>
      <c r="H17" s="86"/>
      <c r="I17" s="3" t="e">
        <f>VLOOKUP(A1,Data!$A$1:$DZU$1000000,282,FALSE)</f>
        <v>#N/A</v>
      </c>
      <c r="J17" t="e">
        <f>VLOOKUP(A1,Data!$A$1:$DZU$1000000,283,FALSE)</f>
        <v>#N/A</v>
      </c>
      <c r="K17" t="e">
        <f>VLOOKUP(A1,Data!$A$1:$DZU$1000000,284,FALSE)</f>
        <v>#N/A</v>
      </c>
      <c r="L17" t="e">
        <f>VLOOKUP(A1,Data!$A$1:$DZU$1000000,285,FALSE)</f>
        <v>#N/A</v>
      </c>
      <c r="M17" t="e">
        <f>VLOOKUP(A1,Data!$A$1:$DZU$1000000,286,FALSE)</f>
        <v>#N/A</v>
      </c>
      <c r="N17" t="e">
        <f>VLOOKUP(A1,Data!$A$1:$DZU$1000000,287,FALSE)</f>
        <v>#N/A</v>
      </c>
      <c r="O17" t="e">
        <f>VLOOKUP(A1,Data!$A$1:$DZU$1000000,288,FALSE)</f>
        <v>#N/A</v>
      </c>
      <c r="P17" t="e">
        <f>VLOOKUP(A1,Data!$A$1:$DZU$1000000,289,FALSE)</f>
        <v>#N/A</v>
      </c>
      <c r="Q17" s="5" t="e">
        <f>VLOOKUP(A1,Data!$A$1:$DZU$1000000,290,FALSE)</f>
        <v>#N/A</v>
      </c>
    </row>
    <row r="18" spans="1:17" ht="15" thickBot="1" x14ac:dyDescent="0.4">
      <c r="A18" s="3" t="e">
        <f>VLOOKUP(A1,Data!$A$1:$DZU$1000000,291,FALSE)</f>
        <v>#N/A</v>
      </c>
      <c r="B18" s="3" t="e">
        <f>VLOOKUP(A1,Data!$A$1:$DZU$1000000,292,FALSE)</f>
        <v>#N/A</v>
      </c>
      <c r="C18" s="3" t="e">
        <f>VLOOKUP(A1,Data!$A$1:$DZU$1000000,293,FALSE)</f>
        <v>#N/A</v>
      </c>
      <c r="D18" s="3" t="e">
        <f>VLOOKUP(A1,Data!$A$1:$DZU$1000000,294,FALSE)</f>
        <v>#N/A</v>
      </c>
      <c r="E18" s="3" t="e">
        <f>VLOOKUP(A1,Data!$A$1:$DZU$1000000,295,FALSE)</f>
        <v>#N/A</v>
      </c>
      <c r="F18" s="3" t="e">
        <f>VLOOKUP(A1,Data!$A$1:$DZU$1000000,296,FALSE)</f>
        <v>#N/A</v>
      </c>
      <c r="G18" s="3" t="e">
        <f>VLOOKUP(A1,Data!$A$1:$DZU$1000000,297,FALSE)</f>
        <v>#N/A</v>
      </c>
      <c r="H18" s="3" t="e">
        <f>VLOOKUP(A1,Data!$A$1:$DZU$1000000,298,FALSE)</f>
        <v>#N/A</v>
      </c>
      <c r="I18" s="3" t="e">
        <f>VLOOKUP(A1,Data!$A$1:$DZU$1000000,299,FALSE)</f>
        <v>#N/A</v>
      </c>
      <c r="J18" t="e">
        <f>VLOOKUP(A1,Data!$A$1:$DZU$1000000,300,FALSE)</f>
        <v>#N/A</v>
      </c>
      <c r="K18" t="e">
        <f>VLOOKUP(A1,Data!$A$1:$DZU$1000000,301,FALSE)</f>
        <v>#N/A</v>
      </c>
      <c r="L18" t="e">
        <f>VLOOKUP(A1,Data!$A$1:$DZU$1000000,302,FALSE)</f>
        <v>#N/A</v>
      </c>
      <c r="M18" t="e">
        <f>VLOOKUP(A1,Data!$A$1:$DZU$1000000,303,FALSE)</f>
        <v>#N/A</v>
      </c>
      <c r="N18" t="e">
        <f>VLOOKUP(A1,Data!$A$1:$DZU$1000000,304,FALSE)</f>
        <v>#N/A</v>
      </c>
      <c r="O18" t="e">
        <f>VLOOKUP(A1,Data!$A$1:$DZU$1000000,305,FALSE)</f>
        <v>#N/A</v>
      </c>
      <c r="P18" t="e">
        <f>VLOOKUP(A1,Data!$A$1:$DZU$1000000,306,FALSE)</f>
        <v>#N/A</v>
      </c>
      <c r="Q18" s="5" t="e">
        <f>VLOOKUP(A1,Data!$A$1:$DZU$1000000,307,FALSE)</f>
        <v>#N/A</v>
      </c>
    </row>
    <row r="19" spans="1:17" ht="15" thickBot="1" x14ac:dyDescent="0.4">
      <c r="A19" s="3" t="e">
        <f>VLOOKUP(A1,Data!$A$1:$DZU$1000000,308,FALSE)</f>
        <v>#N/A</v>
      </c>
      <c r="B19" s="87" t="e">
        <f>VLOOKUP(A1,Data!$A$1:$DZU$1000000,309,FALSE)</f>
        <v>#N/A</v>
      </c>
      <c r="C19" s="88"/>
      <c r="D19" s="10" t="e">
        <f>VLOOKUP(A1,Data!$A$1:$DZU$1000000,311,FALSE)</f>
        <v>#N/A</v>
      </c>
      <c r="E19" s="11" t="e">
        <f>VLOOKUP(A1,Data!$A$1:$DZU$1000000,312,FALSE)</f>
        <v>#N/A</v>
      </c>
      <c r="F19" s="11" t="e">
        <f>VLOOKUP(A1,Data!$A$1:$DZU$1000000,313,FALSE)</f>
        <v>#N/A</v>
      </c>
      <c r="G19" s="89" t="e">
        <f>VLOOKUP(A1,Data!$A$1:$DZU$1000000,314,FALSE)</f>
        <v>#N/A</v>
      </c>
      <c r="H19" s="90"/>
      <c r="I19" s="3" t="e">
        <f>VLOOKUP(A1,Data!$A$1:$DZU$1000000,316,FALSE)</f>
        <v>#N/A</v>
      </c>
      <c r="J19" t="e">
        <f>VLOOKUP(A1,Data!$A$1:$DZU$1000000,317,FALSE)</f>
        <v>#N/A</v>
      </c>
      <c r="K19" t="e">
        <f>VLOOKUP(A1,Data!$A$1:$DZU$1000000,318,FALSE)</f>
        <v>#N/A</v>
      </c>
      <c r="L19" t="e">
        <f>VLOOKUP(A1,Data!$A$1:$DZU$1000000,319,FALSE)</f>
        <v>#N/A</v>
      </c>
      <c r="M19" t="e">
        <f>VLOOKUP(A1,Data!$A$1:$DZU$1000000,320,FALSE)</f>
        <v>#N/A</v>
      </c>
      <c r="N19" t="e">
        <f>VLOOKUP(A1,Data!$A$1:$DZU$1000000,321,FALSE)</f>
        <v>#N/A</v>
      </c>
      <c r="O19" t="e">
        <f>VLOOKUP(A1,Data!$A$1:$DZU$1000000,322,FALSE)</f>
        <v>#N/A</v>
      </c>
      <c r="P19" t="e">
        <f>VLOOKUP(A1,Data!$A$1:$DZU$1000000,323,FALSE)</f>
        <v>#N/A</v>
      </c>
      <c r="Q19" s="5" t="e">
        <f>VLOOKUP(A1,Data!$A$1:$DZU$1000000,324,FALSE)</f>
        <v>#N/A</v>
      </c>
    </row>
    <row r="20" spans="1:17" x14ac:dyDescent="0.35">
      <c r="A20" s="3" t="e">
        <f>VLOOKUP(A1,Data!$A$1:$DZU$1000000,325,FALSE)</f>
        <v>#N/A</v>
      </c>
      <c r="B20" s="3" t="e">
        <f>VLOOKUP(A1,Data!$A$1:$DZU$1000000,326,FALSE)</f>
        <v>#N/A</v>
      </c>
      <c r="C20" s="3" t="e">
        <f>VLOOKUP(A1,Data!$A$1:$DZU$1000000,327,FALSE)</f>
        <v>#N/A</v>
      </c>
      <c r="D20" s="3" t="e">
        <f>VLOOKUP(A1,Data!$A$1:$DZU$1000000,328,FALSE)</f>
        <v>#N/A</v>
      </c>
      <c r="E20" s="3" t="e">
        <f>VLOOKUP(A1,Data!$A$1:$DZU$1000000,329,FALSE)</f>
        <v>#N/A</v>
      </c>
      <c r="F20" s="3" t="e">
        <f>VLOOKUP(A1,Data!$A$1:$DZU$1000000,330,FALSE)</f>
        <v>#N/A</v>
      </c>
      <c r="G20" s="3" t="e">
        <f>VLOOKUP(A1,Data!$A$1:$DZU$1000000,331,FALSE)</f>
        <v>#N/A</v>
      </c>
      <c r="H20" s="3" t="e">
        <f>VLOOKUP(A1,Data!$A$1:$DZU$1000000,332,FALSE)</f>
        <v>#N/A</v>
      </c>
      <c r="I20" s="3" t="e">
        <f>VLOOKUP(A1,Data!$A$1:$DZU$1000000,333,FALSE)</f>
        <v>#N/A</v>
      </c>
      <c r="J20" t="e">
        <f>VLOOKUP(A1,Data!$A$1:$DZU$1000000,334,FALSE)</f>
        <v>#N/A</v>
      </c>
      <c r="K20" t="e">
        <f>VLOOKUP(A1,Data!$A$1:$DZU$1000000,335,FALSE)</f>
        <v>#N/A</v>
      </c>
      <c r="L20" t="e">
        <f>VLOOKUP(A1,Data!$A$1:$DZU$1000000,336,FALSE)</f>
        <v>#N/A</v>
      </c>
      <c r="M20" t="e">
        <f>VLOOKUP(A1,Data!$A$1:$DZU$1000000,337,FALSE)</f>
        <v>#N/A</v>
      </c>
      <c r="N20" t="e">
        <f>VLOOKUP(A1,Data!$A$1:$DZU$1000000,338,FALSE)</f>
        <v>#N/A</v>
      </c>
      <c r="O20" t="e">
        <f>VLOOKUP(A1,Data!$A$1:$DZU$1000000,339,FALSE)</f>
        <v>#N/A</v>
      </c>
      <c r="P20" t="e">
        <f>VLOOKUP(A1,Data!$A$1:$DZU$1000000,340,FALSE)</f>
        <v>#N/A</v>
      </c>
      <c r="Q20" s="5" t="e">
        <f>VLOOKUP(A1,Data!$A$1:$DZU$1000000,341,FALSE)</f>
        <v>#N/A</v>
      </c>
    </row>
    <row r="21" spans="1:17" x14ac:dyDescent="0.35">
      <c r="A21" s="73" t="e">
        <f>VLOOKUP(A1,Data!$A$1:$DZU$1000000,342,FALSE)</f>
        <v>#N/A</v>
      </c>
      <c r="B21" s="73"/>
      <c r="C21" s="73"/>
      <c r="D21" s="73"/>
      <c r="E21" s="73"/>
      <c r="F21" s="73"/>
      <c r="G21" s="73"/>
      <c r="H21" s="73"/>
      <c r="I21" s="3" t="e">
        <f>VLOOKUP(A1,Data!$A$1:$DZU$1000000,350,FALSE)</f>
        <v>#N/A</v>
      </c>
      <c r="J21" t="e">
        <f>VLOOKUP(A1,Data!$A$1:$DZU$1000000,351,FALSE)</f>
        <v>#N/A</v>
      </c>
      <c r="K21" t="e">
        <f>VLOOKUP(A1,Data!$A$1:$DZU$1000000,352,FALSE)</f>
        <v>#N/A</v>
      </c>
      <c r="L21" t="e">
        <f>VLOOKUP(A1,Data!$A$1:$DZU$1000000,353,FALSE)</f>
        <v>#N/A</v>
      </c>
      <c r="M21" t="e">
        <f>VLOOKUP(A1,Data!$A$1:$DZU$1000000,354,FALSE)</f>
        <v>#N/A</v>
      </c>
      <c r="N21" t="e">
        <f>VLOOKUP(A1,Data!$A$1:$DZU$1000000,355,FALSE)</f>
        <v>#N/A</v>
      </c>
      <c r="O21" t="e">
        <f>VLOOKUP(A1,Data!$A$1:$DZU$1000000,356,FALSE)</f>
        <v>#N/A</v>
      </c>
      <c r="P21" t="e">
        <f>VLOOKUP(A1,Data!$A$1:$DZU$1000000,357,FALSE)</f>
        <v>#N/A</v>
      </c>
      <c r="Q21" s="5" t="e">
        <f>VLOOKUP(A1,Data!$A$1:$DZU$1000000,358,FALSE)</f>
        <v>#N/A</v>
      </c>
    </row>
    <row r="22" spans="1:17" x14ac:dyDescent="0.35">
      <c r="A22" s="3" t="e">
        <f>VLOOKUP(A1,Data!$A$1:$DZU$1000000,359,FALSE)</f>
        <v>#N/A</v>
      </c>
      <c r="B22" s="3" t="e">
        <f>VLOOKUP(A1,Data!$A$1:$DZU$1000000,360,FALSE)</f>
        <v>#N/A</v>
      </c>
      <c r="C22" s="3" t="e">
        <f>VLOOKUP(A1,Data!$A$1:$DZU$1000000,361,FALSE)</f>
        <v>#N/A</v>
      </c>
      <c r="D22" s="3" t="e">
        <f>VLOOKUP(A1,Data!$A$1:$DZU$1000000,362,FALSE)</f>
        <v>#N/A</v>
      </c>
      <c r="E22" s="3" t="e">
        <f>VLOOKUP(A1,Data!$A$1:$DZU$1000000,363,FALSE)</f>
        <v>#N/A</v>
      </c>
      <c r="F22" s="3" t="e">
        <f>VLOOKUP(A1,Data!$A$1:$DZU$1000000,364,FALSE)</f>
        <v>#N/A</v>
      </c>
      <c r="G22" s="3" t="e">
        <f>VLOOKUP(A1,Data!$A$1:$DZU$1000000,365,FALSE)</f>
        <v>#N/A</v>
      </c>
      <c r="H22" s="3" t="e">
        <f>VLOOKUP(A1,Data!$A$1:$DZU$1000000,366,FALSE)</f>
        <v>#N/A</v>
      </c>
      <c r="I22" s="3" t="e">
        <f>VLOOKUP(A1,Data!$A$1:$DZU$1000000,367,FALSE)</f>
        <v>#N/A</v>
      </c>
      <c r="J22" t="e">
        <f>VLOOKUP(A1,Data!$A$1:$DZU$1000000,368,FALSE)</f>
        <v>#N/A</v>
      </c>
      <c r="K22" t="e">
        <f>VLOOKUP(A1,Data!$A$1:$DZU$1000000,369,FALSE)</f>
        <v>#N/A</v>
      </c>
      <c r="L22" t="e">
        <f>VLOOKUP(A1,Data!$A$1:$DZU$1000000,370,FALSE)</f>
        <v>#N/A</v>
      </c>
      <c r="M22" t="e">
        <f>VLOOKUP(A1,Data!$A$1:$DZU$1000000,371,FALSE)</f>
        <v>#N/A</v>
      </c>
      <c r="N22" t="e">
        <f>VLOOKUP(A1,Data!$A$1:$DZU$1000000,372,FALSE)</f>
        <v>#N/A</v>
      </c>
      <c r="O22" t="e">
        <f>VLOOKUP(A1,Data!$A$1:$DZU$1000000,373,FALSE)</f>
        <v>#N/A</v>
      </c>
      <c r="P22" t="e">
        <f>VLOOKUP(A1,Data!$A$1:$DZU$1000000,374,FALSE)</f>
        <v>#N/A</v>
      </c>
      <c r="Q22" s="5" t="e">
        <f>VLOOKUP(A1,Data!$A$1:$DZU$1000000,375,FALSE)</f>
        <v>#N/A</v>
      </c>
    </row>
    <row r="23" spans="1:17" x14ac:dyDescent="0.35">
      <c r="A23" s="3" t="e">
        <f>VLOOKUP(A1,Data!$A$1:$DZU$1000000,376,FALSE)</f>
        <v>#N/A</v>
      </c>
      <c r="B23" s="3" t="e">
        <f>VLOOKUP(A1,Data!$A$1:$DZU$1000000,377,FALSE)</f>
        <v>#N/A</v>
      </c>
      <c r="C23" s="3" t="e">
        <f>VLOOKUP(A1,Data!$A$1:$DZU$1000000,378,FALSE)</f>
        <v>#N/A</v>
      </c>
      <c r="D23" s="79" t="e">
        <f>VLOOKUP(A1,Data!$A$1:$DZU$1000000,379,FALSE)</f>
        <v>#N/A</v>
      </c>
      <c r="E23" s="80"/>
      <c r="F23" s="80"/>
      <c r="G23" s="4" t="e">
        <f>VLOOKUP(A1,Data!$A$1:$DZU$1000000,382,FALSE)</f>
        <v>#N/A</v>
      </c>
      <c r="H23" s="3" t="e">
        <f>VLOOKUP(A1,Data!$A$1:$DZU$1000000,383,FALSE)</f>
        <v>#N/A</v>
      </c>
      <c r="I23" s="3" t="e">
        <f>VLOOKUP(A1,Data!$A$1:$DZU$1000000,384,FALSE)</f>
        <v>#N/A</v>
      </c>
      <c r="J23" t="e">
        <f>VLOOKUP(A1,Data!$A$1:$DZU$1000000,385,FALSE)</f>
        <v>#N/A</v>
      </c>
      <c r="K23" t="e">
        <f>VLOOKUP(A1,Data!$A$1:$DZU$1000000,386,FALSE)</f>
        <v>#N/A</v>
      </c>
      <c r="L23" t="e">
        <f>VLOOKUP(A1,Data!$A$1:$DZU$1000000,387,FALSE)</f>
        <v>#N/A</v>
      </c>
      <c r="M23" t="e">
        <f>VLOOKUP(A1,Data!$A$1:$DZU$1000000,388,FALSE)</f>
        <v>#N/A</v>
      </c>
      <c r="N23" t="e">
        <f>VLOOKUP(A1,Data!$A$1:$DZU$1000000,389,FALSE)</f>
        <v>#N/A</v>
      </c>
      <c r="O23" t="e">
        <f>VLOOKUP(A1,Data!$A$1:$DZU$1000000,390,FALSE)</f>
        <v>#N/A</v>
      </c>
      <c r="P23" t="e">
        <f>VLOOKUP(A1,Data!$A$1:$DZU$1000000,391,FALSE)</f>
        <v>#N/A</v>
      </c>
      <c r="Q23" s="5" t="e">
        <f>VLOOKUP(A1,Data!$A$1:$DZU$1000000,392,FALSE)</f>
        <v>#N/A</v>
      </c>
    </row>
    <row r="24" spans="1:17" x14ac:dyDescent="0.35">
      <c r="A24" s="3" t="e">
        <f>VLOOKUP(A1,Data!$A$1:$DZU$1000000,393,FALSE)</f>
        <v>#N/A</v>
      </c>
      <c r="B24" s="3" t="e">
        <f>VLOOKUP(A1,Data!$A$1:$DZU$1000000,394,FALSE)</f>
        <v>#N/A</v>
      </c>
      <c r="C24" s="3" t="e">
        <f>VLOOKUP(A1,Data!$A$1:$DZU$1000000,395,FALSE)</f>
        <v>#N/A</v>
      </c>
      <c r="D24" s="79" t="e">
        <f>VLOOKUP(A1,Data!$A$1:$DZU$1000000,396,FALSE)</f>
        <v>#N/A</v>
      </c>
      <c r="E24" s="80"/>
      <c r="F24" s="80"/>
      <c r="G24" s="80"/>
      <c r="H24" s="3" t="e">
        <f>VLOOKUP(A1,Data!$A$1:$DZU$1000000,400,FALSE)</f>
        <v>#N/A</v>
      </c>
      <c r="I24" s="3" t="e">
        <f>VLOOKUP(A1,Data!$A$1:$DZU$1000000,401,FALSE)</f>
        <v>#N/A</v>
      </c>
      <c r="J24" t="e">
        <f>VLOOKUP(A1,Data!$A$1:$DZU$1000000,402,FALSE)</f>
        <v>#N/A</v>
      </c>
      <c r="K24" t="e">
        <f>VLOOKUP(A1,Data!$A$1:$DZU$1000000,403,FALSE)</f>
        <v>#N/A</v>
      </c>
      <c r="L24" t="e">
        <f>VLOOKUP(A1,Data!$A$1:$DZU$1000000,404,FALSE)</f>
        <v>#N/A</v>
      </c>
      <c r="M24" t="e">
        <f>VLOOKUP(A1,Data!$A$1:$DZU$1000000,405,FALSE)</f>
        <v>#N/A</v>
      </c>
      <c r="N24" t="e">
        <f>VLOOKUP(A1,Data!$A$1:$DZU$1000000,406,FALSE)</f>
        <v>#N/A</v>
      </c>
      <c r="O24" t="e">
        <f>VLOOKUP(A1,Data!$A$1:$DZU$1000000,407,FALSE)</f>
        <v>#N/A</v>
      </c>
      <c r="P24" t="e">
        <f>VLOOKUP(A1,Data!$A$1:$DZU$1000000,408,FALSE)</f>
        <v>#N/A</v>
      </c>
      <c r="Q24" s="5" t="e">
        <f>VLOOKUP(A1,Data!$A$1:$DZU$1000000,409,FALSE)</f>
        <v>#N/A</v>
      </c>
    </row>
    <row r="25" spans="1:17" x14ac:dyDescent="0.35">
      <c r="A25" s="3" t="e">
        <f>VLOOKUP(A1,Data!$A$1:$DZU$1000000,410,FALSE)</f>
        <v>#N/A</v>
      </c>
      <c r="B25" s="3" t="e">
        <f>VLOOKUP(A1,Data!$A$1:$DZU$1000000,411,FALSE)</f>
        <v>#N/A</v>
      </c>
      <c r="C25" s="3" t="e">
        <f>VLOOKUP(A1,Data!$A$1:$DZU$1000000,412,FALSE)</f>
        <v>#N/A</v>
      </c>
      <c r="D25" s="79" t="e">
        <f>VLOOKUP(A1,Data!$A$1:$DZU$1000000,413,FALSE)</f>
        <v>#N/A</v>
      </c>
      <c r="E25" s="80"/>
      <c r="F25" s="80"/>
      <c r="G25" s="80"/>
      <c r="H25" s="3" t="e">
        <f>VLOOKUP(A1,Data!$A$1:$DZU$1000000,417,FALSE)</f>
        <v>#N/A</v>
      </c>
      <c r="I25" s="3" t="e">
        <f>VLOOKUP(A1,Data!$A$1:$DZU$1000000,418,FALSE)</f>
        <v>#N/A</v>
      </c>
      <c r="J25" t="e">
        <f>VLOOKUP(A1,Data!$A$1:$DZU$1000000,419,FALSE)</f>
        <v>#N/A</v>
      </c>
      <c r="K25" t="e">
        <f>VLOOKUP(A1,Data!$A$1:$DZU$1000000,420,FALSE)</f>
        <v>#N/A</v>
      </c>
      <c r="L25" t="e">
        <f>VLOOKUP(A1,Data!$A$1:$DZU$1000000,421,FALSE)</f>
        <v>#N/A</v>
      </c>
      <c r="M25" t="e">
        <f>VLOOKUP(A1,Data!$A$1:$DZU$1000000,422,FALSE)</f>
        <v>#N/A</v>
      </c>
      <c r="N25" t="e">
        <f>VLOOKUP(A1,Data!$A$1:$DZU$1000000,423,FALSE)</f>
        <v>#N/A</v>
      </c>
      <c r="O25" t="e">
        <f>VLOOKUP(A1,Data!$A$1:$DZU$1000000,424,FALSE)</f>
        <v>#N/A</v>
      </c>
      <c r="P25" t="e">
        <f>VLOOKUP(A1,Data!$A$1:$DZU$1000000,425,FALSE)</f>
        <v>#N/A</v>
      </c>
      <c r="Q25" s="5" t="e">
        <f>VLOOKUP(A1,Data!$A$1:$DZU$1000000,426,FALSE)</f>
        <v>#N/A</v>
      </c>
    </row>
    <row r="26" spans="1:17" x14ac:dyDescent="0.35">
      <c r="A26" s="3" t="e">
        <f>VLOOKUP(A1,Data!$A$1:$DZU$1000000,427,FALSE)</f>
        <v>#N/A</v>
      </c>
      <c r="B26" s="3" t="e">
        <f>VLOOKUP(A1,Data!$A$1:$DZU$1000000,428,FALSE)</f>
        <v>#N/A</v>
      </c>
      <c r="C26" s="3" t="e">
        <f>VLOOKUP(A1,Data!$A$1:$DZU$1000000,429,FALSE)</f>
        <v>#N/A</v>
      </c>
      <c r="D26" s="3" t="e">
        <f>VLOOKUP(A1,Data!$A$1:$DZU$1000000,430,FALSE)</f>
        <v>#N/A</v>
      </c>
      <c r="E26" s="3" t="e">
        <f>VLOOKUP(A1,Data!$A$1:$DZU$1000000,431,FALSE)</f>
        <v>#N/A</v>
      </c>
      <c r="F26" s="3" t="e">
        <f>VLOOKUP(A1,Data!$A$1:$DZU$1000000,432,FALSE)</f>
        <v>#N/A</v>
      </c>
      <c r="G26" s="3" t="e">
        <f>VLOOKUP(A1,Data!$A$1:$DZU$1000000,433,FALSE)</f>
        <v>#N/A</v>
      </c>
      <c r="H26" s="3" t="e">
        <f>VLOOKUP(A1,Data!$A$1:$DZU$1000000,434,FALSE)</f>
        <v>#N/A</v>
      </c>
      <c r="I26" s="3" t="e">
        <f>VLOOKUP(A1,Data!$A$1:$DZU$1000000,435,FALSE)</f>
        <v>#N/A</v>
      </c>
      <c r="J26" t="e">
        <f>VLOOKUP(A1,Data!$A$1:$DZU$1000000,436,FALSE)</f>
        <v>#N/A</v>
      </c>
      <c r="K26" t="e">
        <f>VLOOKUP(A1,Data!$A$1:$DZU$1000000,437,FALSE)</f>
        <v>#N/A</v>
      </c>
      <c r="L26" t="e">
        <f>VLOOKUP(A1,Data!$A$1:$DZU$1000000,438,FALSE)</f>
        <v>#N/A</v>
      </c>
      <c r="M26" t="e">
        <f>VLOOKUP(A1,Data!$A$1:$DZU$1000000,439,FALSE)</f>
        <v>#N/A</v>
      </c>
      <c r="N26" t="e">
        <f>VLOOKUP(A1,Data!$A$1:$DZU$1000000,440,FALSE)</f>
        <v>#N/A</v>
      </c>
      <c r="O26" t="e">
        <f>VLOOKUP(A1,Data!$A$1:$DZU$1000000,441,FALSE)</f>
        <v>#N/A</v>
      </c>
      <c r="P26" t="e">
        <f>VLOOKUP(A1,Data!$A$1:$DZU$1000000,442,FALSE)</f>
        <v>#N/A</v>
      </c>
      <c r="Q26" s="5" t="e">
        <f>VLOOKUP(A1,Data!$A$1:$DZU$1000000,443,FALSE)</f>
        <v>#N/A</v>
      </c>
    </row>
    <row r="27" spans="1:17" x14ac:dyDescent="0.35">
      <c r="A27" s="12" t="e">
        <f>VLOOKUP(A1,Data!$A$1:$DZU$1000000,444,FALSE)</f>
        <v>#N/A</v>
      </c>
      <c r="B27" s="12" t="e">
        <f>VLOOKUP(A1,Data!$A$1:$DZU$1000000,445,FALSE)</f>
        <v>#N/A</v>
      </c>
      <c r="C27" s="12" t="e">
        <f>VLOOKUP(A1,Data!$A$1:$DZU$1000000,446,FALSE)</f>
        <v>#N/A</v>
      </c>
      <c r="D27" s="12" t="e">
        <f>VLOOKUP(A1,Data!$A$1:$DZU$1000000,447,FALSE)</f>
        <v>#N/A</v>
      </c>
      <c r="E27" s="12" t="e">
        <f>VLOOKUP(A1,Data!$A$1:$DZU$1000000,448,FALSE)</f>
        <v>#N/A</v>
      </c>
      <c r="F27" s="12" t="e">
        <f>VLOOKUP(A1,Data!$A$1:$DZU$1000000,449,FALSE)</f>
        <v>#N/A</v>
      </c>
      <c r="G27" s="12" t="e">
        <f>VLOOKUP(A1,Data!$A$1:$DZU$1000000,450,FALSE)</f>
        <v>#N/A</v>
      </c>
      <c r="H27" s="12" t="e">
        <f>VLOOKUP(A1,Data!$A$1:$DZU$1000000,451,FALSE)</f>
        <v>#N/A</v>
      </c>
      <c r="I27" s="3" t="e">
        <f>VLOOKUP(A1,Data!$A$1:$DZU$1000000,452,FALSE)</f>
        <v>#N/A</v>
      </c>
      <c r="J27" t="e">
        <f>VLOOKUP(A1,Data!$A$1:$DZU$1000000,453,FALSE)</f>
        <v>#N/A</v>
      </c>
      <c r="K27" t="e">
        <f>VLOOKUP(A1,Data!$A$1:$DZU$1000000,454,FALSE)</f>
        <v>#N/A</v>
      </c>
      <c r="L27" t="e">
        <f>VLOOKUP(A1,Data!$A$1:$DZU$1000000,455,FALSE)</f>
        <v>#N/A</v>
      </c>
      <c r="M27" t="e">
        <f>VLOOKUP(A1,Data!$A$1:$DZU$1000000,456,FALSE)</f>
        <v>#N/A</v>
      </c>
      <c r="N27" t="e">
        <f>VLOOKUP(A1,Data!$A$1:$DZU$1000000,457,FALSE)</f>
        <v>#N/A</v>
      </c>
      <c r="O27" t="e">
        <f>VLOOKUP(A1,Data!$A$1:$DZU$1000000,458,FALSE)</f>
        <v>#N/A</v>
      </c>
      <c r="P27" t="e">
        <f>VLOOKUP(A1,Data!$A$1:$DZU$1000000,459,FALSE)</f>
        <v>#N/A</v>
      </c>
      <c r="Q27" s="5" t="e">
        <f>VLOOKUP(A1,Data!$A$1:$DZU$1000000,460,FALSE)</f>
        <v>#N/A</v>
      </c>
    </row>
    <row r="28" spans="1:17" ht="15" thickBot="1" x14ac:dyDescent="0.4">
      <c r="A28" s="3" t="e">
        <f>VLOOKUP(A1,Data!$A$1:$DZU$1000000,461,FALSE)</f>
        <v>#N/A</v>
      </c>
      <c r="B28" s="3" t="e">
        <f>VLOOKUP(A1,Data!$A$1:$DZU$1000000,462,FALSE)</f>
        <v>#N/A</v>
      </c>
      <c r="C28" s="3" t="e">
        <f>VLOOKUP(A1,Data!$A$1:$DZU$1000000,463,FALSE)</f>
        <v>#N/A</v>
      </c>
      <c r="D28" s="3" t="e">
        <f>VLOOKUP(A1,Data!$A$1:$DZU$1000000,464,FALSE)</f>
        <v>#N/A</v>
      </c>
      <c r="E28" s="3" t="e">
        <f>VLOOKUP(A1,Data!$A$1:$DZU$1000000,465,FALSE)</f>
        <v>#N/A</v>
      </c>
      <c r="F28" s="3" t="e">
        <f>VLOOKUP(A1,Data!$A$1:$DZU$1000000,466,FALSE)</f>
        <v>#N/A</v>
      </c>
      <c r="G28" s="3" t="e">
        <f>VLOOKUP(A1,Data!$A$1:$DZU$1000000,467,FALSE)</f>
        <v>#N/A</v>
      </c>
      <c r="H28" s="3" t="e">
        <f>VLOOKUP(A1,Data!$A$1:$DZU$1000000,468,FALSE)</f>
        <v>#N/A</v>
      </c>
      <c r="I28" s="3" t="e">
        <f>VLOOKUP(A1,Data!$A$1:$DZU$1000000,469,FALSE)</f>
        <v>#N/A</v>
      </c>
      <c r="J28" t="e">
        <f>VLOOKUP(A1,Data!$A$1:$DZU$1000000,470,FALSE)</f>
        <v>#N/A</v>
      </c>
      <c r="K28" t="e">
        <f>VLOOKUP(A1,Data!$A$1:$DZU$1000000,471,FALSE)</f>
        <v>#N/A</v>
      </c>
      <c r="L28" t="e">
        <f>VLOOKUP(A1,Data!$A$1:$DZU$1000000,472,FALSE)</f>
        <v>#N/A</v>
      </c>
      <c r="M28" t="e">
        <f>VLOOKUP(A1,Data!$A$1:$DZU$1000000,473,FALSE)</f>
        <v>#N/A</v>
      </c>
      <c r="N28" t="e">
        <f>VLOOKUP(A1,Data!$A$1:$DZU$1000000,474,FALSE)</f>
        <v>#N/A</v>
      </c>
      <c r="O28" t="e">
        <f>VLOOKUP(A1,Data!$A$1:$DZU$1000000,475,FALSE)</f>
        <v>#N/A</v>
      </c>
      <c r="P28" t="e">
        <f>VLOOKUP(A1,Data!$A$1:$DZU$1000000,476,FALSE)</f>
        <v>#N/A</v>
      </c>
      <c r="Q28" s="5" t="e">
        <f>VLOOKUP(A1,Data!$A$1:$DZU$1000000,477,FALSE)</f>
        <v>#N/A</v>
      </c>
    </row>
    <row r="29" spans="1:17" ht="15" thickBot="1" x14ac:dyDescent="0.4">
      <c r="A29" s="91" t="e">
        <f>VLOOKUP(A1,Data!$A$1:$DZU$1000000,478,FALSE)</f>
        <v>#N/A</v>
      </c>
      <c r="B29" s="72"/>
      <c r="C29" s="3" t="e">
        <f>VLOOKUP(A1,Data!$A$1:$DZU$1000000,480,FALSE)</f>
        <v>#N/A</v>
      </c>
      <c r="D29" s="3" t="e">
        <f>VLOOKUP(A1,Data!$A$1:$DZU$1000000,481,FALSE)</f>
        <v>#N/A</v>
      </c>
      <c r="E29" s="3" t="e">
        <f>VLOOKUP(A1,Data!$A$1:$DZU$1000000,482,FALSE)</f>
        <v>#N/A</v>
      </c>
      <c r="F29" s="14" t="e">
        <f>VLOOKUP(A1,Data!$A$1:$DZU$1000000,483,FALSE)</f>
        <v>#N/A</v>
      </c>
      <c r="G29" s="14" t="e">
        <f>VLOOKUP(A1,Data!$A$1:$DZU$1000000,484,FALSE)</f>
        <v>#N/A</v>
      </c>
      <c r="H29" s="3" t="e">
        <f>VLOOKUP(A1,Data!$A$1:$DZU$1000000,485,FALSE)</f>
        <v>#N/A</v>
      </c>
      <c r="I29" s="3" t="e">
        <f>VLOOKUP(A1,Data!$A$1:$DZU$1000000,486,FALSE)</f>
        <v>#N/A</v>
      </c>
      <c r="J29" t="e">
        <f>VLOOKUP(A1,Data!$A$1:$DZU$1000000,487,FALSE)</f>
        <v>#N/A</v>
      </c>
      <c r="K29" t="e">
        <f>VLOOKUP(A1,Data!$A$1:$DZU$1000000,488,FALSE)</f>
        <v>#N/A</v>
      </c>
      <c r="L29" t="e">
        <f>VLOOKUP(A1,Data!$A$1:$DZU$1000000,489,FALSE)</f>
        <v>#N/A</v>
      </c>
      <c r="M29" t="e">
        <f>VLOOKUP(A1,Data!$A$1:$DZU$1000000,490,FALSE)</f>
        <v>#N/A</v>
      </c>
      <c r="N29" t="e">
        <f>VLOOKUP(A1,Data!$A$1:$DZU$1000000,491,FALSE)</f>
        <v>#N/A</v>
      </c>
      <c r="O29" t="e">
        <f>VLOOKUP(A1,Data!$A$1:$DZU$1000000,492,FALSE)</f>
        <v>#N/A</v>
      </c>
      <c r="P29" t="e">
        <f>VLOOKUP(A1,Data!$A$1:$DZU$1000000,493,FALSE)</f>
        <v>#N/A</v>
      </c>
      <c r="Q29" s="5" t="e">
        <f>VLOOKUP(A1,Data!$A$1:$DZU$1000000,494,FALSE)</f>
        <v>#N/A</v>
      </c>
    </row>
    <row r="30" spans="1:17" x14ac:dyDescent="0.35">
      <c r="A30" s="3" t="e">
        <f>VLOOKUP(A1,Data!$A$1:$DZU$1000000,495,FALSE)</f>
        <v>#N/A</v>
      </c>
      <c r="B30" s="3" t="e">
        <f>VLOOKUP(A1,Data!$A$1:$DZU$1000000,496,FALSE)</f>
        <v>#N/A</v>
      </c>
      <c r="C30" s="3" t="e">
        <f>VLOOKUP(A1,Data!$A$1:$DZU$1000000,497,FALSE)</f>
        <v>#N/A</v>
      </c>
      <c r="D30" s="3" t="e">
        <f>VLOOKUP(A1,Data!$A$1:$DZU$1000000,498,FALSE)</f>
        <v>#N/A</v>
      </c>
      <c r="E30" s="3" t="e">
        <f>VLOOKUP(A1,Data!$A$1:$DZU$1000000,499,FALSE)</f>
        <v>#N/A</v>
      </c>
      <c r="F30" s="3" t="e">
        <f>VLOOKUP(A1,Data!$A$1:$DZU$1000000,500,FALSE)</f>
        <v>#N/A</v>
      </c>
      <c r="G30" s="3" t="e">
        <f>VLOOKUP(A1,Data!$A$1:$DZU$1000000,501,FALSE)</f>
        <v>#N/A</v>
      </c>
      <c r="H30" s="3" t="e">
        <f>VLOOKUP(A1,Data!$A$1:$DZU$1000000,502,FALSE)</f>
        <v>#N/A</v>
      </c>
      <c r="I30" s="3" t="e">
        <f>VLOOKUP(A1,Data!$A$1:$DZU$1000000,503,FALSE)</f>
        <v>#N/A</v>
      </c>
      <c r="J30" t="e">
        <f>VLOOKUP(A1,Data!$A$1:$DZU$1000000,504,FALSE)</f>
        <v>#N/A</v>
      </c>
      <c r="K30" t="e">
        <f>VLOOKUP(A1,Data!$A$1:$DZU$1000000,505,FALSE)</f>
        <v>#N/A</v>
      </c>
      <c r="L30" t="e">
        <f>VLOOKUP(A1,Data!$A$1:$DZU$1000000,506,FALSE)</f>
        <v>#N/A</v>
      </c>
      <c r="M30" t="e">
        <f>VLOOKUP(A1,Data!$A$1:$DZU$1000000,507,FALSE)</f>
        <v>#N/A</v>
      </c>
      <c r="N30" t="e">
        <f>VLOOKUP(A1,Data!$A$1:$DZU$1000000,508,FALSE)</f>
        <v>#N/A</v>
      </c>
      <c r="O30" t="e">
        <f>VLOOKUP(A1,Data!$A$1:$DZU$1000000,509,FALSE)</f>
        <v>#N/A</v>
      </c>
      <c r="P30" t="e">
        <f>VLOOKUP(A1,Data!$A$1:$DZU$1000000,510,FALSE)</f>
        <v>#N/A</v>
      </c>
      <c r="Q30" s="5" t="e">
        <f>VLOOKUP(A1,Data!$A$1:$DZU$1000000,511,FALSE)</f>
        <v>#N/A</v>
      </c>
    </row>
    <row r="31" spans="1:17" x14ac:dyDescent="0.35">
      <c r="A31" s="92" t="e">
        <f>VLOOKUP(A1,Data!$A$1:$DZU$1000000,512,FALSE)</f>
        <v>#N/A</v>
      </c>
      <c r="B31" s="92"/>
      <c r="C31" s="92"/>
      <c r="D31" s="92"/>
      <c r="E31" s="3" t="e">
        <f>VLOOKUP(A1,Data!$A$1:$DZU$1000000,516,FALSE)</f>
        <v>#N/A</v>
      </c>
      <c r="F31" s="15" t="e">
        <f>VLOOKUP(A1,Data!$A$1:$DZU$1000000,517,FALSE)</f>
        <v>#N/A</v>
      </c>
      <c r="G31" s="15" t="e">
        <f>VLOOKUP(A1,Data!$A$1:$DZU$1000000,518,FALSE)</f>
        <v>#N/A</v>
      </c>
      <c r="H31" s="3" t="e">
        <f>VLOOKUP(A1,Data!$A$1:$DZU$1000000,519,FALSE)</f>
        <v>#N/A</v>
      </c>
      <c r="I31" s="3" t="e">
        <f>VLOOKUP(A1,Data!$A$1:$DZU$1000000,520,FALSE)</f>
        <v>#N/A</v>
      </c>
      <c r="J31" t="e">
        <f>VLOOKUP(A1,Data!$A$1:$DZU$1000000,521,FALSE)</f>
        <v>#N/A</v>
      </c>
      <c r="K31" t="e">
        <f>VLOOKUP(A1,Data!$A$1:$DZU$1000000,522,FALSE)</f>
        <v>#N/A</v>
      </c>
      <c r="L31" t="e">
        <f>VLOOKUP(A1,Data!$A$1:$DZU$1000000,523,FALSE)</f>
        <v>#N/A</v>
      </c>
      <c r="M31" t="e">
        <f>VLOOKUP(A1,Data!$A$1:$DZU$1000000,524,FALSE)</f>
        <v>#N/A</v>
      </c>
      <c r="N31" t="e">
        <f>VLOOKUP(A1,Data!$A$1:$DZU$1000000,525,FALSE)</f>
        <v>#N/A</v>
      </c>
      <c r="O31" t="e">
        <f>VLOOKUP(A1,Data!$A$1:$DZU$1000000,526,FALSE)</f>
        <v>#N/A</v>
      </c>
      <c r="P31" t="e">
        <f>VLOOKUP(A1,Data!$A$1:$DZU$1000000,527,FALSE)</f>
        <v>#N/A</v>
      </c>
      <c r="Q31" s="5" t="e">
        <f>VLOOKUP(A1,Data!$A$1:$DZU$1000000,528,FALSE)</f>
        <v>#N/A</v>
      </c>
    </row>
    <row r="32" spans="1:17" x14ac:dyDescent="0.35">
      <c r="A32" s="92" t="e">
        <f>VLOOKUP(A1,Data!$A$1:$DZU$1000000,529,FALSE)</f>
        <v>#N/A</v>
      </c>
      <c r="B32" s="92"/>
      <c r="C32" s="92"/>
      <c r="D32" s="92"/>
      <c r="E32" s="3" t="e">
        <f>VLOOKUP(A1,Data!$A$1:$DZU$1000000,533,FALSE)</f>
        <v>#N/A</v>
      </c>
      <c r="F32" s="15" t="e">
        <f>VLOOKUP(A1,Data!$A$1:$DZU$1000000,534,FALSE)</f>
        <v>#N/A</v>
      </c>
      <c r="G32" s="15" t="e">
        <f>VLOOKUP(A1,Data!$A$1:$DZU$1000000,535,FALSE)</f>
        <v>#N/A</v>
      </c>
      <c r="H32" s="3" t="e">
        <f>VLOOKUP(A1,Data!$A$1:$DZU$1000000,536,FALSE)</f>
        <v>#N/A</v>
      </c>
      <c r="I32" s="3" t="e">
        <f>VLOOKUP(A1,Data!$A$1:$DZU$1000000,537,FALSE)</f>
        <v>#N/A</v>
      </c>
      <c r="J32" t="e">
        <f>VLOOKUP(A1,Data!$A$1:$DZU$1000000,538,FALSE)</f>
        <v>#N/A</v>
      </c>
      <c r="K32" t="e">
        <f>VLOOKUP(A1,Data!$A$1:$DZU$1000000,539,FALSE)</f>
        <v>#N/A</v>
      </c>
      <c r="L32" t="e">
        <f>VLOOKUP(A1,Data!$A$1:$DZU$1000000,540,FALSE)</f>
        <v>#N/A</v>
      </c>
      <c r="M32" t="e">
        <f>VLOOKUP(A1,Data!$A$1:$DZU$1000000,541,FALSE)</f>
        <v>#N/A</v>
      </c>
      <c r="N32" t="e">
        <f>VLOOKUP(A1,Data!$A$1:$DZU$1000000,542,FALSE)</f>
        <v>#N/A</v>
      </c>
      <c r="O32" t="e">
        <f>VLOOKUP(A1,Data!$A$1:$DZU$1000000,543,FALSE)</f>
        <v>#N/A</v>
      </c>
      <c r="P32" t="e">
        <f>VLOOKUP(A1,Data!$A$1:$DZU$1000000,544,FALSE)</f>
        <v>#N/A</v>
      </c>
      <c r="Q32" s="5" t="e">
        <f>VLOOKUP(A1,Data!$A$1:$DZU$1000000,545,FALSE)</f>
        <v>#N/A</v>
      </c>
    </row>
    <row r="33" spans="1:17" x14ac:dyDescent="0.35">
      <c r="A33" s="92" t="e">
        <f>VLOOKUP(A1,Data!$A$1:$DZU$1000000,546,FALSE)</f>
        <v>#N/A</v>
      </c>
      <c r="B33" s="92"/>
      <c r="C33" s="92"/>
      <c r="D33" s="92"/>
      <c r="E33" s="3" t="e">
        <f>VLOOKUP(A1,Data!$A$1:$DZU$1000000,550,FALSE)</f>
        <v>#N/A</v>
      </c>
      <c r="F33" s="15" t="e">
        <f>VLOOKUP(A1,Data!$A$1:$DZU$1000000,551,FALSE)</f>
        <v>#N/A</v>
      </c>
      <c r="G33" s="15" t="e">
        <f>VLOOKUP(A1,Data!$A$1:$DZU$1000000,552,FALSE)</f>
        <v>#N/A</v>
      </c>
      <c r="H33" s="3" t="e">
        <f>VLOOKUP(A1,Data!$A$1:$DZU$1000000,553,FALSE)</f>
        <v>#N/A</v>
      </c>
      <c r="I33" s="3" t="e">
        <f>VLOOKUP(A1,Data!$A$1:$DZU$1000000,554,FALSE)</f>
        <v>#N/A</v>
      </c>
      <c r="J33" t="e">
        <f>VLOOKUP(A1,Data!$A$1:$DZU$1000000,555,FALSE)</f>
        <v>#N/A</v>
      </c>
      <c r="K33" t="e">
        <f>VLOOKUP(A1,Data!$A$1:$DZU$1000000,556,FALSE)</f>
        <v>#N/A</v>
      </c>
      <c r="L33" t="e">
        <f>VLOOKUP(A1,Data!$A$1:$DZU$1000000,557,FALSE)</f>
        <v>#N/A</v>
      </c>
      <c r="M33" t="e">
        <f>VLOOKUP(A1,Data!$A$1:$DZU$1000000,558,FALSE)</f>
        <v>#N/A</v>
      </c>
      <c r="N33" t="e">
        <f>VLOOKUP(A1,Data!$A$1:$DZU$1000000,559,FALSE)</f>
        <v>#N/A</v>
      </c>
      <c r="O33" t="e">
        <f>VLOOKUP(A1,Data!$A$1:$DZU$1000000,560,FALSE)</f>
        <v>#N/A</v>
      </c>
      <c r="P33" t="e">
        <f>VLOOKUP(A1,Data!$A$1:$DZU$1000000,561,FALSE)</f>
        <v>#N/A</v>
      </c>
      <c r="Q33" s="5" t="e">
        <f>VLOOKUP(A1,Data!$A$1:$DZU$1000000,562,FALSE)</f>
        <v>#N/A</v>
      </c>
    </row>
    <row r="34" spans="1:17" x14ac:dyDescent="0.35">
      <c r="A34" s="92" t="e">
        <f>VLOOKUP(A1,Data!$A$1:$DZU$1000000,563,FALSE)</f>
        <v>#N/A</v>
      </c>
      <c r="B34" s="92"/>
      <c r="C34" s="92"/>
      <c r="D34" s="92"/>
      <c r="E34" s="3" t="e">
        <f>VLOOKUP(A1,Data!$A$1:$DZU$1000000,567,FALSE)</f>
        <v>#N/A</v>
      </c>
      <c r="F34" s="15" t="e">
        <f>VLOOKUP(A1,Data!$A$1:$DZU$1000000,568,FALSE)</f>
        <v>#N/A</v>
      </c>
      <c r="G34" s="15" t="e">
        <f>VLOOKUP(A1,Data!$A$1:$DZU$1000000,569,FALSE)</f>
        <v>#N/A</v>
      </c>
      <c r="H34" s="3" t="e">
        <f>VLOOKUP(A1,Data!$A$1:$DZU$1000000,570,FALSE)</f>
        <v>#N/A</v>
      </c>
      <c r="I34" s="3" t="e">
        <f>VLOOKUP(A1,Data!$A$1:$DZU$1000000,571,FALSE)</f>
        <v>#N/A</v>
      </c>
      <c r="J34" t="e">
        <f>VLOOKUP(A1,Data!$A$1:$DZU$1000000,572,FALSE)</f>
        <v>#N/A</v>
      </c>
      <c r="K34" t="e">
        <f>VLOOKUP(A1,Data!$A$1:$DZU$1000000,573,FALSE)</f>
        <v>#N/A</v>
      </c>
      <c r="L34" t="e">
        <f>VLOOKUP(A1,Data!$A$1:$DZU$1000000,574,FALSE)</f>
        <v>#N/A</v>
      </c>
      <c r="M34" t="e">
        <f>VLOOKUP(A1,Data!$A$1:$DZU$1000000,575,FALSE)</f>
        <v>#N/A</v>
      </c>
      <c r="N34" t="e">
        <f>VLOOKUP(A1,Data!$A$1:$DZU$1000000,576,FALSE)</f>
        <v>#N/A</v>
      </c>
      <c r="O34" t="e">
        <f>VLOOKUP(A1,Data!$A$1:$DZU$1000000,577,FALSE)</f>
        <v>#N/A</v>
      </c>
      <c r="P34" t="e">
        <f>VLOOKUP(A1,Data!$A$1:$DZU$1000000,578,FALSE)</f>
        <v>#N/A</v>
      </c>
      <c r="Q34" s="5" t="e">
        <f>VLOOKUP(A1,Data!$A$1:$DZU$1000000,579,FALSE)</f>
        <v>#N/A</v>
      </c>
    </row>
    <row r="35" spans="1:17" x14ac:dyDescent="0.35">
      <c r="A35" s="92" t="e">
        <f>VLOOKUP(A1,Data!$A$1:$DZU$1000000,580,FALSE)</f>
        <v>#N/A</v>
      </c>
      <c r="B35" s="92"/>
      <c r="C35" s="92"/>
      <c r="D35" s="92"/>
      <c r="E35" s="3" t="e">
        <f>VLOOKUP(A1,Data!$A$1:$DZU$1000000,584,FALSE)</f>
        <v>#N/A</v>
      </c>
      <c r="F35" s="15" t="e">
        <f>VLOOKUP(A1,Data!$A$1:$DZU$1000000,585,FALSE)</f>
        <v>#N/A</v>
      </c>
      <c r="G35" s="15" t="e">
        <f>VLOOKUP(A1,Data!$A$1:$DZU$1000000,586,FALSE)</f>
        <v>#N/A</v>
      </c>
      <c r="H35" s="3" t="e">
        <f>VLOOKUP(A1,Data!$A$1:$DZU$1000000,587,FALSE)</f>
        <v>#N/A</v>
      </c>
      <c r="I35" s="3" t="e">
        <f>VLOOKUP(A1,Data!$A$1:$DZU$1000000,588,FALSE)</f>
        <v>#N/A</v>
      </c>
      <c r="J35" t="e">
        <f>VLOOKUP(A1,Data!$A$1:$DZU$1000000,589,FALSE)</f>
        <v>#N/A</v>
      </c>
      <c r="K35" t="e">
        <f>VLOOKUP(A1,Data!$A$1:$DZU$1000000,590,FALSE)</f>
        <v>#N/A</v>
      </c>
      <c r="L35" t="e">
        <f>VLOOKUP(A1,Data!$A$1:$DZU$1000000,591,FALSE)</f>
        <v>#N/A</v>
      </c>
      <c r="M35" t="e">
        <f>VLOOKUP(A1,Data!$A$1:$DZU$1000000,592,FALSE)</f>
        <v>#N/A</v>
      </c>
      <c r="N35" t="e">
        <f>VLOOKUP(A1,Data!$A$1:$DZU$1000000,593,FALSE)</f>
        <v>#N/A</v>
      </c>
      <c r="O35" t="e">
        <f>VLOOKUP(A1,Data!$A$1:$DZU$1000000,594,FALSE)</f>
        <v>#N/A</v>
      </c>
      <c r="P35" t="e">
        <f>VLOOKUP(A1,Data!$A$1:$DZU$1000000,595,FALSE)</f>
        <v>#N/A</v>
      </c>
      <c r="Q35" s="5" t="e">
        <f>VLOOKUP(A1,Data!$A$1:$DZU$1000000,596,FALSE)</f>
        <v>#N/A</v>
      </c>
    </row>
    <row r="36" spans="1:17" x14ac:dyDescent="0.35">
      <c r="A36" s="92" t="e">
        <f>VLOOKUP(A1,Data!$A$1:$DZU$1000000,597,FALSE)</f>
        <v>#N/A</v>
      </c>
      <c r="B36" s="92"/>
      <c r="C36" s="92"/>
      <c r="D36" s="92"/>
      <c r="E36" s="3" t="e">
        <f>VLOOKUP(A1,Data!$A$1:$DZU$1000000,601,FALSE)</f>
        <v>#N/A</v>
      </c>
      <c r="F36" s="15" t="e">
        <f>VLOOKUP(A1,Data!$A$1:$DZU$1000000,602,FALSE)</f>
        <v>#N/A</v>
      </c>
      <c r="G36" s="15" t="e">
        <f>VLOOKUP(A1,Data!$A$1:$DZU$1000000,603,FALSE)</f>
        <v>#N/A</v>
      </c>
      <c r="H36" s="3" t="e">
        <f>VLOOKUP(A1,Data!$A$1:$DZU$1000000,604,FALSE)</f>
        <v>#N/A</v>
      </c>
      <c r="I36" s="3" t="e">
        <f>VLOOKUP(A1,Data!$A$1:$DZU$1000000,605,FALSE)</f>
        <v>#N/A</v>
      </c>
      <c r="J36" t="e">
        <f>VLOOKUP(A1,Data!$A$1:$DZU$1000000,606,FALSE)</f>
        <v>#N/A</v>
      </c>
      <c r="K36" t="e">
        <f>VLOOKUP(A1,Data!$A$1:$DZU$1000000,607,FALSE)</f>
        <v>#N/A</v>
      </c>
      <c r="L36" t="e">
        <f>VLOOKUP(A1,Data!$A$1:$DZU$1000000,608,FALSE)</f>
        <v>#N/A</v>
      </c>
      <c r="M36" t="e">
        <f>VLOOKUP(A1,Data!$A$1:$DZU$1000000,609,FALSE)</f>
        <v>#N/A</v>
      </c>
      <c r="N36" t="e">
        <f>VLOOKUP(A1,Data!$A$1:$DZU$1000000,610,FALSE)</f>
        <v>#N/A</v>
      </c>
      <c r="O36" t="e">
        <f>VLOOKUP(A1,Data!$A$1:$DZU$1000000,611,FALSE)</f>
        <v>#N/A</v>
      </c>
      <c r="P36" t="e">
        <f>VLOOKUP(A1,Data!$A$1:$DZU$1000000,612,FALSE)</f>
        <v>#N/A</v>
      </c>
      <c r="Q36" s="5" t="e">
        <f>VLOOKUP(A1,Data!$A$1:$DZU$1000000,613,FALSE)</f>
        <v>#N/A</v>
      </c>
    </row>
    <row r="37" spans="1:17" x14ac:dyDescent="0.35">
      <c r="A37" s="92" t="e">
        <f>VLOOKUP(A1,Data!$A$1:$DZU$1000000,614,FALSE)</f>
        <v>#N/A</v>
      </c>
      <c r="B37" s="92"/>
      <c r="C37" s="92"/>
      <c r="D37" s="92"/>
      <c r="E37" s="3" t="e">
        <f>VLOOKUP(A1,Data!$A$1:$DZU$1000000,618,FALSE)</f>
        <v>#N/A</v>
      </c>
      <c r="F37" s="15" t="e">
        <f>VLOOKUP(A1,Data!$A$1:$DZU$1000000,619,FALSE)</f>
        <v>#N/A</v>
      </c>
      <c r="G37" s="15" t="e">
        <f>VLOOKUP(A1,Data!$A$1:$DZU$1000000,620,FALSE)</f>
        <v>#N/A</v>
      </c>
      <c r="H37" s="3" t="e">
        <f>VLOOKUP(A1,Data!$A$1:$DZU$1000000,621,FALSE)</f>
        <v>#N/A</v>
      </c>
      <c r="I37" s="3" t="e">
        <f>VLOOKUP(A1,Data!$A$1:$DZU$1000000,622,FALSE)</f>
        <v>#N/A</v>
      </c>
      <c r="J37" t="e">
        <f>VLOOKUP(A1,Data!$A$1:$DZU$1000000,623,FALSE)</f>
        <v>#N/A</v>
      </c>
      <c r="K37" t="e">
        <f>VLOOKUP(A1,Data!$A$1:$DZU$1000000,624,FALSE)</f>
        <v>#N/A</v>
      </c>
      <c r="L37" t="e">
        <f>VLOOKUP(A1,Data!$A$1:$DZU$1000000,625,FALSE)</f>
        <v>#N/A</v>
      </c>
      <c r="M37" t="e">
        <f>VLOOKUP(A1,Data!$A$1:$DZU$1000000,626,FALSE)</f>
        <v>#N/A</v>
      </c>
      <c r="N37" t="e">
        <f>VLOOKUP(A1,Data!$A$1:$DZU$1000000,627,FALSE)</f>
        <v>#N/A</v>
      </c>
      <c r="O37" t="e">
        <f>VLOOKUP(A1,Data!$A$1:$DZU$1000000,628,FALSE)</f>
        <v>#N/A</v>
      </c>
      <c r="P37" t="e">
        <f>VLOOKUP(A1,Data!$A$1:$DZU$1000000,629,FALSE)</f>
        <v>#N/A</v>
      </c>
      <c r="Q37" s="5" t="e">
        <f>VLOOKUP(A1,Data!$A$1:$DZU$1000000,630,FALSE)</f>
        <v>#N/A</v>
      </c>
    </row>
    <row r="38" spans="1:17" x14ac:dyDescent="0.35">
      <c r="A38" s="92" t="e">
        <f>VLOOKUP(A1,Data!$A$1:$DZU$1000000,631,FALSE)</f>
        <v>#N/A</v>
      </c>
      <c r="B38" s="92"/>
      <c r="C38" s="92"/>
      <c r="D38" s="92"/>
      <c r="E38" s="3" t="e">
        <f>VLOOKUP(A1,Data!$A$1:$DZU$1000000,635,FALSE)</f>
        <v>#N/A</v>
      </c>
      <c r="F38" s="15" t="e">
        <f>VLOOKUP(A1,Data!$A$1:$DZU$1000000,636,FALSE)</f>
        <v>#N/A</v>
      </c>
      <c r="G38" s="15" t="e">
        <f>VLOOKUP(A1,Data!$A$1:$DZU$1000000,637,FALSE)</f>
        <v>#N/A</v>
      </c>
      <c r="H38" s="3" t="e">
        <f>VLOOKUP(A1,Data!$A$1:$DZU$1000000,638,FALSE)</f>
        <v>#N/A</v>
      </c>
      <c r="I38" s="3" t="e">
        <f>VLOOKUP(A1,Data!$A$1:$DZU$1000000,639,FALSE)</f>
        <v>#N/A</v>
      </c>
      <c r="J38" t="e">
        <f>VLOOKUP(A1,Data!$A$1:$DZU$1000000,640,FALSE)</f>
        <v>#N/A</v>
      </c>
      <c r="K38" t="e">
        <f>VLOOKUP(A1,Data!$A$1:$DZU$1000000,641,FALSE)</f>
        <v>#N/A</v>
      </c>
      <c r="L38" t="e">
        <f>VLOOKUP(A1,Data!$A$1:$DZU$1000000,642,FALSE)</f>
        <v>#N/A</v>
      </c>
      <c r="M38" t="e">
        <f>VLOOKUP(A1,Data!$A$1:$DZU$1000000,643,FALSE)</f>
        <v>#N/A</v>
      </c>
      <c r="N38" t="e">
        <f>VLOOKUP(A1,Data!$A$1:$DZU$1000000,644,FALSE)</f>
        <v>#N/A</v>
      </c>
      <c r="O38" t="e">
        <f>VLOOKUP(A1,Data!$A$1:$DZU$1000000,645,FALSE)</f>
        <v>#N/A</v>
      </c>
      <c r="P38" t="e">
        <f>VLOOKUP(A1,Data!$A$1:$DZU$1000000,646,FALSE)</f>
        <v>#N/A</v>
      </c>
      <c r="Q38" s="5" t="e">
        <f>VLOOKUP(A1,Data!$A$1:$DZU$1000000,647,FALSE)</f>
        <v>#N/A</v>
      </c>
    </row>
    <row r="39" spans="1:17" x14ac:dyDescent="0.35">
      <c r="A39" s="92" t="e">
        <f>VLOOKUP(A1,Data!$A$1:$DZU$1000000,648,FALSE)</f>
        <v>#N/A</v>
      </c>
      <c r="B39" s="92"/>
      <c r="C39" s="92"/>
      <c r="D39" s="92"/>
      <c r="E39" s="3" t="e">
        <f>VLOOKUP(A1,Data!$A$1:$DZU$1000000,652,FALSE)</f>
        <v>#N/A</v>
      </c>
      <c r="F39" s="15" t="e">
        <f>VLOOKUP(A1,Data!$A$1:$DZU$1000000,653,FALSE)</f>
        <v>#N/A</v>
      </c>
      <c r="G39" s="15" t="e">
        <f>VLOOKUP(A1,Data!$A$1:$DZU$1000000,654,FALSE)</f>
        <v>#N/A</v>
      </c>
      <c r="H39" s="3" t="e">
        <f>VLOOKUP(A1,Data!$A$1:$DZU$1000000,655,FALSE)</f>
        <v>#N/A</v>
      </c>
      <c r="I39" s="3" t="e">
        <f>VLOOKUP(A1,Data!$A$1:$DZU$1000000,656,FALSE)</f>
        <v>#N/A</v>
      </c>
      <c r="J39" t="e">
        <f>VLOOKUP(A1,Data!$A$1:$DZU$1000000,657,FALSE)</f>
        <v>#N/A</v>
      </c>
      <c r="K39" t="e">
        <f>VLOOKUP(A1,Data!$A$1:$DZU$1000000,658,FALSE)</f>
        <v>#N/A</v>
      </c>
      <c r="L39" t="e">
        <f>VLOOKUP(A1,Data!$A$1:$DZU$1000000,659,FALSE)</f>
        <v>#N/A</v>
      </c>
      <c r="M39" t="e">
        <f>VLOOKUP(A1,Data!$A$1:$DZU$1000000,660,FALSE)</f>
        <v>#N/A</v>
      </c>
      <c r="N39" t="e">
        <f>VLOOKUP(A1,Data!$A$1:$DZU$1000000,661,FALSE)</f>
        <v>#N/A</v>
      </c>
      <c r="O39" t="e">
        <f>VLOOKUP(A1,Data!$A$1:$DZU$1000000,662,FALSE)</f>
        <v>#N/A</v>
      </c>
      <c r="P39" t="e">
        <f>VLOOKUP(A1,Data!$A$1:$DZU$1000000,663,FALSE)</f>
        <v>#N/A</v>
      </c>
      <c r="Q39" s="5" t="e">
        <f>VLOOKUP(A1,Data!$A$1:$DZU$1000000,664,FALSE)</f>
        <v>#N/A</v>
      </c>
    </row>
    <row r="40" spans="1:17" x14ac:dyDescent="0.35">
      <c r="A40" s="92" t="e">
        <f>VLOOKUP(A1,Data!$A$1:$DZU$1000000,665,FALSE)</f>
        <v>#N/A</v>
      </c>
      <c r="B40" s="92"/>
      <c r="C40" s="92"/>
      <c r="D40" s="92"/>
      <c r="E40" s="3" t="e">
        <f>VLOOKUP(A1,Data!$A$1:$DZU$1000000,669,FALSE)</f>
        <v>#N/A</v>
      </c>
      <c r="F40" s="15" t="e">
        <f>VLOOKUP(A1,Data!$A$1:$DZU$1000000,670,FALSE)</f>
        <v>#N/A</v>
      </c>
      <c r="G40" s="15" t="e">
        <f>VLOOKUP(A1,Data!$A$1:$DZU$1000000,671,FALSE)</f>
        <v>#N/A</v>
      </c>
      <c r="H40" s="3" t="e">
        <f>VLOOKUP(A1,Data!$A$1:$DZU$1000000,672,FALSE)</f>
        <v>#N/A</v>
      </c>
      <c r="I40" s="3" t="e">
        <f>VLOOKUP(A1,Data!$A$1:$DZU$1000000,673,FALSE)</f>
        <v>#N/A</v>
      </c>
      <c r="J40" t="e">
        <f>VLOOKUP(A1,Data!$A$1:$DZU$1000000,674,FALSE)</f>
        <v>#N/A</v>
      </c>
      <c r="K40" t="e">
        <f>VLOOKUP(A1,Data!$A$1:$DZU$1000000,675,FALSE)</f>
        <v>#N/A</v>
      </c>
      <c r="L40" t="e">
        <f>VLOOKUP(A1,Data!$A$1:$DZU$1000000,676,FALSE)</f>
        <v>#N/A</v>
      </c>
      <c r="M40" t="e">
        <f>VLOOKUP(A1,Data!$A$1:$DZU$1000000,677,FALSE)</f>
        <v>#N/A</v>
      </c>
      <c r="N40" t="e">
        <f>VLOOKUP(A1,Data!$A$1:$DZU$1000000,678,FALSE)</f>
        <v>#N/A</v>
      </c>
      <c r="O40" t="e">
        <f>VLOOKUP(A1,Data!$A$1:$DZU$1000000,679,FALSE)</f>
        <v>#N/A</v>
      </c>
      <c r="P40" t="e">
        <f>VLOOKUP(A1,Data!$A$1:$DZU$1000000,680,FALSE)</f>
        <v>#N/A</v>
      </c>
      <c r="Q40" s="5" t="e">
        <f>VLOOKUP(A1,Data!$A$1:$DZU$1000000,681,FALSE)</f>
        <v>#N/A</v>
      </c>
    </row>
    <row r="41" spans="1:17" ht="15" thickBot="1" x14ac:dyDescent="0.4">
      <c r="A41" s="3" t="e">
        <f>VLOOKUP(A1,Data!$A$1:$DZU$1000000,682,FALSE)</f>
        <v>#N/A</v>
      </c>
      <c r="B41" s="3" t="e">
        <f>VLOOKUP(A1,Data!$A$1:$DZU$1000000,683,FALSE)</f>
        <v>#N/A</v>
      </c>
      <c r="C41" s="3" t="e">
        <f>VLOOKUP(A1,Data!$A$1:$DZU$1000000,684,FALSE)</f>
        <v>#N/A</v>
      </c>
      <c r="D41" s="3" t="e">
        <f>VLOOKUP(A1,Data!$A$1:$DZU$1000000,685,FALSE)</f>
        <v>#N/A</v>
      </c>
      <c r="E41" s="3" t="e">
        <f>VLOOKUP(A1,Data!$A$1:$DZU$1000000,686,FALSE)</f>
        <v>#N/A</v>
      </c>
      <c r="F41" s="9" t="e">
        <f>VLOOKUP(A1,Data!$A$1:$DZU$1000000,687,FALSE)</f>
        <v>#N/A</v>
      </c>
      <c r="G41" s="9" t="e">
        <f>VLOOKUP(A1,Data!$A$1:$DZU$1000000,688,FALSE)</f>
        <v>#N/A</v>
      </c>
      <c r="H41" s="3" t="e">
        <f>VLOOKUP(A1,Data!$A$1:$DZU$1000000,689,FALSE)</f>
        <v>#N/A</v>
      </c>
      <c r="I41" s="3" t="e">
        <f>VLOOKUP(A1,Data!$A$1:$DZU$1000000,690,FALSE)</f>
        <v>#N/A</v>
      </c>
      <c r="J41" t="e">
        <f>VLOOKUP(A1,Data!$A$1:$DZU$1000000,691,FALSE)</f>
        <v>#N/A</v>
      </c>
      <c r="K41" t="e">
        <f>VLOOKUP(A1,Data!$A$1:$DZU$1000000,692,FALSE)</f>
        <v>#N/A</v>
      </c>
      <c r="L41" t="e">
        <f>VLOOKUP(A1,Data!$A$1:$DZU$1000000,693,FALSE)</f>
        <v>#N/A</v>
      </c>
      <c r="M41" t="e">
        <f>VLOOKUP(A1,Data!$A$1:$DZU$1000000,694,FALSE)</f>
        <v>#N/A</v>
      </c>
      <c r="N41" t="e">
        <f>VLOOKUP(A1,Data!$A$1:$DZU$1000000,695,FALSE)</f>
        <v>#N/A</v>
      </c>
      <c r="O41" t="e">
        <f>VLOOKUP(A1,Data!$A$1:$DZU$1000000,696,FALSE)</f>
        <v>#N/A</v>
      </c>
      <c r="P41" t="e">
        <f>VLOOKUP(A1,Data!$A$1:$DZU$1000000,697,FALSE)</f>
        <v>#N/A</v>
      </c>
      <c r="Q41" s="5" t="e">
        <f>VLOOKUP(A1,Data!$A$1:$DZU$1000000,698,FALSE)</f>
        <v>#N/A</v>
      </c>
    </row>
    <row r="42" spans="1:17" x14ac:dyDescent="0.35">
      <c r="A42" s="3" t="e">
        <f>VLOOKUP(A1,Data!$A$1:$DZU$1000000,699,FALSE)</f>
        <v>#N/A</v>
      </c>
      <c r="B42" s="3" t="e">
        <f>VLOOKUP(A1,Data!$A$1:$DZU$1000000,700,FALSE)</f>
        <v>#N/A</v>
      </c>
      <c r="C42" s="3" t="e">
        <f>VLOOKUP(A1,Data!$A$1:$DZU$1000000,701,FALSE)</f>
        <v>#N/A</v>
      </c>
      <c r="D42" s="3" t="e">
        <f>VLOOKUP(A1,Data!$A$1:$DZU$1000000,702,FALSE)</f>
        <v>#N/A</v>
      </c>
      <c r="E42" s="3" t="e">
        <f>VLOOKUP(A1,Data!$A$1:$DZU$1000000,703,FALSE)</f>
        <v>#N/A</v>
      </c>
      <c r="F42" s="3" t="e">
        <f>VLOOKUP(A1,Data!$A$1:$DZU$1000000,704,FALSE)</f>
        <v>#N/A</v>
      </c>
      <c r="G42" s="3" t="e">
        <f>VLOOKUP(A1,Data!$A$1:$DZU$1000000,705,FALSE)</f>
        <v>#N/A</v>
      </c>
      <c r="H42" s="3" t="e">
        <f>VLOOKUP(A1,Data!$A$1:$DZU$1000000,706,FALSE)</f>
        <v>#N/A</v>
      </c>
      <c r="I42" s="3" t="e">
        <f>VLOOKUP(A1,Data!$A$1:$DZU$1000000,707,FALSE)</f>
        <v>#N/A</v>
      </c>
      <c r="J42" t="e">
        <f>VLOOKUP(A1,Data!$A$1:$DZU$1000000,708,FALSE)</f>
        <v>#N/A</v>
      </c>
      <c r="K42" t="e">
        <f>VLOOKUP(A1,Data!$A$1:$DZU$1000000,709,FALSE)</f>
        <v>#N/A</v>
      </c>
      <c r="L42" t="e">
        <f>VLOOKUP(A1,Data!$A$1:$DZU$1000000,710,FALSE)</f>
        <v>#N/A</v>
      </c>
      <c r="M42" t="e">
        <f>VLOOKUP(A1,Data!$A$1:$DZU$1000000,711,FALSE)</f>
        <v>#N/A</v>
      </c>
      <c r="N42" t="e">
        <f>VLOOKUP(A1,Data!$A$1:$DZU$1000000,712,FALSE)</f>
        <v>#N/A</v>
      </c>
      <c r="O42" t="e">
        <f>VLOOKUP(A1,Data!$A$1:$DZU$1000000,713,FALSE)</f>
        <v>#N/A</v>
      </c>
      <c r="P42" t="e">
        <f>VLOOKUP(A1,Data!$A$1:$DZU$1000000,714,FALSE)</f>
        <v>#N/A</v>
      </c>
      <c r="Q42" s="5" t="e">
        <f>VLOOKUP(A1,Data!$A$1:$DZU$1000000,715,FALSE)</f>
        <v>#N/A</v>
      </c>
    </row>
    <row r="43" spans="1:17" x14ac:dyDescent="0.35">
      <c r="A43" s="81" t="e">
        <f>VLOOKUP(A1,Data!$A$1:$DZU$1000000,716,FALSE)</f>
        <v>#N/A</v>
      </c>
      <c r="B43" s="80"/>
      <c r="C43" s="3" t="e">
        <f>VLOOKUP(A1,Data!$A$1:$DZU$1000000,718,FALSE)</f>
        <v>#N/A</v>
      </c>
      <c r="D43" s="3" t="e">
        <f>VLOOKUP(A1,Data!$A$1:$DZU$1000000,719,FALSE)</f>
        <v>#N/A</v>
      </c>
      <c r="E43" s="3" t="e">
        <f>VLOOKUP(A1,Data!$A$1:$DZU$1000000,720,FALSE)</f>
        <v>#N/A</v>
      </c>
      <c r="F43" s="3" t="e">
        <f>VLOOKUP(A1,Data!$A$1:$DZU$1000000,721,FALSE)</f>
        <v>#N/A</v>
      </c>
      <c r="G43" s="3" t="e">
        <f>VLOOKUP(A1,Data!$A$1:$DZU$1000000,722,FALSE)</f>
        <v>#N/A</v>
      </c>
      <c r="H43" s="3" t="e">
        <f>VLOOKUP(A1,Data!$A$1:$DZU$1000000,723,FALSE)</f>
        <v>#N/A</v>
      </c>
      <c r="I43" s="3" t="e">
        <f>VLOOKUP(A1,Data!$A$1:$DZU$1000000,724,FALSE)</f>
        <v>#N/A</v>
      </c>
      <c r="J43" t="e">
        <f>VLOOKUP(A1,Data!$A$1:$DZU$1000000,725,FALSE)</f>
        <v>#N/A</v>
      </c>
      <c r="K43" t="e">
        <f>VLOOKUP(A1,Data!$A$1:$DZU$1000000,726,FALSE)</f>
        <v>#N/A</v>
      </c>
      <c r="L43" t="e">
        <f>VLOOKUP(A1,Data!$A$1:$DZU$1000000,727,FALSE)</f>
        <v>#N/A</v>
      </c>
      <c r="M43" t="e">
        <f>VLOOKUP(A1,Data!$A$1:$DZU$1000000,728,FALSE)</f>
        <v>#N/A</v>
      </c>
      <c r="N43" t="e">
        <f>VLOOKUP(A1,Data!$A$1:$DZU$1000000,729,FALSE)</f>
        <v>#N/A</v>
      </c>
      <c r="O43" t="e">
        <f>VLOOKUP(A1,Data!$A$1:$DZU$1000000,730,FALSE)</f>
        <v>#N/A</v>
      </c>
      <c r="P43" t="e">
        <f>VLOOKUP(A1,Data!$A$1:$DZU$1000000,731,FALSE)</f>
        <v>#N/A</v>
      </c>
      <c r="Q43" s="5" t="e">
        <f>VLOOKUP(A1,Data!$A$1:$DZU$1000000,732,FALSE)</f>
        <v>#N/A</v>
      </c>
    </row>
    <row r="44" spans="1:17" x14ac:dyDescent="0.35">
      <c r="A44" s="3" t="e">
        <f>VLOOKUP(A1,Data!$A$1:$DZU$1000000,733,FALSE)</f>
        <v>#N/A</v>
      </c>
      <c r="B44" s="3" t="e">
        <f>VLOOKUP(A1,Data!$A$1:$DZU$1000000,734,FALSE)</f>
        <v>#N/A</v>
      </c>
      <c r="C44" s="3" t="e">
        <f>VLOOKUP(A1,Data!$A$1:$DZU$1000000,735,FALSE)</f>
        <v>#N/A</v>
      </c>
      <c r="D44" s="3" t="e">
        <f>VLOOKUP(A1,Data!$A$1:$DZU$1000000,736,FALSE)</f>
        <v>#N/A</v>
      </c>
      <c r="E44" s="3" t="e">
        <f>VLOOKUP(A1,Data!$A$1:$DZU$1000000,737,FALSE)</f>
        <v>#N/A</v>
      </c>
      <c r="F44" s="3" t="e">
        <f>VLOOKUP(A1,Data!$A$1:$DZU$1000000,738,FALSE)</f>
        <v>#N/A</v>
      </c>
      <c r="G44" s="3" t="e">
        <f>VLOOKUP(A1,Data!$A$1:$DZU$1000000,739,FALSE)</f>
        <v>#N/A</v>
      </c>
      <c r="H44" s="3" t="e">
        <f>VLOOKUP(A1,Data!$A$1:$DZU$1000000,740,FALSE)</f>
        <v>#N/A</v>
      </c>
      <c r="I44" s="3" t="e">
        <f>VLOOKUP(A1,Data!$A$1:$DZU$1000000,741,FALSE)</f>
        <v>#N/A</v>
      </c>
      <c r="J44" t="e">
        <f>VLOOKUP(A1,Data!$A$1:$DZU$1000000,742,FALSE)</f>
        <v>#N/A</v>
      </c>
      <c r="K44" t="e">
        <f>VLOOKUP(A1,Data!$A$1:$DZU$1000000,743,FALSE)</f>
        <v>#N/A</v>
      </c>
      <c r="L44" t="e">
        <f>VLOOKUP(A1,Data!$A$1:$DZU$1000000,744,FALSE)</f>
        <v>#N/A</v>
      </c>
      <c r="M44" t="e">
        <f>VLOOKUP(A1,Data!$A$1:$DZU$1000000,745,FALSE)</f>
        <v>#N/A</v>
      </c>
      <c r="N44" t="e">
        <f>VLOOKUP(A1,Data!$A$1:$DZU$1000000,746,FALSE)</f>
        <v>#N/A</v>
      </c>
      <c r="O44" t="e">
        <f>VLOOKUP(A1,Data!$A$1:$DZU$1000000,747,FALSE)</f>
        <v>#N/A</v>
      </c>
      <c r="P44" t="e">
        <f>VLOOKUP(A1,Data!$A$1:$DZU$1000000,748,FALSE)</f>
        <v>#N/A</v>
      </c>
      <c r="Q44" s="5" t="e">
        <f>VLOOKUP(A1,Data!$A$1:$DZU$1000000,749,FALSE)</f>
        <v>#N/A</v>
      </c>
    </row>
    <row r="45" spans="1:17" ht="15" thickBot="1" x14ac:dyDescent="0.4">
      <c r="A45" s="79" t="e">
        <f>VLOOKUP(A1,Data!$A$1:$DZU$1000000,750,FALSE)</f>
        <v>#N/A</v>
      </c>
      <c r="B45" s="80"/>
      <c r="C45" s="80"/>
      <c r="D45" s="80"/>
      <c r="E45" s="93" t="e">
        <f>VLOOKUP(A1,Data!$A$1:$DZU$1000000,754,FALSE)</f>
        <v>#N/A</v>
      </c>
      <c r="F45" s="72"/>
      <c r="G45" s="72"/>
      <c r="H45" s="72"/>
      <c r="I45" s="3" t="e">
        <f>VLOOKUP(A1,Data!$A$1:$DZU$1000000,758,FALSE)</f>
        <v>#N/A</v>
      </c>
      <c r="J45" t="e">
        <f>VLOOKUP(A1,Data!$A$1:$DZU$1000000,759,FALSE)</f>
        <v>#N/A</v>
      </c>
      <c r="K45" t="e">
        <f>VLOOKUP(A1,Data!$A$1:$DZU$1000000,760,FALSE)</f>
        <v>#N/A</v>
      </c>
      <c r="L45" t="e">
        <f>VLOOKUP(A1,Data!$A$1:$DZU$1000000,761,FALSE)</f>
        <v>#N/A</v>
      </c>
      <c r="M45" t="e">
        <f>VLOOKUP(A1,Data!$A$1:$DZU$1000000,762,FALSE)</f>
        <v>#N/A</v>
      </c>
      <c r="N45" t="e">
        <f>VLOOKUP(A1,Data!$A$1:$DZU$1000000,763,FALSE)</f>
        <v>#N/A</v>
      </c>
      <c r="O45" t="e">
        <f>VLOOKUP(A1,Data!$A$1:$DZU$1000000,764,FALSE)</f>
        <v>#N/A</v>
      </c>
      <c r="P45" t="e">
        <f>VLOOKUP(A1,Data!$A$1:$DZU$1000000,765,FALSE)</f>
        <v>#N/A</v>
      </c>
      <c r="Q45" s="5" t="e">
        <f>VLOOKUP(A1,Data!$A$1:$DZU$1000000,766,FALSE)</f>
        <v>#N/A</v>
      </c>
    </row>
    <row r="46" spans="1:17" x14ac:dyDescent="0.35">
      <c r="A46" s="81" t="e">
        <f>VLOOKUP(A1,Data!$A$1:$DZU$1000000,767,FALSE)</f>
        <v>#N/A</v>
      </c>
      <c r="B46" s="80"/>
      <c r="C46" s="80"/>
      <c r="D46" s="80"/>
      <c r="E46" s="3" t="e">
        <f>VLOOKUP(A1,Data!$A$1:$DZU$1000000,771,FALSE)</f>
        <v>#N/A</v>
      </c>
      <c r="F46" s="3" t="e">
        <f>VLOOKUP(A1,Data!$A$1:$DZU$1000000,772,FALSE)</f>
        <v>#N/A</v>
      </c>
      <c r="G46" s="3" t="e">
        <f>VLOOKUP(A1,Data!$A$1:$DZU$1000000,773,FALSE)</f>
        <v>#N/A</v>
      </c>
      <c r="H46" s="3" t="e">
        <f>VLOOKUP(A1,Data!$A$1:$DZU$1000000,774,FALSE)</f>
        <v>#N/A</v>
      </c>
      <c r="I46" s="3" t="e">
        <f>VLOOKUP(A1,Data!$A$1:$DZU$1000000,775,FALSE)</f>
        <v>#N/A</v>
      </c>
      <c r="J46" t="e">
        <f>VLOOKUP(A1,Data!$A$1:$DZU$1000000,776,FALSE)</f>
        <v>#N/A</v>
      </c>
      <c r="K46" t="e">
        <f>VLOOKUP(A1,Data!$A$1:$DZU$1000000,777,FALSE)</f>
        <v>#N/A</v>
      </c>
      <c r="L46" t="e">
        <f>VLOOKUP(A1,Data!$A$1:$DZU$1000000,778,FALSE)</f>
        <v>#N/A</v>
      </c>
      <c r="M46" t="e">
        <f>VLOOKUP(A1,Data!$A$1:$DZU$1000000,779,FALSE)</f>
        <v>#N/A</v>
      </c>
      <c r="N46" t="e">
        <f>VLOOKUP(A1,Data!$A$1:$DZU$1000000,780,FALSE)</f>
        <v>#N/A</v>
      </c>
      <c r="O46" t="e">
        <f>VLOOKUP(A1,Data!$A$1:$DZU$1000000,781,FALSE)</f>
        <v>#N/A</v>
      </c>
      <c r="P46" t="e">
        <f>VLOOKUP(A1,Data!$A$1:$DZU$1000000,782,FALSE)</f>
        <v>#N/A</v>
      </c>
      <c r="Q46" s="5" t="e">
        <f>VLOOKUP(A1,Data!$A$1:$DZU$1000000,783,FALSE)</f>
        <v>#N/A</v>
      </c>
    </row>
    <row r="47" spans="1:17" ht="21.5" thickBot="1" x14ac:dyDescent="0.55000000000000004">
      <c r="A47" s="13" t="e">
        <f>VLOOKUP(A1,Data!$A$1:$DZU$1000000,784,FALSE)</f>
        <v>#N/A</v>
      </c>
      <c r="B47" s="91" t="e">
        <f>VLOOKUP(A1,Data!$A$1:$DZU$1000000,785,FALSE)</f>
        <v>#N/A</v>
      </c>
      <c r="C47" s="72"/>
      <c r="D47" s="72"/>
      <c r="E47" s="13" t="e">
        <f>VLOOKUP(A1,Data!$A$1:$DZU$1000000,788,FALSE)</f>
        <v>#N/A</v>
      </c>
      <c r="F47" s="94" t="e">
        <f>VLOOKUP(A1,Data!$A$1:$DZU$1000000,789,FALSE)</f>
        <v>#N/A</v>
      </c>
      <c r="G47" s="91"/>
      <c r="H47" s="91"/>
      <c r="I47" s="3" t="e">
        <f>VLOOKUP(A1,Data!$A$1:$DZU$1000000,792,FALSE)</f>
        <v>#N/A</v>
      </c>
      <c r="J47" t="e">
        <f>VLOOKUP(A1,Data!$A$1:$DZU$1000000,793,FALSE)</f>
        <v>#N/A</v>
      </c>
      <c r="K47" t="e">
        <f>VLOOKUP(A1,Data!$A$1:$DZU$1000000,794,FALSE)</f>
        <v>#N/A</v>
      </c>
      <c r="L47" t="e">
        <f>VLOOKUP(A1,Data!$A$1:$DZU$1000000,795,FALSE)</f>
        <v>#N/A</v>
      </c>
      <c r="M47" t="e">
        <f>VLOOKUP(A1,Data!$A$1:$DZU$1000000,796,FALSE)</f>
        <v>#N/A</v>
      </c>
      <c r="N47" t="e">
        <f>VLOOKUP(A1,Data!$A$1:$DZU$1000000,797,FALSE)</f>
        <v>#N/A</v>
      </c>
      <c r="O47" t="e">
        <f>VLOOKUP(A1,Data!$A$1:$DZU$1000000,798,FALSE)</f>
        <v>#N/A</v>
      </c>
      <c r="P47" t="e">
        <f>VLOOKUP(A1,Data!$A$1:$DZU$1000000,799,FALSE)</f>
        <v>#N/A</v>
      </c>
      <c r="Q47" s="5" t="e">
        <f>VLOOKUP(A1,Data!$A$1:$DZU$1000000,800,FALSE)</f>
        <v>#N/A</v>
      </c>
    </row>
    <row r="48" spans="1:17" x14ac:dyDescent="0.35">
      <c r="A48" s="3" t="e">
        <f>VLOOKUP(A1,Data!$A$1:$DZU$1000000,801,FALSE)</f>
        <v>#N/A</v>
      </c>
      <c r="B48" s="3" t="e">
        <f>VLOOKUP(A1,Data!$A$1:$DZU$1000000,802,FALSE)</f>
        <v>#N/A</v>
      </c>
      <c r="C48" s="3" t="e">
        <f>VLOOKUP(A1,Data!$A$1:$DZU$1000000,803,FALSE)</f>
        <v>#N/A</v>
      </c>
      <c r="D48" s="3" t="e">
        <f>VLOOKUP(A1,Data!$A$1:$DZU$1000000,804,FALSE)</f>
        <v>#N/A</v>
      </c>
      <c r="E48" s="3" t="e">
        <f>VLOOKUP(A1,Data!$A$1:$DZU$1000000,805,FALSE)</f>
        <v>#N/A</v>
      </c>
      <c r="F48" s="3" t="e">
        <f>VLOOKUP(A1,Data!$A$1:$DZU$1000000,806,FALSE)</f>
        <v>#N/A</v>
      </c>
      <c r="G48" s="3" t="e">
        <f>VLOOKUP(A1,Data!$A$1:$DZU$1000000,807,FALSE)</f>
        <v>#N/A</v>
      </c>
      <c r="H48" s="3" t="e">
        <f>VLOOKUP(A1,Data!$A$1:$DZU$1000000,808,FALSE)</f>
        <v>#N/A</v>
      </c>
      <c r="I48" s="3" t="e">
        <f>VLOOKUP(A1,Data!$A$1:$DZU$1000000,809,FALSE)</f>
        <v>#N/A</v>
      </c>
      <c r="J48" t="e">
        <f>VLOOKUP(A1,Data!$A$1:$DZU$1000000,810,FALSE)</f>
        <v>#N/A</v>
      </c>
      <c r="K48" t="e">
        <f>VLOOKUP(A1,Data!$A$1:$DZU$1000000,811,FALSE)</f>
        <v>#N/A</v>
      </c>
      <c r="L48" t="e">
        <f>VLOOKUP(A1,Data!$A$1:$DZU$1000000,812,FALSE)</f>
        <v>#N/A</v>
      </c>
      <c r="M48" t="e">
        <f>VLOOKUP(A1,Data!$A$1:$DZU$1000000,813,FALSE)</f>
        <v>#N/A</v>
      </c>
      <c r="N48" t="e">
        <f>VLOOKUP(A1,Data!$A$1:$DZU$1000000,814,FALSE)</f>
        <v>#N/A</v>
      </c>
      <c r="O48" t="e">
        <f>VLOOKUP(A1,Data!$A$1:$DZU$1000000,815,FALSE)</f>
        <v>#N/A</v>
      </c>
      <c r="P48" t="e">
        <f>VLOOKUP(A1,Data!$A$1:$DZU$1000000,816,FALSE)</f>
        <v>#N/A</v>
      </c>
      <c r="Q48" s="5" t="e">
        <f>VLOOKUP(A1,Data!$A$1:$DZU$1000000,817,FALSE)</f>
        <v>#N/A</v>
      </c>
    </row>
    <row r="49" spans="1:17" ht="15" thickBot="1" x14ac:dyDescent="0.4">
      <c r="A49" s="13" t="e">
        <f>VLOOKUP(A1,Data!$A$1:$DZU$1000000,818,FALSE)</f>
        <v>#N/A</v>
      </c>
      <c r="B49" s="13" t="e">
        <f>VLOOKUP(A1,Data!$A$1:$DZU$1000000,819,FALSE)</f>
        <v>#N/A</v>
      </c>
      <c r="C49" s="3" t="e">
        <f>VLOOKUP(A1,Data!$A$1:$DZU$1000000,820,FALSE)</f>
        <v>#N/A</v>
      </c>
      <c r="D49" s="13" t="e">
        <f>VLOOKUP(A1,Data!$A$1:$DZU$1000000,821,FALSE)</f>
        <v>#N/A</v>
      </c>
      <c r="E49" s="16" t="e">
        <f>VLOOKUP(A1,Data!$A$1:$DZU$1000000,822,FALSE)</f>
        <v>#N/A</v>
      </c>
      <c r="F49" s="13" t="e">
        <f>VLOOKUP(A1,Data!$A$1:$DZU$1000000,823,FALSE)</f>
        <v>#N/A</v>
      </c>
      <c r="G49" s="17" t="e">
        <f>VLOOKUP(A1,Data!$A$1:$DZU$1000000,824,FALSE)</f>
        <v>#N/A</v>
      </c>
      <c r="H49" s="15" t="e">
        <f>VLOOKUP(A1,Data!$A$1:$DZU$1000000,825,FALSE)</f>
        <v>#N/A</v>
      </c>
      <c r="I49" s="3" t="e">
        <f>VLOOKUP(A1,Data!$A$1:$DZU$1000000,826,FALSE)</f>
        <v>#N/A</v>
      </c>
      <c r="J49" t="e">
        <f>VLOOKUP(A1,Data!$A$1:$DZU$1000000,827,FALSE)</f>
        <v>#N/A</v>
      </c>
      <c r="K49" t="e">
        <f>VLOOKUP(A1,Data!$A$1:$DZU$1000000,828,FALSE)</f>
        <v>#N/A</v>
      </c>
      <c r="L49" t="e">
        <f>VLOOKUP(A1,Data!$A$1:$DZU$1000000,829,FALSE)</f>
        <v>#N/A</v>
      </c>
      <c r="M49" t="e">
        <f>VLOOKUP(A1,Data!$A$1:$DZU$1000000,830,FALSE)</f>
        <v>#N/A</v>
      </c>
      <c r="N49" t="e">
        <f>VLOOKUP(A1,Data!$A$1:$DZU$1000000,831,FALSE)</f>
        <v>#N/A</v>
      </c>
      <c r="O49" t="e">
        <f>VLOOKUP(A1,Data!$A$1:$DZU$1000000,832,FALSE)</f>
        <v>#N/A</v>
      </c>
      <c r="P49" t="e">
        <f>VLOOKUP(A1,Data!$A$1:$DZU$1000000,833,FALSE)</f>
        <v>#N/A</v>
      </c>
      <c r="Q49" s="5" t="e">
        <f>VLOOKUP(A1,Data!$A$1:$DZU$1000000,834,FALSE)</f>
        <v>#N/A</v>
      </c>
    </row>
    <row r="50" spans="1:17" x14ac:dyDescent="0.35">
      <c r="A50" s="3" t="e">
        <f>VLOOKUP(A1,Data!$A$1:$DZU$1000000,835,FALSE)</f>
        <v>#N/A</v>
      </c>
      <c r="B50" s="3" t="e">
        <f>VLOOKUP(A1,Data!$A$1:$DZU$1000000,836,FALSE)</f>
        <v>#N/A</v>
      </c>
      <c r="C50" s="3" t="e">
        <f>VLOOKUP(A1,Data!$A$1:$DZU$1000000,837,FALSE)</f>
        <v>#N/A</v>
      </c>
      <c r="D50" s="3" t="e">
        <f>VLOOKUP(A1,Data!$A$1:$DZU$1000000,838,FALSE)</f>
        <v>#N/A</v>
      </c>
      <c r="E50" s="3" t="e">
        <f>VLOOKUP(A1,Data!$A$1:$DZU$1000000,839,FALSE)</f>
        <v>#N/A</v>
      </c>
      <c r="F50" s="3" t="e">
        <f>VLOOKUP(A1,Data!$A$1:$DZU$1000000,840,FALSE)</f>
        <v>#N/A</v>
      </c>
      <c r="G50" s="3" t="e">
        <f>VLOOKUP(A1,Data!$A$1:$DZU$1000000,841,FALSE)</f>
        <v>#N/A</v>
      </c>
      <c r="H50" s="3" t="e">
        <f>VLOOKUP(A1,Data!$A$1:$DZU$1000000,842,FALSE)</f>
        <v>#N/A</v>
      </c>
      <c r="I50" s="3" t="e">
        <f>VLOOKUP(A1,Data!$A$1:$DZU$1000000,843,FALSE)</f>
        <v>#N/A</v>
      </c>
      <c r="J50" t="e">
        <f>VLOOKUP(A1,Data!$A$1:$DZU$1000000,844,FALSE)</f>
        <v>#N/A</v>
      </c>
      <c r="K50" t="e">
        <f>VLOOKUP(A1,Data!$A$1:$DZU$1000000,845,FALSE)</f>
        <v>#N/A</v>
      </c>
      <c r="L50" t="e">
        <f>VLOOKUP(A1,Data!$A$1:$DZU$1000000,846,FALSE)</f>
        <v>#N/A</v>
      </c>
      <c r="M50" t="e">
        <f>VLOOKUP(A1,Data!$A$1:$DZU$1000000,847,FALSE)</f>
        <v>#N/A</v>
      </c>
      <c r="N50" t="e">
        <f>VLOOKUP(A1,Data!$A$1:$DZU$1000000,848,FALSE)</f>
        <v>#N/A</v>
      </c>
      <c r="O50" t="e">
        <f>VLOOKUP(A1,Data!$A$1:$DZU$1000000,849,FALSE)</f>
        <v>#N/A</v>
      </c>
      <c r="P50" t="e">
        <f>VLOOKUP(A1,Data!$A$1:$DZU$1000000,850,FALSE)</f>
        <v>#N/A</v>
      </c>
      <c r="Q50" s="5" t="e">
        <f>VLOOKUP(A1,Data!$A$1:$DZU$1000000,851,FALSE)</f>
        <v>#N/A</v>
      </c>
    </row>
    <row r="51" spans="1:17" x14ac:dyDescent="0.35">
      <c r="A51" s="54" t="e">
        <f>VLOOKUP(A1,Data!$A$1:$DZU$1000000,852,FALSE)</f>
        <v>#N/A</v>
      </c>
      <c r="B51" t="e">
        <f>VLOOKUP(A1,Data!$A$1:$DZU$1000000,853,FALSE)</f>
        <v>#N/A</v>
      </c>
      <c r="C51" t="e">
        <f>VLOOKUP(A1,Data!$A$1:$DZU$1000000,854,FALSE)</f>
        <v>#N/A</v>
      </c>
      <c r="D51" t="e">
        <f>VLOOKUP(A1,Data!$A$1:$DZU$1000000,855,FALSE)</f>
        <v>#N/A</v>
      </c>
      <c r="E51" t="e">
        <f>VLOOKUP(A1,Data!$A$1:$DZU$1000000,856,FALSE)</f>
        <v>#N/A</v>
      </c>
      <c r="F51" t="e">
        <f>VLOOKUP(A1,Data!$A$1:$DZU$1000000,857,FALSE)</f>
        <v>#N/A</v>
      </c>
      <c r="G51" t="e">
        <f>VLOOKUP(A1,Data!$A$1:$DZU$1000000,858,FALSE)</f>
        <v>#N/A</v>
      </c>
      <c r="H51" t="e">
        <f>VLOOKUP(A1,Data!$A$1:$DZU$1000000,859,FALSE)</f>
        <v>#N/A</v>
      </c>
      <c r="I51" t="e">
        <f>VLOOKUP(A1,Data!$A$1:$DZU$1000000,860,FALSE)</f>
        <v>#N/A</v>
      </c>
      <c r="J51" t="e">
        <f>VLOOKUP(A1,Data!$A$1:$DZU$1000000,861,FALSE)</f>
        <v>#N/A</v>
      </c>
      <c r="K51" t="e">
        <f>VLOOKUP(A1,Data!$A$1:$DZU$1000000,862,FALSE)</f>
        <v>#N/A</v>
      </c>
      <c r="L51" t="e">
        <f>VLOOKUP(A1,Data!$A$1:$DZU$1000000,863,FALSE)</f>
        <v>#N/A</v>
      </c>
      <c r="M51" t="e">
        <f>VLOOKUP(A1,Data!$A$1:$DZU$1000000,864,FALSE)</f>
        <v>#N/A</v>
      </c>
      <c r="N51" t="e">
        <f>VLOOKUP(A1,Data!$A$1:$DZU$1000000,865,FALSE)</f>
        <v>#N/A</v>
      </c>
      <c r="O51" t="e">
        <f>VLOOKUP(A1,Data!$A$1:$DZU$1000000,866,FALSE)</f>
        <v>#N/A</v>
      </c>
      <c r="P51" t="e">
        <f>VLOOKUP(A1,Data!$A$1:$DZU$1000000,867,FALSE)</f>
        <v>#N/A</v>
      </c>
      <c r="Q51" s="5" t="e">
        <f>VLOOKUP(A1,Data!$A$1:$DZU$1000000,868,FALSE)</f>
        <v>#N/A</v>
      </c>
    </row>
    <row r="52" spans="1:17" x14ac:dyDescent="0.35">
      <c r="A52" s="54" t="e">
        <f>VLOOKUP(A1,Data!$A$1:$DZU$1000000,869,FALSE)</f>
        <v>#N/A</v>
      </c>
      <c r="B52" t="e">
        <f>VLOOKUP(A1,Data!$A$1:$DZU$1000000,870,FALSE)</f>
        <v>#N/A</v>
      </c>
      <c r="C52" t="e">
        <f>VLOOKUP(A1,Data!$A$1:$DZU$1000000,871,FALSE)</f>
        <v>#N/A</v>
      </c>
      <c r="D52" t="e">
        <f>VLOOKUP(A1,Data!$A$1:$DZU$1000000,872,FALSE)</f>
        <v>#N/A</v>
      </c>
      <c r="E52" t="e">
        <f>VLOOKUP(A1,Data!$A$1:$DZU$1000000,873,FALSE)</f>
        <v>#N/A</v>
      </c>
      <c r="F52" t="e">
        <f>VLOOKUP(A1,Data!$A$1:$DZU$1000000,874,FALSE)</f>
        <v>#N/A</v>
      </c>
      <c r="G52" t="e">
        <f>VLOOKUP(A1,Data!$A$1:$DZU$1000000,875,FALSE)</f>
        <v>#N/A</v>
      </c>
      <c r="H52" t="e">
        <f>VLOOKUP(A1,Data!$A$1:$DZU$1000000,876,FALSE)</f>
        <v>#N/A</v>
      </c>
      <c r="I52" t="e">
        <f>VLOOKUP(A1,Data!$A$1:$DZU$1000000,877,FALSE)</f>
        <v>#N/A</v>
      </c>
      <c r="J52" t="e">
        <f>VLOOKUP(A1,Data!$A$1:$DZU$1000000,878,FALSE)</f>
        <v>#N/A</v>
      </c>
      <c r="K52" t="e">
        <f>VLOOKUP(A1,Data!$A$1:$DZU$1000000,879,FALSE)</f>
        <v>#N/A</v>
      </c>
      <c r="L52" t="e">
        <f>VLOOKUP(A1,Data!$A$1:$DZU$1000000,880,FALSE)</f>
        <v>#N/A</v>
      </c>
      <c r="M52" t="e">
        <f>VLOOKUP(A1,Data!$A$1:$DZU$1000000,881,FALSE)</f>
        <v>#N/A</v>
      </c>
      <c r="N52" t="e">
        <f>VLOOKUP(A1,Data!$A$1:$DZU$1000000,882,FALSE)</f>
        <v>#N/A</v>
      </c>
      <c r="O52" t="e">
        <f>VLOOKUP(A1,Data!$A$1:$DZU$1000000,883,FALSE)</f>
        <v>#N/A</v>
      </c>
      <c r="P52" t="e">
        <f>VLOOKUP(A1,Data!$A$1:$DZU$1000000,884,FALSE)</f>
        <v>#N/A</v>
      </c>
      <c r="Q52" s="5" t="e">
        <f>VLOOKUP(A1,Data!$A$1:$DZU$1000000,885,FALSE)</f>
        <v>#N/A</v>
      </c>
    </row>
    <row r="53" spans="1:17" x14ac:dyDescent="0.35">
      <c r="A53" s="54" t="e">
        <f>VLOOKUP(A1,Data!$A$1:$DZU$1000000,886,FALSE)</f>
        <v>#N/A</v>
      </c>
      <c r="B53" t="e">
        <f>VLOOKUP(A1,Data!$A$1:$DZU$1000000,887,FALSE)</f>
        <v>#N/A</v>
      </c>
      <c r="C53" t="e">
        <f>VLOOKUP(A1,Data!$A$1:$DZU$1000000,888,FALSE)</f>
        <v>#N/A</v>
      </c>
      <c r="D53" t="e">
        <f>VLOOKUP(A1,Data!$A$1:$DZU$1000000,889,FALSE)</f>
        <v>#N/A</v>
      </c>
      <c r="E53" t="e">
        <f>VLOOKUP(A1,Data!$A$1:$DZU$1000000,890,FALSE)</f>
        <v>#N/A</v>
      </c>
      <c r="F53" t="e">
        <f>VLOOKUP(A1,Data!$A$1:$DZU$1000000,891,FALSE)</f>
        <v>#N/A</v>
      </c>
      <c r="G53" t="e">
        <f>VLOOKUP(A1,Data!$A$1:$DZU$1000000,892,FALSE)</f>
        <v>#N/A</v>
      </c>
      <c r="H53" t="e">
        <f>VLOOKUP(A1,Data!$A$1:$DZU$1000000,893,FALSE)</f>
        <v>#N/A</v>
      </c>
      <c r="I53" t="e">
        <f>VLOOKUP(A1,Data!$A$1:$DZU$1000000,894,FALSE)</f>
        <v>#N/A</v>
      </c>
      <c r="J53" t="e">
        <f>VLOOKUP(A1,Data!$A$1:$DZU$1000000,895,FALSE)</f>
        <v>#N/A</v>
      </c>
      <c r="K53" t="e">
        <f>VLOOKUP(A1,Data!$A$1:$DZU$1000000,896,FALSE)</f>
        <v>#N/A</v>
      </c>
      <c r="L53" t="e">
        <f>VLOOKUP(A1,Data!$A$1:$DZU$1000000,897,FALSE)</f>
        <v>#N/A</v>
      </c>
      <c r="M53" t="e">
        <f>VLOOKUP(A1,Data!$A$1:$DZU$1000000,898,FALSE)</f>
        <v>#N/A</v>
      </c>
      <c r="N53" t="e">
        <f>VLOOKUP(A1,Data!$A$1:$DZU$1000000,899,FALSE)</f>
        <v>#N/A</v>
      </c>
      <c r="O53" t="e">
        <f>VLOOKUP(A1,Data!$A$1:$DZU$1000000,900,FALSE)</f>
        <v>#N/A</v>
      </c>
      <c r="P53" t="e">
        <f>VLOOKUP(A1,Data!$A$1:$DZU$1000000,901,FALSE)</f>
        <v>#N/A</v>
      </c>
      <c r="Q53" s="5" t="e">
        <f>VLOOKUP(A1,Data!$A$1:$DZU$1000000,902,FALSE)</f>
        <v>#N/A</v>
      </c>
    </row>
    <row r="54" spans="1:17" x14ac:dyDescent="0.35">
      <c r="A54" s="54" t="e">
        <f>VLOOKUP(A1,Data!$A$1:$DZU$1000000,903,FALSE)</f>
        <v>#N/A</v>
      </c>
      <c r="B54" t="e">
        <f>VLOOKUP(A1,Data!$A$1:$DZU$1000000,904,FALSE)</f>
        <v>#N/A</v>
      </c>
      <c r="C54" t="e">
        <f>VLOOKUP(A1,Data!$A$1:$DZU$1000000,905,FALSE)</f>
        <v>#N/A</v>
      </c>
      <c r="D54" t="e">
        <f>VLOOKUP(A1,Data!$A$1:$DZU$1000000,906,FALSE)</f>
        <v>#N/A</v>
      </c>
      <c r="E54" t="e">
        <f>VLOOKUP(A1,Data!$A$1:$DZU$1000000,907,FALSE)</f>
        <v>#N/A</v>
      </c>
      <c r="F54" t="e">
        <f>VLOOKUP(A1,Data!$A$1:$DZU$1000000,908,FALSE)</f>
        <v>#N/A</v>
      </c>
      <c r="G54" t="e">
        <f>VLOOKUP(A1,Data!$A$1:$DZU$1000000,909,FALSE)</f>
        <v>#N/A</v>
      </c>
      <c r="H54" t="e">
        <f>VLOOKUP(A1,Data!$A$1:$DZU$1000000,910,FALSE)</f>
        <v>#N/A</v>
      </c>
      <c r="I54" t="e">
        <f>VLOOKUP(A1,Data!$A$1:$DZU$1000000,911,FALSE)</f>
        <v>#N/A</v>
      </c>
      <c r="J54" t="e">
        <f>VLOOKUP(A1,Data!$A$1:$DZU$1000000,912,FALSE)</f>
        <v>#N/A</v>
      </c>
      <c r="K54" t="e">
        <f>VLOOKUP(A1,Data!$A$1:$DZU$1000000,913,FALSE)</f>
        <v>#N/A</v>
      </c>
      <c r="L54" t="e">
        <f>VLOOKUP(A1,Data!$A$1:$DZU$1000000,914,FALSE)</f>
        <v>#N/A</v>
      </c>
      <c r="M54" t="e">
        <f>VLOOKUP(A1,Data!$A$1:$DZU$1000000,915,FALSE)</f>
        <v>#N/A</v>
      </c>
      <c r="N54" t="e">
        <f>VLOOKUP(A1,Data!$A$1:$DZU$1000000,916,FALSE)</f>
        <v>#N/A</v>
      </c>
      <c r="O54" t="e">
        <f>VLOOKUP(A1,Data!$A$1:$DZU$1000000,917,FALSE)</f>
        <v>#N/A</v>
      </c>
      <c r="P54" t="e">
        <f>VLOOKUP(A1,Data!$A$1:$DZU$1000000,918,FALSE)</f>
        <v>#N/A</v>
      </c>
      <c r="Q54" s="5" t="e">
        <f>VLOOKUP(A1,Data!$A$1:$DZU$1000000,919,FALSE)</f>
        <v>#N/A</v>
      </c>
    </row>
    <row r="55" spans="1:17" x14ac:dyDescent="0.35">
      <c r="A55" s="54" t="e">
        <f>VLOOKUP(A1,Data!$A$1:$DZU$1000000,920,FALSE)</f>
        <v>#N/A</v>
      </c>
      <c r="B55" t="e">
        <f>VLOOKUP(A1,Data!$A$1:$DZU$1000000,921,FALSE)</f>
        <v>#N/A</v>
      </c>
      <c r="C55" t="e">
        <f>VLOOKUP(A1,Data!$A$1:$DZU$1000000,922,FALSE)</f>
        <v>#N/A</v>
      </c>
      <c r="D55" t="e">
        <f>VLOOKUP(A1,Data!$A$1:$DZU$1000000,923,FALSE)</f>
        <v>#N/A</v>
      </c>
      <c r="E55" t="e">
        <f>VLOOKUP(A1,Data!$A$1:$DZU$1000000,924,FALSE)</f>
        <v>#N/A</v>
      </c>
      <c r="F55" t="e">
        <f>VLOOKUP(A1,Data!$A$1:$DZU$1000000,925,FALSE)</f>
        <v>#N/A</v>
      </c>
      <c r="G55" t="e">
        <f>VLOOKUP(A1,Data!$A$1:$DZU$1000000,926,FALSE)</f>
        <v>#N/A</v>
      </c>
      <c r="H55" t="e">
        <f>VLOOKUP(A1,Data!$A$1:$DZU$1000000,927,FALSE)</f>
        <v>#N/A</v>
      </c>
      <c r="I55" t="e">
        <f>VLOOKUP(A1,Data!$A$1:$DZU$1000000,928,FALSE)</f>
        <v>#N/A</v>
      </c>
      <c r="J55" t="e">
        <f>VLOOKUP(A1,Data!$A$1:$DZU$1000000,929,FALSE)</f>
        <v>#N/A</v>
      </c>
      <c r="K55" t="e">
        <f>VLOOKUP(A1,Data!$A$1:$DZU$1000000,930,FALSE)</f>
        <v>#N/A</v>
      </c>
      <c r="L55" t="e">
        <f>VLOOKUP(A1,Data!$A$1:$DZU$1000000,931,FALSE)</f>
        <v>#N/A</v>
      </c>
      <c r="M55" t="e">
        <f>VLOOKUP(A1,Data!$A$1:$DZU$1000000,932,FALSE)</f>
        <v>#N/A</v>
      </c>
      <c r="N55" t="e">
        <f>VLOOKUP(A1,Data!$A$1:$DZU$1000000,933,FALSE)</f>
        <v>#N/A</v>
      </c>
      <c r="O55" t="e">
        <f>VLOOKUP(A1,Data!$A$1:$DZU$1000000,934,FALSE)</f>
        <v>#N/A</v>
      </c>
      <c r="P55" t="e">
        <f>VLOOKUP(A1,Data!$A$1:$DZU$1000000,935,FALSE)</f>
        <v>#N/A</v>
      </c>
      <c r="Q55" s="5" t="e">
        <f>VLOOKUP(A1,Data!$A$1:$DZU$1000000,936,FALSE)</f>
        <v>#N/A</v>
      </c>
    </row>
    <row r="56" spans="1:17" x14ac:dyDescent="0.35">
      <c r="A56" s="54" t="e">
        <f>VLOOKUP(A1,Data!$A$1:$DZU$1000000,937,FALSE)</f>
        <v>#N/A</v>
      </c>
      <c r="B56" t="e">
        <f>VLOOKUP(A1,Data!$A$1:$DZU$1000000,938,FALSE)</f>
        <v>#N/A</v>
      </c>
      <c r="C56" t="e">
        <f>VLOOKUP(A1,Data!$A$1:$DZU$1000000,939,FALSE)</f>
        <v>#N/A</v>
      </c>
      <c r="D56" t="e">
        <f>VLOOKUP(A1,Data!$A$1:$DZU$1000000,940,FALSE)</f>
        <v>#N/A</v>
      </c>
      <c r="E56" t="e">
        <f>VLOOKUP(A1,Data!$A$1:$DZU$1000000,941,FALSE)</f>
        <v>#N/A</v>
      </c>
      <c r="F56" t="e">
        <f>VLOOKUP(A1,Data!$A$1:$DZU$1000000,942,FALSE)</f>
        <v>#N/A</v>
      </c>
      <c r="G56" t="e">
        <f>VLOOKUP(A1,Data!$A$1:$DZU$1000000,943,FALSE)</f>
        <v>#N/A</v>
      </c>
      <c r="H56" t="e">
        <f>VLOOKUP(A1,Data!$A$1:$DZU$1000000,944,FALSE)</f>
        <v>#N/A</v>
      </c>
      <c r="I56" t="e">
        <f>VLOOKUP(A1,Data!$A$1:$DZU$1000000,945,FALSE)</f>
        <v>#N/A</v>
      </c>
      <c r="J56" t="e">
        <f>VLOOKUP(A1,Data!$A$1:$DZU$1000000,946,FALSE)</f>
        <v>#N/A</v>
      </c>
      <c r="K56" t="e">
        <f>VLOOKUP(A1,Data!$A$1:$DZU$1000000,947,FALSE)</f>
        <v>#N/A</v>
      </c>
      <c r="L56" t="e">
        <f>VLOOKUP(A1,Data!$A$1:$DZU$1000000,948,FALSE)</f>
        <v>#N/A</v>
      </c>
      <c r="M56" t="e">
        <f>VLOOKUP(A1,Data!$A$1:$DZU$1000000,949,FALSE)</f>
        <v>#N/A</v>
      </c>
      <c r="N56" t="e">
        <f>VLOOKUP(A1,Data!$A$1:$DZU$1000000,950,FALSE)</f>
        <v>#N/A</v>
      </c>
      <c r="O56" t="e">
        <f>VLOOKUP(A1,Data!$A$1:$DZU$1000000,951,FALSE)</f>
        <v>#N/A</v>
      </c>
      <c r="P56" t="e">
        <f>VLOOKUP(A1,Data!$A$1:$DZU$1000000,952,FALSE)</f>
        <v>#N/A</v>
      </c>
      <c r="Q56" s="5" t="e">
        <f>VLOOKUP(A1,Data!$A$1:$DZU$1000000,953,FALSE)</f>
        <v>#N/A</v>
      </c>
    </row>
    <row r="57" spans="1:17" x14ac:dyDescent="0.35">
      <c r="A57" s="54" t="e">
        <f>VLOOKUP(A1,Data!$A$1:$DZU$1000000,954,FALSE)</f>
        <v>#N/A</v>
      </c>
      <c r="B57" t="e">
        <f>VLOOKUP(A1,Data!$A$1:$DZU$1000000,955,FALSE)</f>
        <v>#N/A</v>
      </c>
      <c r="C57" t="e">
        <f>VLOOKUP(A1,Data!$A$1:$DZU$1000000,956,FALSE)</f>
        <v>#N/A</v>
      </c>
      <c r="D57" t="e">
        <f>VLOOKUP(A1,Data!$A$1:$DZU$1000000,957,FALSE)</f>
        <v>#N/A</v>
      </c>
      <c r="E57" t="e">
        <f>VLOOKUP(A1,Data!$A$1:$DZU$1000000,958,FALSE)</f>
        <v>#N/A</v>
      </c>
      <c r="F57" t="e">
        <f>VLOOKUP(A1,Data!$A$1:$DZU$1000000,959,FALSE)</f>
        <v>#N/A</v>
      </c>
      <c r="G57" t="e">
        <f>VLOOKUP(A1,Data!$A$1:$DZU$1000000,960,FALSE)</f>
        <v>#N/A</v>
      </c>
      <c r="H57" t="e">
        <f>VLOOKUP(A1,Data!$A$1:$DZU$1000000,961,FALSE)</f>
        <v>#N/A</v>
      </c>
      <c r="I57" t="e">
        <f>VLOOKUP(A1,Data!$A$1:$DZU$1000000,962,FALSE)</f>
        <v>#N/A</v>
      </c>
      <c r="J57" t="e">
        <f>VLOOKUP(A1,Data!$A$1:$DZU$1000000,963,FALSE)</f>
        <v>#N/A</v>
      </c>
      <c r="K57" t="e">
        <f>VLOOKUP(A1,Data!$A$1:$DZU$1000000,964,FALSE)</f>
        <v>#N/A</v>
      </c>
      <c r="L57" t="e">
        <f>VLOOKUP(A1,Data!$A$1:$DZU$1000000,965,FALSE)</f>
        <v>#N/A</v>
      </c>
      <c r="M57" t="e">
        <f>VLOOKUP(A1,Data!$A$1:$DZU$1000000,966,FALSE)</f>
        <v>#N/A</v>
      </c>
      <c r="N57" t="e">
        <f>VLOOKUP(A1,Data!$A$1:$DZU$1000000,967,FALSE)</f>
        <v>#N/A</v>
      </c>
      <c r="O57" t="e">
        <f>VLOOKUP(A1,Data!$A$1:$DZU$1000000,968,FALSE)</f>
        <v>#N/A</v>
      </c>
      <c r="P57" t="e">
        <f>VLOOKUP(A1,Data!$A$1:$DZU$1000000,969,FALSE)</f>
        <v>#N/A</v>
      </c>
      <c r="Q57" s="5" t="e">
        <f>VLOOKUP(A1,Data!$A$1:$DZU$1000000,970,FALSE)</f>
        <v>#N/A</v>
      </c>
    </row>
    <row r="58" spans="1:17" x14ac:dyDescent="0.35">
      <c r="A58" s="54" t="e">
        <f>VLOOKUP(A1,Data!$A$1:$DZU$1000000,971,FALSE)</f>
        <v>#N/A</v>
      </c>
      <c r="B58" t="e">
        <f>VLOOKUP(A1,Data!$A$1:$DZU$1000000,972,FALSE)</f>
        <v>#N/A</v>
      </c>
      <c r="C58" t="e">
        <f>VLOOKUP(A1,Data!$A$1:$DZU$1000000,973,FALSE)</f>
        <v>#N/A</v>
      </c>
      <c r="D58" t="e">
        <f>VLOOKUP(A1,Data!$A$1:$DZU$1000000,974,FALSE)</f>
        <v>#N/A</v>
      </c>
      <c r="E58" t="e">
        <f>VLOOKUP(A1,Data!$A$1:$DZU$1000000,975,FALSE)</f>
        <v>#N/A</v>
      </c>
      <c r="F58" t="e">
        <f>VLOOKUP(A1,Data!$A$1:$DZU$1000000,976,FALSE)</f>
        <v>#N/A</v>
      </c>
      <c r="G58" t="e">
        <f>VLOOKUP(A1,Data!$A$1:$DZU$1000000,977,FALSE)</f>
        <v>#N/A</v>
      </c>
      <c r="H58" t="e">
        <f>VLOOKUP(A1,Data!$A$1:$DZU$1000000,978,FALSE)</f>
        <v>#N/A</v>
      </c>
      <c r="I58" t="e">
        <f>VLOOKUP(A1,Data!$A$1:$DZU$1000000,979,FALSE)</f>
        <v>#N/A</v>
      </c>
      <c r="J58" t="e">
        <f>VLOOKUP(A1,Data!$A$1:$DZU$1000000,980,FALSE)</f>
        <v>#N/A</v>
      </c>
      <c r="K58" t="e">
        <f>VLOOKUP(A1,Data!$A$1:$DZU$1000000,981,FALSE)</f>
        <v>#N/A</v>
      </c>
      <c r="L58" t="e">
        <f>VLOOKUP(A1,Data!$A$1:$DZU$1000000,982,FALSE)</f>
        <v>#N/A</v>
      </c>
      <c r="M58" t="e">
        <f>VLOOKUP(A1,Data!$A$1:$DZU$1000000,983,FALSE)</f>
        <v>#N/A</v>
      </c>
      <c r="N58" t="e">
        <f>VLOOKUP(A1,Data!$A$1:$DZU$1000000,984,FALSE)</f>
        <v>#N/A</v>
      </c>
      <c r="O58" t="e">
        <f>VLOOKUP(A1,Data!$A$1:$DZU$1000000,985,FALSE)</f>
        <v>#N/A</v>
      </c>
      <c r="P58" t="e">
        <f>VLOOKUP(A1,Data!$A$1:$DZU$1000000,986,FALSE)</f>
        <v>#N/A</v>
      </c>
      <c r="Q58" s="5" t="e">
        <f>VLOOKUP(A1,Data!$A$1:$DZU$1000000,987,FALSE)</f>
        <v>#N/A</v>
      </c>
    </row>
    <row r="59" spans="1:17" x14ac:dyDescent="0.35">
      <c r="A59" s="54" t="e">
        <f>VLOOKUP(A1,Data!$A$1:$DZU$1000000,988,FALSE)</f>
        <v>#N/A</v>
      </c>
      <c r="B59" t="e">
        <f>VLOOKUP(A1,Data!$A$1:$DZU$1000000,989,FALSE)</f>
        <v>#N/A</v>
      </c>
      <c r="C59" t="e">
        <f>VLOOKUP(A1,Data!$A$1:$DZU$1000000,990,FALSE)</f>
        <v>#N/A</v>
      </c>
      <c r="D59" t="e">
        <f>VLOOKUP(A1,Data!$A$1:$DZU$1000000,991,FALSE)</f>
        <v>#N/A</v>
      </c>
      <c r="E59" t="e">
        <f>VLOOKUP(A1,Data!$A$1:$DZU$1000000,992,FALSE)</f>
        <v>#N/A</v>
      </c>
      <c r="F59" t="e">
        <f>VLOOKUP(A1,Data!$A$1:$DZU$1000000,993,FALSE)</f>
        <v>#N/A</v>
      </c>
      <c r="G59" t="e">
        <f>VLOOKUP(A1,Data!$A$1:$DZU$1000000,994,FALSE)</f>
        <v>#N/A</v>
      </c>
      <c r="H59" t="e">
        <f>VLOOKUP(A1,Data!$A$1:$DZU$1000000,995,FALSE)</f>
        <v>#N/A</v>
      </c>
      <c r="I59" t="e">
        <f>VLOOKUP(A1,Data!$A$1:$DZU$1000000,996,FALSE)</f>
        <v>#N/A</v>
      </c>
      <c r="J59" t="e">
        <f>VLOOKUP(A1,Data!$A$1:$DZU$1000000,997,FALSE)</f>
        <v>#N/A</v>
      </c>
      <c r="K59" t="e">
        <f>VLOOKUP(A1,Data!$A$1:$DZU$1000000,998,FALSE)</f>
        <v>#N/A</v>
      </c>
      <c r="L59" t="e">
        <f>VLOOKUP(A1,Data!$A$1:$DZU$1000000,999,FALSE)</f>
        <v>#N/A</v>
      </c>
      <c r="M59" t="e">
        <f>VLOOKUP(A1,Data!$A$1:$DZU$1000000,1000,FALSE)</f>
        <v>#N/A</v>
      </c>
      <c r="N59" t="e">
        <f>VLOOKUP(A1,Data!$A$1:$DZU$1000000,1001,FALSE)</f>
        <v>#N/A</v>
      </c>
      <c r="O59" t="e">
        <f>VLOOKUP(A1,Data!$A$1:$DZU$1000000,1002,FALSE)</f>
        <v>#N/A</v>
      </c>
      <c r="P59" t="e">
        <f>VLOOKUP(A1,Data!$A$1:$DZU$1000000,1003,FALSE)</f>
        <v>#N/A</v>
      </c>
      <c r="Q59" s="5" t="e">
        <f>VLOOKUP(A1,Data!$A$1:$DZU$1000000,1004,FALSE)</f>
        <v>#N/A</v>
      </c>
    </row>
    <row r="60" spans="1:17" x14ac:dyDescent="0.35">
      <c r="A60" s="54" t="e">
        <f>VLOOKUP(A1,Data!$A$1:$DZU$1000000,1005,FALSE)</f>
        <v>#N/A</v>
      </c>
      <c r="B60" t="e">
        <f>VLOOKUP(A1,Data!$A$1:$DZU$1000000,1006,FALSE)</f>
        <v>#N/A</v>
      </c>
      <c r="C60" t="e">
        <f>VLOOKUP(A1,Data!$A$1:$DZU$1000000,1007,FALSE)</f>
        <v>#N/A</v>
      </c>
      <c r="D60" t="e">
        <f>VLOOKUP(A1,Data!$A$1:$DZU$1000000,1008,FALSE)</f>
        <v>#N/A</v>
      </c>
      <c r="E60" t="e">
        <f>VLOOKUP(A1,Data!$A$1:$DZU$1000000,1009,FALSE)</f>
        <v>#N/A</v>
      </c>
      <c r="F60" t="e">
        <f>VLOOKUP(A1,Data!$A$1:$DZU$1000000,1010,FALSE)</f>
        <v>#N/A</v>
      </c>
      <c r="G60" t="e">
        <f>VLOOKUP(A1,Data!$A$1:$DZU$1000000,1011,FALSE)</f>
        <v>#N/A</v>
      </c>
      <c r="H60" t="e">
        <f>VLOOKUP(A1,Data!$A$1:$DZU$1000000,1012,FALSE)</f>
        <v>#N/A</v>
      </c>
      <c r="I60" t="e">
        <f>VLOOKUP(A1,Data!$A$1:$DZU$1000000,1013,FALSE)</f>
        <v>#N/A</v>
      </c>
      <c r="J60" t="e">
        <f>VLOOKUP(A1,Data!$A$1:$DZU$1000000,1014,FALSE)</f>
        <v>#N/A</v>
      </c>
      <c r="K60" t="e">
        <f>VLOOKUP(A1,Data!$A$1:$DZU$1000000,1015,FALSE)</f>
        <v>#N/A</v>
      </c>
      <c r="L60" t="e">
        <f>VLOOKUP(A1,Data!$A$1:$DZU$1000000,1016,FALSE)</f>
        <v>#N/A</v>
      </c>
      <c r="M60" t="e">
        <f>VLOOKUP(A1,Data!$A$1:$DZU$1000000,1017,FALSE)</f>
        <v>#N/A</v>
      </c>
      <c r="N60" t="e">
        <f>VLOOKUP(A1,Data!$A$1:$DZU$1000000,1018,FALSE)</f>
        <v>#N/A</v>
      </c>
      <c r="O60" t="e">
        <f>VLOOKUP(A1,Data!$A$1:$DZU$1000000,1019,FALSE)</f>
        <v>#N/A</v>
      </c>
      <c r="P60" t="e">
        <f>VLOOKUP(A1,Data!$A$1:$DZU$1000000,1020,FALSE)</f>
        <v>#N/A</v>
      </c>
      <c r="Q60" s="5" t="e">
        <f>VLOOKUP(A1,Data!$A$1:$DZU$1000000,1021,FALSE)</f>
        <v>#N/A</v>
      </c>
    </row>
    <row r="61" spans="1:17" x14ac:dyDescent="0.35">
      <c r="A61" s="54" t="e">
        <f>VLOOKUP(A1,Data!$A$1:$DZU$1000000,1022,FALSE)</f>
        <v>#N/A</v>
      </c>
      <c r="B61" t="e">
        <f>VLOOKUP(A1,Data!$A$1:$DZU$1000000,1023,FALSE)</f>
        <v>#N/A</v>
      </c>
      <c r="C61" t="e">
        <f>VLOOKUP(A1,Data!$A$1:$DZU$1000000,1024,FALSE)</f>
        <v>#N/A</v>
      </c>
      <c r="D61" t="e">
        <f>VLOOKUP(A1,Data!$A$1:$DZU$1000000,1025,FALSE)</f>
        <v>#N/A</v>
      </c>
      <c r="E61" t="e">
        <f>VLOOKUP(A1,Data!$A$1:$DZU$1000000,1026,FALSE)</f>
        <v>#N/A</v>
      </c>
      <c r="F61" t="e">
        <f>VLOOKUP(A1,Data!$A$1:$DZU$1000000,1027,FALSE)</f>
        <v>#N/A</v>
      </c>
      <c r="G61" t="e">
        <f>VLOOKUP(A1,Data!$A$1:$DZU$1000000,1028,FALSE)</f>
        <v>#N/A</v>
      </c>
      <c r="H61" t="e">
        <f>VLOOKUP(A1,Data!$A$1:$DZU$1000000,1029,FALSE)</f>
        <v>#N/A</v>
      </c>
      <c r="I61" t="e">
        <f>VLOOKUP(A1,Data!$A$1:$DZU$1000000,1030,FALSE)</f>
        <v>#N/A</v>
      </c>
      <c r="J61" t="e">
        <f>VLOOKUP(A1,Data!$A$1:$DZU$1000000,1031,FALSE)</f>
        <v>#N/A</v>
      </c>
      <c r="K61" t="e">
        <f>VLOOKUP(A1,Data!$A$1:$DZU$1000000,1032,FALSE)</f>
        <v>#N/A</v>
      </c>
      <c r="L61" t="e">
        <f>VLOOKUP(A1,Data!$A$1:$DZU$1000000,1033,FALSE)</f>
        <v>#N/A</v>
      </c>
      <c r="M61" t="e">
        <f>VLOOKUP(A1,Data!$A$1:$DZU$1000000,1034,FALSE)</f>
        <v>#N/A</v>
      </c>
      <c r="N61" t="e">
        <f>VLOOKUP(A1,Data!$A$1:$DZU$1000000,1035,FALSE)</f>
        <v>#N/A</v>
      </c>
      <c r="O61" t="e">
        <f>VLOOKUP(A1,Data!$A$1:$DZU$1000000,1036,FALSE)</f>
        <v>#N/A</v>
      </c>
      <c r="P61" t="e">
        <f>VLOOKUP(A1,Data!$A$1:$DZU$1000000,1037,FALSE)</f>
        <v>#N/A</v>
      </c>
      <c r="Q61" s="5" t="e">
        <f>VLOOKUP(A1,Data!$A$1:$DZU$1000000,1038,FALSE)</f>
        <v>#N/A</v>
      </c>
    </row>
    <row r="62" spans="1:17" x14ac:dyDescent="0.35">
      <c r="A62" s="54" t="e">
        <f>VLOOKUP(A1,Data!$A$1:$DZU$1000000,1039,FALSE)</f>
        <v>#N/A</v>
      </c>
      <c r="B62" t="e">
        <f>VLOOKUP(A1,Data!$A$1:$DZU$1000000,1040,FALSE)</f>
        <v>#N/A</v>
      </c>
      <c r="C62" t="e">
        <f>VLOOKUP(A1,Data!$A$1:$DZU$1000000,1041,FALSE)</f>
        <v>#N/A</v>
      </c>
      <c r="D62" t="e">
        <f>VLOOKUP(A1,Data!$A$1:$DZU$1000000,1042,FALSE)</f>
        <v>#N/A</v>
      </c>
      <c r="E62" t="e">
        <f>VLOOKUP(A1,Data!$A$1:$DZU$1000000,1043,FALSE)</f>
        <v>#N/A</v>
      </c>
      <c r="F62" t="e">
        <f>VLOOKUP(A1,Data!$A$1:$DZU$1000000,1044,FALSE)</f>
        <v>#N/A</v>
      </c>
      <c r="G62" t="e">
        <f>VLOOKUP(A1,Data!$A$1:$DZU$1000000,1045,FALSE)</f>
        <v>#N/A</v>
      </c>
      <c r="H62" t="e">
        <f>VLOOKUP(A1,Data!$A$1:$DZU$1000000,1046,FALSE)</f>
        <v>#N/A</v>
      </c>
      <c r="I62" t="e">
        <f>VLOOKUP(A1,Data!$A$1:$DZU$1000000,1047,FALSE)</f>
        <v>#N/A</v>
      </c>
      <c r="J62" t="e">
        <f>VLOOKUP(A1,Data!$A$1:$DZU$1000000,1048,FALSE)</f>
        <v>#N/A</v>
      </c>
      <c r="K62" t="e">
        <f>VLOOKUP(A1,Data!$A$1:$DZU$1000000,1049,FALSE)</f>
        <v>#N/A</v>
      </c>
      <c r="L62" t="e">
        <f>VLOOKUP(A1,Data!$A$1:$DZU$1000000,1050,FALSE)</f>
        <v>#N/A</v>
      </c>
      <c r="M62" t="e">
        <f>VLOOKUP(A1,Data!$A$1:$DZU$1000000,1051,FALSE)</f>
        <v>#N/A</v>
      </c>
      <c r="N62" t="e">
        <f>VLOOKUP(A1,Data!$A$1:$DZU$1000000,1052,FALSE)</f>
        <v>#N/A</v>
      </c>
      <c r="O62" t="e">
        <f>VLOOKUP(A1,Data!$A$1:$DZU$1000000,1053,FALSE)</f>
        <v>#N/A</v>
      </c>
      <c r="P62" t="e">
        <f>VLOOKUP(A1,Data!$A$1:$DZU$1000000,1054,FALSE)</f>
        <v>#N/A</v>
      </c>
      <c r="Q62" s="5" t="e">
        <f>VLOOKUP(A1,Data!$A$1:$DZU$1000000,1055,FALSE)</f>
        <v>#N/A</v>
      </c>
    </row>
    <row r="63" spans="1:17" x14ac:dyDescent="0.35">
      <c r="A63" s="54" t="e">
        <f>VLOOKUP(A1,Data!$A$1:$DZU$1000000,1056,FALSE)</f>
        <v>#N/A</v>
      </c>
      <c r="B63" t="e">
        <f>VLOOKUP(A1,Data!$A$1:$DZU$1000000,1057,FALSE)</f>
        <v>#N/A</v>
      </c>
      <c r="C63" t="e">
        <f>VLOOKUP(A1,Data!$A$1:$DZU$1000000,1058,FALSE)</f>
        <v>#N/A</v>
      </c>
      <c r="D63" t="e">
        <f>VLOOKUP(A1,Data!$A$1:$DZU$1000000,1059,FALSE)</f>
        <v>#N/A</v>
      </c>
      <c r="E63" t="e">
        <f>VLOOKUP(A1,Data!$A$1:$DZU$1000000,1060,FALSE)</f>
        <v>#N/A</v>
      </c>
      <c r="F63" t="e">
        <f>VLOOKUP(A1,Data!$A$1:$DZU$1000000,1061,FALSE)</f>
        <v>#N/A</v>
      </c>
      <c r="G63" t="e">
        <f>VLOOKUP(A1,Data!$A$1:$DZU$1000000,1062,FALSE)</f>
        <v>#N/A</v>
      </c>
      <c r="H63" t="e">
        <f>VLOOKUP(A1,Data!$A$1:$DZU$1000000,1063,FALSE)</f>
        <v>#N/A</v>
      </c>
      <c r="I63" t="e">
        <f>VLOOKUP(A1,Data!$A$1:$DZU$1000000,1064,FALSE)</f>
        <v>#N/A</v>
      </c>
      <c r="J63" t="e">
        <f>VLOOKUP(A1,Data!$A$1:$DZU$1000000,1065,FALSE)</f>
        <v>#N/A</v>
      </c>
      <c r="K63" t="e">
        <f>VLOOKUP(A1,Data!$A$1:$DZU$1000000,1066,FALSE)</f>
        <v>#N/A</v>
      </c>
      <c r="L63" t="e">
        <f>VLOOKUP(A1,Data!$A$1:$DZU$1000000,1067,FALSE)</f>
        <v>#N/A</v>
      </c>
      <c r="M63" t="e">
        <f>VLOOKUP(A1,Data!$A$1:$DZU$1000000,1068,FALSE)</f>
        <v>#N/A</v>
      </c>
      <c r="N63" t="e">
        <f>VLOOKUP(A1,Data!$A$1:$DZU$1000000,1069,FALSE)</f>
        <v>#N/A</v>
      </c>
      <c r="O63" t="e">
        <f>VLOOKUP(A1,Data!$A$1:$DZU$1000000,1070,FALSE)</f>
        <v>#N/A</v>
      </c>
      <c r="P63" t="e">
        <f>VLOOKUP(A1,Data!$A$1:$DZU$1000000,1071,FALSE)</f>
        <v>#N/A</v>
      </c>
      <c r="Q63" s="5" t="e">
        <f>VLOOKUP(A1,Data!$A$1:$DZU$1000000,1072,FALSE)</f>
        <v>#N/A</v>
      </c>
    </row>
    <row r="64" spans="1:17" x14ac:dyDescent="0.35">
      <c r="A64" s="54" t="e">
        <f>VLOOKUP(A1,Data!$A$1:$DZU$1000000,1073,FALSE)</f>
        <v>#N/A</v>
      </c>
      <c r="B64" t="e">
        <f>VLOOKUP(A1,Data!$A$1:$DZU$1000000,1074,FALSE)</f>
        <v>#N/A</v>
      </c>
      <c r="C64" t="e">
        <f>VLOOKUP(A1,Data!$A$1:$DZU$1000000,1075,FALSE)</f>
        <v>#N/A</v>
      </c>
      <c r="D64" t="e">
        <f>VLOOKUP(A1,Data!$A$1:$DZU$1000000,1076,FALSE)</f>
        <v>#N/A</v>
      </c>
      <c r="E64" t="e">
        <f>VLOOKUP(A1,Data!$A$1:$DZU$1000000,1077,FALSE)</f>
        <v>#N/A</v>
      </c>
      <c r="F64" t="e">
        <f>VLOOKUP(A1,Data!$A$1:$DZU$1000000,1078,FALSE)</f>
        <v>#N/A</v>
      </c>
      <c r="G64" t="e">
        <f>VLOOKUP(A1,Data!$A$1:$DZU$1000000,1079,FALSE)</f>
        <v>#N/A</v>
      </c>
      <c r="H64" t="e">
        <f>VLOOKUP(A1,Data!$A$1:$DZU$1000000,1080,FALSE)</f>
        <v>#N/A</v>
      </c>
      <c r="I64" t="e">
        <f>VLOOKUP(A1,Data!$A$1:$DZU$1000000,1081,FALSE)</f>
        <v>#N/A</v>
      </c>
      <c r="J64" t="e">
        <f>VLOOKUP(A1,Data!$A$1:$DZU$1000000,1082,FALSE)</f>
        <v>#N/A</v>
      </c>
      <c r="K64" t="e">
        <f>VLOOKUP(A1,Data!$A$1:$DZU$1000000,1083,FALSE)</f>
        <v>#N/A</v>
      </c>
      <c r="L64" t="e">
        <f>VLOOKUP(A1,Data!$A$1:$DZU$1000000,1084,FALSE)</f>
        <v>#N/A</v>
      </c>
      <c r="M64" t="e">
        <f>VLOOKUP(A1,Data!$A$1:$DZU$1000000,1085,FALSE)</f>
        <v>#N/A</v>
      </c>
      <c r="N64" t="e">
        <f>VLOOKUP(A1,Data!$A$1:$DZU$1000000,1086,FALSE)</f>
        <v>#N/A</v>
      </c>
      <c r="O64" t="e">
        <f>VLOOKUP(A1,Data!$A$1:$DZU$1000000,1087,FALSE)</f>
        <v>#N/A</v>
      </c>
      <c r="P64" t="e">
        <f>VLOOKUP(A1,Data!$A$1:$DZU$1000000,1088,FALSE)</f>
        <v>#N/A</v>
      </c>
      <c r="Q64" s="5" t="e">
        <f>VLOOKUP(A1,Data!$A$1:$DZU$1000000,1089,FALSE)</f>
        <v>#N/A</v>
      </c>
    </row>
    <row r="65" spans="1:17" x14ac:dyDescent="0.35">
      <c r="A65" s="54" t="e">
        <f>VLOOKUP(A1,Data!$A$1:$DZU$1000000,1090,FALSE)</f>
        <v>#N/A</v>
      </c>
      <c r="B65" t="e">
        <f>VLOOKUP(A1,Data!$A$1:$DZU$1000000,1091,FALSE)</f>
        <v>#N/A</v>
      </c>
      <c r="C65" t="e">
        <f>VLOOKUP(A1,Data!$A$1:$DZU$1000000,1092,FALSE)</f>
        <v>#N/A</v>
      </c>
      <c r="D65" t="e">
        <f>VLOOKUP(A1,Data!$A$1:$DZU$1000000,1093,FALSE)</f>
        <v>#N/A</v>
      </c>
      <c r="E65" t="e">
        <f>VLOOKUP(A1,Data!$A$1:$DZU$1000000,1094,FALSE)</f>
        <v>#N/A</v>
      </c>
      <c r="F65" t="e">
        <f>VLOOKUP(A1,Data!$A$1:$DZU$1000000,1095,FALSE)</f>
        <v>#N/A</v>
      </c>
      <c r="G65" t="e">
        <f>VLOOKUP(A1,Data!$A$1:$DZU$1000000,1096,FALSE)</f>
        <v>#N/A</v>
      </c>
      <c r="H65" t="e">
        <f>VLOOKUP(A1,Data!$A$1:$DZU$1000000,1097,FALSE)</f>
        <v>#N/A</v>
      </c>
      <c r="I65" t="e">
        <f>VLOOKUP(A1,Data!$A$1:$DZU$1000000,1098,FALSE)</f>
        <v>#N/A</v>
      </c>
      <c r="J65" t="e">
        <f>VLOOKUP(A1,Data!$A$1:$DZU$1000000,1099,FALSE)</f>
        <v>#N/A</v>
      </c>
      <c r="K65" t="e">
        <f>VLOOKUP(A1,Data!$A$1:$DZU$1000000,1100,FALSE)</f>
        <v>#N/A</v>
      </c>
      <c r="L65" t="e">
        <f>VLOOKUP(A1,Data!$A$1:$DZU$1000000,1101,FALSE)</f>
        <v>#N/A</v>
      </c>
      <c r="M65" t="e">
        <f>VLOOKUP(A1,Data!$A$1:$DZU$1000000,1102,FALSE)</f>
        <v>#N/A</v>
      </c>
      <c r="N65" t="e">
        <f>VLOOKUP(A1,Data!$A$1:$DZU$1000000,1103,FALSE)</f>
        <v>#N/A</v>
      </c>
      <c r="O65" t="e">
        <f>VLOOKUP(A1,Data!$A$1:$DZU$1000000,1104,FALSE)</f>
        <v>#N/A</v>
      </c>
      <c r="P65" t="e">
        <f>VLOOKUP(A1,Data!$A$1:$DZU$1000000,1105,FALSE)</f>
        <v>#N/A</v>
      </c>
      <c r="Q65" s="5" t="e">
        <f>VLOOKUP(A1,Data!$A$1:$DZU$1000000,1106,FALSE)</f>
        <v>#N/A</v>
      </c>
    </row>
    <row r="66" spans="1:17" x14ac:dyDescent="0.35">
      <c r="A66" s="54" t="e">
        <f>VLOOKUP(A1,Data!$A$1:$DZU$1000000,1107,FALSE)</f>
        <v>#N/A</v>
      </c>
      <c r="B66" t="e">
        <f>VLOOKUP(A1,Data!$A$1:$DZU$1000000,1108,FALSE)</f>
        <v>#N/A</v>
      </c>
      <c r="C66" t="e">
        <f>VLOOKUP(A1,Data!$A$1:$DZU$1000000,1109,FALSE)</f>
        <v>#N/A</v>
      </c>
      <c r="D66" t="e">
        <f>VLOOKUP(A1,Data!$A$1:$DZU$1000000,1110,FALSE)</f>
        <v>#N/A</v>
      </c>
      <c r="E66" t="e">
        <f>VLOOKUP(A1,Data!$A$1:$DZU$1000000,1111,FALSE)</f>
        <v>#N/A</v>
      </c>
      <c r="F66" t="e">
        <f>VLOOKUP(A1,Data!$A$1:$DZU$1000000,1112,FALSE)</f>
        <v>#N/A</v>
      </c>
      <c r="G66" t="e">
        <f>VLOOKUP(A1,Data!$A$1:$DZU$1000000,1113,FALSE)</f>
        <v>#N/A</v>
      </c>
      <c r="H66" t="e">
        <f>VLOOKUP(A1,Data!$A$1:$DZU$1000000,1114,FALSE)</f>
        <v>#N/A</v>
      </c>
      <c r="I66" t="e">
        <f>VLOOKUP(A1,Data!$A$1:$DZU$1000000,1115,FALSE)</f>
        <v>#N/A</v>
      </c>
      <c r="J66" t="e">
        <f>VLOOKUP(A1,Data!$A$1:$DZU$1000000,1116,FALSE)</f>
        <v>#N/A</v>
      </c>
      <c r="K66" t="e">
        <f>VLOOKUP(A1,Data!$A$1:$DZU$1000000,1117,FALSE)</f>
        <v>#N/A</v>
      </c>
      <c r="L66" t="e">
        <f>VLOOKUP(A1,Data!$A$1:$DZU$1000000,1118,FALSE)</f>
        <v>#N/A</v>
      </c>
      <c r="M66" t="e">
        <f>VLOOKUP(A1,Data!$A$1:$DZU$1000000,1119,FALSE)</f>
        <v>#N/A</v>
      </c>
      <c r="N66" t="e">
        <f>VLOOKUP(A1,Data!$A$1:$DZU$1000000,1120,FALSE)</f>
        <v>#N/A</v>
      </c>
      <c r="O66" t="e">
        <f>VLOOKUP(A1,Data!$A$1:$DZU$1000000,1121,FALSE)</f>
        <v>#N/A</v>
      </c>
      <c r="P66" t="e">
        <f>VLOOKUP(A1,Data!$A$1:$DZU$1000000,1122,FALSE)</f>
        <v>#N/A</v>
      </c>
      <c r="Q66" s="5" t="e">
        <f>VLOOKUP(A1,Data!$A$1:$DZU$1000000,1123,FALSE)</f>
        <v>#N/A</v>
      </c>
    </row>
    <row r="67" spans="1:17" x14ac:dyDescent="0.35">
      <c r="A67" s="54" t="e">
        <f>VLOOKUP(A1,Data!$A$1:$DZU$1000000,1124,FALSE)</f>
        <v>#N/A</v>
      </c>
      <c r="B67" t="e">
        <f>VLOOKUP(A1,Data!$A$1:$DZU$1000000,1125,FALSE)</f>
        <v>#N/A</v>
      </c>
      <c r="C67" t="e">
        <f>VLOOKUP(A1,Data!$A$1:$DZU$1000000,1126,FALSE)</f>
        <v>#N/A</v>
      </c>
      <c r="D67" t="e">
        <f>VLOOKUP(A1,Data!$A$1:$DZU$1000000,1127,FALSE)</f>
        <v>#N/A</v>
      </c>
      <c r="E67" t="e">
        <f>VLOOKUP(A1,Data!$A$1:$DZU$1000000,1128,FALSE)</f>
        <v>#N/A</v>
      </c>
      <c r="F67" t="e">
        <f>VLOOKUP(A1,Data!$A$1:$DZU$1000000,1129,FALSE)</f>
        <v>#N/A</v>
      </c>
      <c r="G67" t="e">
        <f>VLOOKUP(A1,Data!$A$1:$DZU$1000000,1130,FALSE)</f>
        <v>#N/A</v>
      </c>
      <c r="H67" t="e">
        <f>VLOOKUP(A1,Data!$A$1:$DZU$1000000,1131,FALSE)</f>
        <v>#N/A</v>
      </c>
      <c r="I67" t="e">
        <f>VLOOKUP(A1,Data!$A$1:$DZU$1000000,1132,FALSE)</f>
        <v>#N/A</v>
      </c>
      <c r="J67" t="e">
        <f>VLOOKUP(A1,Data!$A$1:$DZU$1000000,1133,FALSE)</f>
        <v>#N/A</v>
      </c>
      <c r="K67" t="e">
        <f>VLOOKUP(A1,Data!$A$1:$DZU$1000000,1134,FALSE)</f>
        <v>#N/A</v>
      </c>
      <c r="L67" t="e">
        <f>VLOOKUP(A1,Data!$A$1:$DZU$1000000,1135,FALSE)</f>
        <v>#N/A</v>
      </c>
      <c r="M67" t="e">
        <f>VLOOKUP(A1,Data!$A$1:$DZU$1000000,1136,FALSE)</f>
        <v>#N/A</v>
      </c>
      <c r="N67" t="e">
        <f>VLOOKUP(A1,Data!$A$1:$DZU$1000000,1137,FALSE)</f>
        <v>#N/A</v>
      </c>
      <c r="O67" t="e">
        <f>VLOOKUP(A1,Data!$A$1:$DZU$1000000,1138,FALSE)</f>
        <v>#N/A</v>
      </c>
      <c r="P67" t="e">
        <f>VLOOKUP(A1,Data!$A$1:$DZU$1000000,1139,FALSE)</f>
        <v>#N/A</v>
      </c>
      <c r="Q67" s="5" t="e">
        <f>VLOOKUP(A1,Data!$A$1:$DZU$1000000,1140,FALSE)</f>
        <v>#N/A</v>
      </c>
    </row>
    <row r="68" spans="1:17" x14ac:dyDescent="0.35">
      <c r="A68" s="54" t="e">
        <f>VLOOKUP(A1,Data!$A$1:$DZU$1000000,1141,FALSE)</f>
        <v>#N/A</v>
      </c>
      <c r="B68" t="e">
        <f>VLOOKUP(A1,Data!$A$1:$DZU$1000000,1142,FALSE)</f>
        <v>#N/A</v>
      </c>
      <c r="C68" t="e">
        <f>VLOOKUP(A1,Data!$A$1:$DZU$1000000,1143,FALSE)</f>
        <v>#N/A</v>
      </c>
      <c r="D68" t="e">
        <f>VLOOKUP(A1,Data!$A$1:$DZU$1000000,1144,FALSE)</f>
        <v>#N/A</v>
      </c>
      <c r="E68" t="e">
        <f>VLOOKUP(A1,Data!$A$1:$DZU$1000000,1145,FALSE)</f>
        <v>#N/A</v>
      </c>
      <c r="F68" t="e">
        <f>VLOOKUP(A1,Data!$A$1:$DZU$1000000,1146,FALSE)</f>
        <v>#N/A</v>
      </c>
      <c r="G68" t="e">
        <f>VLOOKUP(A1,Data!$A$1:$DZU$1000000,1147,FALSE)</f>
        <v>#N/A</v>
      </c>
      <c r="H68" t="e">
        <f>VLOOKUP(A1,Data!$A$1:$DZU$1000000,1148,FALSE)</f>
        <v>#N/A</v>
      </c>
      <c r="I68" t="e">
        <f>VLOOKUP(A1,Data!$A$1:$DZU$1000000,1149,FALSE)</f>
        <v>#N/A</v>
      </c>
      <c r="J68" t="e">
        <f>VLOOKUP(A1,Data!$A$1:$DZU$1000000,1150,FALSE)</f>
        <v>#N/A</v>
      </c>
      <c r="K68" t="e">
        <f>VLOOKUP(A1,Data!$A$1:$DZU$1000000,1151,FALSE)</f>
        <v>#N/A</v>
      </c>
      <c r="L68" t="e">
        <f>VLOOKUP(A1,Data!$A$1:$DZU$1000000,1152,FALSE)</f>
        <v>#N/A</v>
      </c>
      <c r="M68" t="e">
        <f>VLOOKUP(A1,Data!$A$1:$DZU$1000000,1153,FALSE)</f>
        <v>#N/A</v>
      </c>
      <c r="N68" t="e">
        <f>VLOOKUP(A1,Data!$A$1:$DZU$1000000,1154,FALSE)</f>
        <v>#N/A</v>
      </c>
      <c r="O68" t="e">
        <f>VLOOKUP(A1,Data!$A$1:$DZU$1000000,1155,FALSE)</f>
        <v>#N/A</v>
      </c>
      <c r="P68" t="e">
        <f>VLOOKUP(A1,Data!$A$1:$DZU$1000000,1156,FALSE)</f>
        <v>#N/A</v>
      </c>
      <c r="Q68" s="5" t="e">
        <f>VLOOKUP(A1,Data!$A$1:$DZU$1000000,1157,FALSE)</f>
        <v>#N/A</v>
      </c>
    </row>
    <row r="69" spans="1:17" x14ac:dyDescent="0.35">
      <c r="A69" s="54" t="e">
        <f>VLOOKUP(A1,Data!$A$1:$DZU$1000000,1158,FALSE)</f>
        <v>#N/A</v>
      </c>
      <c r="B69" t="e">
        <f>VLOOKUP(A1,Data!$A$1:$DZU$1000000,1159,FALSE)</f>
        <v>#N/A</v>
      </c>
      <c r="C69" t="e">
        <f>VLOOKUP(A1,Data!$A$1:$DZU$1000000,1160,FALSE)</f>
        <v>#N/A</v>
      </c>
      <c r="D69" t="e">
        <f>VLOOKUP(A1,Data!$A$1:$DZU$1000000,1161,FALSE)</f>
        <v>#N/A</v>
      </c>
      <c r="E69" t="e">
        <f>VLOOKUP(A1,Data!$A$1:$DZU$1000000,1162,FALSE)</f>
        <v>#N/A</v>
      </c>
      <c r="F69" t="e">
        <f>VLOOKUP(A1,Data!$A$1:$DZU$1000000,1163,FALSE)</f>
        <v>#N/A</v>
      </c>
      <c r="G69" t="e">
        <f>VLOOKUP(A1,Data!$A$1:$DZU$1000000,1164,FALSE)</f>
        <v>#N/A</v>
      </c>
      <c r="H69" t="e">
        <f>VLOOKUP(A1,Data!$A$1:$DZU$1000000,1165,FALSE)</f>
        <v>#N/A</v>
      </c>
      <c r="I69" t="e">
        <f>VLOOKUP(A1,Data!$A$1:$DZU$1000000,1166,FALSE)</f>
        <v>#N/A</v>
      </c>
      <c r="J69" t="e">
        <f>VLOOKUP(A1,Data!$A$1:$DZU$1000000,1167,FALSE)</f>
        <v>#N/A</v>
      </c>
      <c r="K69" t="e">
        <f>VLOOKUP(A1,Data!$A$1:$DZU$1000000,1168,FALSE)</f>
        <v>#N/A</v>
      </c>
      <c r="L69" t="e">
        <f>VLOOKUP(A1,Data!$A$1:$DZU$1000000,1169,FALSE)</f>
        <v>#N/A</v>
      </c>
      <c r="M69" t="e">
        <f>VLOOKUP(A1,Data!$A$1:$DZU$1000000,1170,FALSE)</f>
        <v>#N/A</v>
      </c>
      <c r="N69" t="e">
        <f>VLOOKUP(A1,Data!$A$1:$DZU$1000000,1171,FALSE)</f>
        <v>#N/A</v>
      </c>
      <c r="O69" t="e">
        <f>VLOOKUP(A1,Data!$A$1:$DZU$1000000,1172,FALSE)</f>
        <v>#N/A</v>
      </c>
      <c r="P69" t="e">
        <f>VLOOKUP(A1,Data!$A$1:$DZU$1000000,1173,FALSE)</f>
        <v>#N/A</v>
      </c>
      <c r="Q69" s="5" t="e">
        <f>VLOOKUP(A1,Data!$A$1:$DZU$1000000,1174,FALSE)</f>
        <v>#N/A</v>
      </c>
    </row>
    <row r="70" spans="1:17" x14ac:dyDescent="0.35">
      <c r="A70" s="54" t="e">
        <f>VLOOKUP(A1,Data!$A$1:$DZU$1000000,1175,FALSE)</f>
        <v>#N/A</v>
      </c>
      <c r="B70" t="e">
        <f>VLOOKUP(A1,Data!$A$1:$DZU$1000000,1176,FALSE)</f>
        <v>#N/A</v>
      </c>
      <c r="C70" t="e">
        <f>VLOOKUP(A1,Data!$A$1:$DZU$1000000,1177,FALSE)</f>
        <v>#N/A</v>
      </c>
      <c r="D70" t="e">
        <f>VLOOKUP(A1,Data!$A$1:$DZU$1000000,1178,FALSE)</f>
        <v>#N/A</v>
      </c>
      <c r="E70" t="e">
        <f>VLOOKUP(A1,Data!$A$1:$DZU$1000000,1179,FALSE)</f>
        <v>#N/A</v>
      </c>
      <c r="F70" t="e">
        <f>VLOOKUP(A1,Data!$A$1:$DZU$1000000,1180,FALSE)</f>
        <v>#N/A</v>
      </c>
      <c r="G70" t="e">
        <f>VLOOKUP(A1,Data!$A$1:$DZU$1000000,1181,FALSE)</f>
        <v>#N/A</v>
      </c>
      <c r="H70" t="e">
        <f>VLOOKUP(A1,Data!$A$1:$DZU$1000000,1182,FALSE)</f>
        <v>#N/A</v>
      </c>
      <c r="I70" t="e">
        <f>VLOOKUP(A1,Data!$A$1:$DZU$1000000,1183,FALSE)</f>
        <v>#N/A</v>
      </c>
      <c r="J70" t="e">
        <f>VLOOKUP(A1,Data!$A$1:$DZU$1000000,1184,FALSE)</f>
        <v>#N/A</v>
      </c>
      <c r="K70" t="e">
        <f>VLOOKUP(A1,Data!$A$1:$DZU$1000000,1185,FALSE)</f>
        <v>#N/A</v>
      </c>
      <c r="L70" t="e">
        <f>VLOOKUP(A1,Data!$A$1:$DZU$1000000,1186,FALSE)</f>
        <v>#N/A</v>
      </c>
      <c r="M70" t="e">
        <f>VLOOKUP(A1,Data!$A$1:$DZU$1000000,1187,FALSE)</f>
        <v>#N/A</v>
      </c>
      <c r="N70" t="e">
        <f>VLOOKUP(A1,Data!$A$1:$DZU$1000000,1188,FALSE)</f>
        <v>#N/A</v>
      </c>
      <c r="O70" t="e">
        <f>VLOOKUP(A1,Data!$A$1:$DZU$1000000,1189,FALSE)</f>
        <v>#N/A</v>
      </c>
      <c r="P70" t="e">
        <f>VLOOKUP(A1,Data!$A$1:$DZU$1000000,1190,FALSE)</f>
        <v>#N/A</v>
      </c>
      <c r="Q70" s="5" t="e">
        <f>VLOOKUP(A1,Data!$A$1:$DZU$1000000,1191,FALSE)</f>
        <v>#N/A</v>
      </c>
    </row>
    <row r="71" spans="1:17" x14ac:dyDescent="0.35">
      <c r="A71" s="54" t="e">
        <f>VLOOKUP(A1,Data!$A$1:$DZU$1000000,1192,FALSE)</f>
        <v>#N/A</v>
      </c>
      <c r="B71" t="e">
        <f>VLOOKUP(A1,Data!$A$1:$DZU$1000000,1193,FALSE)</f>
        <v>#N/A</v>
      </c>
      <c r="C71" t="e">
        <f>VLOOKUP(A1,Data!$A$1:$DZU$1000000,1194,FALSE)</f>
        <v>#N/A</v>
      </c>
      <c r="D71" t="e">
        <f>VLOOKUP(A1,Data!$A$1:$DZU$1000000,1195,FALSE)</f>
        <v>#N/A</v>
      </c>
      <c r="E71" t="e">
        <f>VLOOKUP(A1,Data!$A$1:$DZU$1000000,1196,FALSE)</f>
        <v>#N/A</v>
      </c>
      <c r="F71" t="e">
        <f>VLOOKUP(A1,Data!$A$1:$DZU$1000000,1197,FALSE)</f>
        <v>#N/A</v>
      </c>
      <c r="G71" t="e">
        <f>VLOOKUP(A1,Data!$A$1:$DZU$1000000,1198,FALSE)</f>
        <v>#N/A</v>
      </c>
      <c r="H71" t="e">
        <f>VLOOKUP(A1,Data!$A$1:$DZU$1000000,1199,FALSE)</f>
        <v>#N/A</v>
      </c>
      <c r="I71" t="e">
        <f>VLOOKUP(A1,Data!$A$1:$DZU$1000000,1200,FALSE)</f>
        <v>#N/A</v>
      </c>
      <c r="J71" t="e">
        <f>VLOOKUP(A1,Data!$A$1:$DZU$1000000,1201,FALSE)</f>
        <v>#N/A</v>
      </c>
      <c r="K71" t="e">
        <f>VLOOKUP(A1,Data!$A$1:$DZU$1000000,1202,FALSE)</f>
        <v>#N/A</v>
      </c>
      <c r="L71" t="e">
        <f>VLOOKUP(A1,Data!$A$1:$DZU$1000000,1203,FALSE)</f>
        <v>#N/A</v>
      </c>
      <c r="M71" t="e">
        <f>VLOOKUP(A1,Data!$A$1:$DZU$1000000,1204,FALSE)</f>
        <v>#N/A</v>
      </c>
      <c r="N71" t="e">
        <f>VLOOKUP(A1,Data!$A$1:$DZU$1000000,1205,FALSE)</f>
        <v>#N/A</v>
      </c>
      <c r="O71" t="e">
        <f>VLOOKUP(A1,Data!$A$1:$DZU$1000000,1206,FALSE)</f>
        <v>#N/A</v>
      </c>
      <c r="P71" t="e">
        <f>VLOOKUP(A1,Data!$A$1:$DZU$1000000,1207,FALSE)</f>
        <v>#N/A</v>
      </c>
      <c r="Q71" s="5" t="e">
        <f>VLOOKUP(A1,Data!$A$1:$DZU$1000000,1208,FALSE)</f>
        <v>#N/A</v>
      </c>
    </row>
    <row r="72" spans="1:17" x14ac:dyDescent="0.35">
      <c r="A72" s="54" t="e">
        <f>VLOOKUP(A1,Data!$A$1:$DZU$1000000,1209,FALSE)</f>
        <v>#N/A</v>
      </c>
      <c r="B72" t="e">
        <f>VLOOKUP(A1,Data!$A$1:$DZU$1000000,1210,FALSE)</f>
        <v>#N/A</v>
      </c>
      <c r="C72" t="e">
        <f>VLOOKUP(A1,Data!$A$1:$DZU$1000000,1211,FALSE)</f>
        <v>#N/A</v>
      </c>
      <c r="D72" t="e">
        <f>VLOOKUP(A1,Data!$A$1:$DZU$1000000,1212,FALSE)</f>
        <v>#N/A</v>
      </c>
      <c r="E72" t="e">
        <f>VLOOKUP(A1,Data!$A$1:$DZU$1000000,1213,FALSE)</f>
        <v>#N/A</v>
      </c>
      <c r="F72" t="e">
        <f>VLOOKUP(A1,Data!$A$1:$DZU$1000000,1214,FALSE)</f>
        <v>#N/A</v>
      </c>
      <c r="G72" t="e">
        <f>VLOOKUP(A1,Data!$A$1:$DZU$1000000,1215,FALSE)</f>
        <v>#N/A</v>
      </c>
      <c r="H72" t="e">
        <f>VLOOKUP(A1,Data!$A$1:$DZU$1000000,1216,FALSE)</f>
        <v>#N/A</v>
      </c>
      <c r="I72" t="e">
        <f>VLOOKUP(A1,Data!$A$1:$DZU$1000000,1217,FALSE)</f>
        <v>#N/A</v>
      </c>
      <c r="J72" t="e">
        <f>VLOOKUP(A1,Data!$A$1:$DZU$1000000,1218,FALSE)</f>
        <v>#N/A</v>
      </c>
      <c r="K72" t="e">
        <f>VLOOKUP(A1,Data!$A$1:$DZU$1000000,1219,FALSE)</f>
        <v>#N/A</v>
      </c>
      <c r="L72" t="e">
        <f>VLOOKUP(A1,Data!$A$1:$DZU$1000000,1220,FALSE)</f>
        <v>#N/A</v>
      </c>
      <c r="M72" t="e">
        <f>VLOOKUP(A1,Data!$A$1:$DZU$1000000,1221,FALSE)</f>
        <v>#N/A</v>
      </c>
      <c r="N72" t="e">
        <f>VLOOKUP(A1,Data!$A$1:$DZU$1000000,1222,FALSE)</f>
        <v>#N/A</v>
      </c>
      <c r="O72" t="e">
        <f>VLOOKUP(A1,Data!$A$1:$DZU$1000000,1223,FALSE)</f>
        <v>#N/A</v>
      </c>
      <c r="P72" t="e">
        <f>VLOOKUP(A1,Data!$A$1:$DZU$1000000,1224,FALSE)</f>
        <v>#N/A</v>
      </c>
      <c r="Q72" s="5" t="e">
        <f>VLOOKUP(A1,Data!$A$1:$DZU$1000000,1225,FALSE)</f>
        <v>#N/A</v>
      </c>
    </row>
    <row r="73" spans="1:17" x14ac:dyDescent="0.35">
      <c r="A73" s="54" t="e">
        <f>VLOOKUP(A1,Data!$A$1:$DZU$1000000,1226,FALSE)</f>
        <v>#N/A</v>
      </c>
      <c r="B73" t="e">
        <f>VLOOKUP(A1,Data!$A$1:$DZU$1000000,1227,FALSE)</f>
        <v>#N/A</v>
      </c>
      <c r="C73" t="e">
        <f>VLOOKUP(A1,Data!$A$1:$DZU$1000000,1228,FALSE)</f>
        <v>#N/A</v>
      </c>
      <c r="D73" t="e">
        <f>VLOOKUP(A1,Data!$A$1:$DZU$1000000,1229,FALSE)</f>
        <v>#N/A</v>
      </c>
      <c r="E73" t="e">
        <f>VLOOKUP(A1,Data!$A$1:$DZU$1000000,1230,FALSE)</f>
        <v>#N/A</v>
      </c>
      <c r="F73" t="e">
        <f>VLOOKUP(A1,Data!$A$1:$DZU$1000000,1231,FALSE)</f>
        <v>#N/A</v>
      </c>
      <c r="G73" t="e">
        <f>VLOOKUP(A1,Data!$A$1:$DZU$1000000,1232,FALSE)</f>
        <v>#N/A</v>
      </c>
      <c r="H73" t="e">
        <f>VLOOKUP(A1,Data!$A$1:$DZU$1000000,1233,FALSE)</f>
        <v>#N/A</v>
      </c>
      <c r="I73" t="e">
        <f>VLOOKUP(A1,Data!$A$1:$DZU$1000000,1234,FALSE)</f>
        <v>#N/A</v>
      </c>
      <c r="J73" t="e">
        <f>VLOOKUP(A1,Data!$A$1:$DZU$1000000,1235,FALSE)</f>
        <v>#N/A</v>
      </c>
      <c r="K73" t="e">
        <f>VLOOKUP(A1,Data!$A$1:$DZU$1000000,1236,FALSE)</f>
        <v>#N/A</v>
      </c>
      <c r="L73" t="e">
        <f>VLOOKUP(A1,Data!$A$1:$DZU$1000000,1237,FALSE)</f>
        <v>#N/A</v>
      </c>
      <c r="M73" t="e">
        <f>VLOOKUP(A1,Data!$A$1:$DZU$1000000,1238,FALSE)</f>
        <v>#N/A</v>
      </c>
      <c r="N73" t="e">
        <f>VLOOKUP(A1,Data!$A$1:$DZU$1000000,1239,FALSE)</f>
        <v>#N/A</v>
      </c>
      <c r="O73" t="e">
        <f>VLOOKUP(A1,Data!$A$1:$DZU$1000000,1240,FALSE)</f>
        <v>#N/A</v>
      </c>
      <c r="P73" t="e">
        <f>VLOOKUP(A1,Data!$A$1:$DZU$1000000,1241,FALSE)</f>
        <v>#N/A</v>
      </c>
      <c r="Q73" s="5" t="e">
        <f>VLOOKUP(A1,Data!$A$1:$DZU$1000000,1242,FALSE)</f>
        <v>#N/A</v>
      </c>
    </row>
    <row r="74" spans="1:17" x14ac:dyDescent="0.35">
      <c r="A74" s="54" t="e">
        <f>VLOOKUP(A1,Data!$A$1:$DZU$1000000,1243,FALSE)</f>
        <v>#N/A</v>
      </c>
      <c r="B74" t="e">
        <f>VLOOKUP(A1,Data!$A$1:$DZU$1000000,1244,FALSE)</f>
        <v>#N/A</v>
      </c>
      <c r="C74" t="e">
        <f>VLOOKUP(A1,Data!$A$1:$DZU$1000000,1245,FALSE)</f>
        <v>#N/A</v>
      </c>
      <c r="D74" t="e">
        <f>VLOOKUP(A1,Data!$A$1:$DZU$1000000,1246,FALSE)</f>
        <v>#N/A</v>
      </c>
      <c r="E74" t="e">
        <f>VLOOKUP(A1,Data!$A$1:$DZU$1000000,1247,FALSE)</f>
        <v>#N/A</v>
      </c>
      <c r="F74" t="e">
        <f>VLOOKUP(A1,Data!$A$1:$DZU$1000000,1248,FALSE)</f>
        <v>#N/A</v>
      </c>
      <c r="G74" t="e">
        <f>VLOOKUP(A1,Data!$A$1:$DZU$1000000,1249,FALSE)</f>
        <v>#N/A</v>
      </c>
      <c r="H74" t="e">
        <f>VLOOKUP(A1,Data!$A$1:$DZU$1000000,1250,FALSE)</f>
        <v>#N/A</v>
      </c>
      <c r="I74" t="e">
        <f>VLOOKUP(A1,Data!$A$1:$DZU$1000000,1251,FALSE)</f>
        <v>#N/A</v>
      </c>
      <c r="J74" t="e">
        <f>VLOOKUP(A1,Data!$A$1:$DZU$1000000,1252,FALSE)</f>
        <v>#N/A</v>
      </c>
      <c r="K74" t="e">
        <f>VLOOKUP(A1,Data!$A$1:$DZU$1000000,1253,FALSE)</f>
        <v>#N/A</v>
      </c>
      <c r="L74" t="e">
        <f>VLOOKUP(A1,Data!$A$1:$DZU$1000000,1254,FALSE)</f>
        <v>#N/A</v>
      </c>
      <c r="M74" t="e">
        <f>VLOOKUP(A1,Data!$A$1:$DZU$1000000,1255,FALSE)</f>
        <v>#N/A</v>
      </c>
      <c r="N74" t="e">
        <f>VLOOKUP(A1,Data!$A$1:$DZU$1000000,1256,FALSE)</f>
        <v>#N/A</v>
      </c>
      <c r="O74" t="e">
        <f>VLOOKUP(A1,Data!$A$1:$DZU$1000000,1257,FALSE)</f>
        <v>#N/A</v>
      </c>
      <c r="P74" t="e">
        <f>VLOOKUP(A1,Data!$A$1:$DZU$1000000,1258,FALSE)</f>
        <v>#N/A</v>
      </c>
      <c r="Q74" s="5" t="e">
        <f>VLOOKUP(A1,Data!$A$1:$DZU$1000000,1259,FALSE)</f>
        <v>#N/A</v>
      </c>
    </row>
    <row r="75" spans="1:17" x14ac:dyDescent="0.35">
      <c r="A75" s="54" t="e">
        <f>VLOOKUP(A1,Data!$A$1:$DZU$1000000,1260,FALSE)</f>
        <v>#N/A</v>
      </c>
      <c r="B75" t="e">
        <f>VLOOKUP(A1,Data!$A$1:$DZU$1000000,1261,FALSE)</f>
        <v>#N/A</v>
      </c>
      <c r="C75" t="e">
        <f>VLOOKUP(A1,Data!$A$1:$DZU$1000000,1262,FALSE)</f>
        <v>#N/A</v>
      </c>
      <c r="D75" t="e">
        <f>VLOOKUP(A1,Data!$A$1:$DZU$1000000,1263,FALSE)</f>
        <v>#N/A</v>
      </c>
      <c r="E75" t="e">
        <f>VLOOKUP(A1,Data!$A$1:$DZU$1000000,1264,FALSE)</f>
        <v>#N/A</v>
      </c>
      <c r="F75" t="e">
        <f>VLOOKUP(A1,Data!$A$1:$DZU$1000000,1265,FALSE)</f>
        <v>#N/A</v>
      </c>
      <c r="G75" t="e">
        <f>VLOOKUP(A1,Data!$A$1:$DZU$1000000,1266,FALSE)</f>
        <v>#N/A</v>
      </c>
      <c r="H75" t="e">
        <f>VLOOKUP(A1,Data!$A$1:$DZU$1000000,1267,FALSE)</f>
        <v>#N/A</v>
      </c>
      <c r="I75" t="e">
        <f>VLOOKUP(A1,Data!$A$1:$DZU$1000000,1268,FALSE)</f>
        <v>#N/A</v>
      </c>
      <c r="J75" t="e">
        <f>VLOOKUP(A1,Data!$A$1:$DZU$1000000,1269,FALSE)</f>
        <v>#N/A</v>
      </c>
      <c r="K75" t="e">
        <f>VLOOKUP(A1,Data!$A$1:$DZU$1000000,1270,FALSE)</f>
        <v>#N/A</v>
      </c>
      <c r="L75" t="e">
        <f>VLOOKUP(A1,Data!$A$1:$DZU$1000000,1271,FALSE)</f>
        <v>#N/A</v>
      </c>
      <c r="M75" t="e">
        <f>VLOOKUP(A1,Data!$A$1:$DZU$1000000,1272,FALSE)</f>
        <v>#N/A</v>
      </c>
      <c r="N75" t="e">
        <f>VLOOKUP(A1,Data!$A$1:$DZU$1000000,1273,FALSE)</f>
        <v>#N/A</v>
      </c>
      <c r="O75" t="e">
        <f>VLOOKUP(A1,Data!$A$1:$DZU$1000000,1274,FALSE)</f>
        <v>#N/A</v>
      </c>
      <c r="P75" t="e">
        <f>VLOOKUP(A1,Data!$A$1:$DZU$1000000,1275,FALSE)</f>
        <v>#N/A</v>
      </c>
      <c r="Q75" s="5" t="e">
        <f>VLOOKUP(A1,Data!$A$1:$DZU$1000000,1276,FALSE)</f>
        <v>#N/A</v>
      </c>
    </row>
    <row r="76" spans="1:17" x14ac:dyDescent="0.35">
      <c r="A76" s="54" t="e">
        <f>VLOOKUP(A1,Data!$A$1:$DZU$1000000,1277,FALSE)</f>
        <v>#N/A</v>
      </c>
      <c r="B76" t="e">
        <f>VLOOKUP(A1,Data!$A$1:$DZU$1000000,1278,FALSE)</f>
        <v>#N/A</v>
      </c>
      <c r="C76" t="e">
        <f>VLOOKUP(A1,Data!$A$1:$DZU$1000000,1279,FALSE)</f>
        <v>#N/A</v>
      </c>
      <c r="D76" t="e">
        <f>VLOOKUP(A1,Data!$A$1:$DZU$1000000,1280,FALSE)</f>
        <v>#N/A</v>
      </c>
      <c r="E76" t="e">
        <f>VLOOKUP(A1,Data!$A$1:$DZU$1000000,1281,FALSE)</f>
        <v>#N/A</v>
      </c>
      <c r="F76" t="e">
        <f>VLOOKUP(A1,Data!$A$1:$DZU$1000000,1282,FALSE)</f>
        <v>#N/A</v>
      </c>
      <c r="G76" t="e">
        <f>VLOOKUP(A1,Data!$A$1:$DZU$1000000,1283,FALSE)</f>
        <v>#N/A</v>
      </c>
      <c r="H76" t="e">
        <f>VLOOKUP(A1,Data!$A$1:$DZU$1000000,1284,FALSE)</f>
        <v>#N/A</v>
      </c>
      <c r="I76" t="e">
        <f>VLOOKUP(A1,Data!$A$1:$DZU$1000000,1285,FALSE)</f>
        <v>#N/A</v>
      </c>
      <c r="J76" t="e">
        <f>VLOOKUP(A1,Data!$A$1:$DZU$1000000,1286,FALSE)</f>
        <v>#N/A</v>
      </c>
      <c r="K76" t="e">
        <f>VLOOKUP(A1,Data!$A$1:$DZU$1000000,1287,FALSE)</f>
        <v>#N/A</v>
      </c>
      <c r="L76" t="e">
        <f>VLOOKUP(A1,Data!$A$1:$DZU$1000000,1288,FALSE)</f>
        <v>#N/A</v>
      </c>
      <c r="M76" t="e">
        <f>VLOOKUP(A1,Data!$A$1:$DZU$1000000,1289,FALSE)</f>
        <v>#N/A</v>
      </c>
      <c r="N76" t="e">
        <f>VLOOKUP(A1,Data!$A$1:$DZU$1000000,1290,FALSE)</f>
        <v>#N/A</v>
      </c>
      <c r="O76" t="e">
        <f>VLOOKUP(A1,Data!$A$1:$DZU$1000000,1291,FALSE)</f>
        <v>#N/A</v>
      </c>
      <c r="P76" t="e">
        <f>VLOOKUP(A1,Data!$A$1:$DZU$1000000,1292,FALSE)</f>
        <v>#N/A</v>
      </c>
      <c r="Q76" s="5" t="e">
        <f>VLOOKUP(A1,Data!$A$1:$DZU$1000000,1293,FALSE)</f>
        <v>#N/A</v>
      </c>
    </row>
    <row r="77" spans="1:17" x14ac:dyDescent="0.35">
      <c r="A77" s="54" t="e">
        <f>VLOOKUP(A1,Data!$A$1:$DZU$1000000,1294,FALSE)</f>
        <v>#N/A</v>
      </c>
      <c r="B77" t="e">
        <f>VLOOKUP(A1,Data!$A$1:$DZU$1000000,1295,FALSE)</f>
        <v>#N/A</v>
      </c>
      <c r="C77" t="e">
        <f>VLOOKUP(A1,Data!$A$1:$DZU$1000000,1296,FALSE)</f>
        <v>#N/A</v>
      </c>
      <c r="D77" t="e">
        <f>VLOOKUP(A1,Data!$A$1:$DZU$1000000,1297,FALSE)</f>
        <v>#N/A</v>
      </c>
      <c r="E77" t="e">
        <f>VLOOKUP(A1,Data!$A$1:$DZU$1000000,1298,FALSE)</f>
        <v>#N/A</v>
      </c>
      <c r="F77" t="e">
        <f>VLOOKUP(A1,Data!$A$1:$DZU$1000000,1299,FALSE)</f>
        <v>#N/A</v>
      </c>
      <c r="G77" t="e">
        <f>VLOOKUP(A1,Data!$A$1:$DZU$1000000,1300,FALSE)</f>
        <v>#N/A</v>
      </c>
      <c r="H77" t="e">
        <f>VLOOKUP(A1,Data!$A$1:$DZU$1000000,1301,FALSE)</f>
        <v>#N/A</v>
      </c>
      <c r="I77" t="e">
        <f>VLOOKUP(A1,Data!$A$1:$DZU$1000000,1302,FALSE)</f>
        <v>#N/A</v>
      </c>
      <c r="J77" t="e">
        <f>VLOOKUP(A1,Data!$A$1:$DZU$1000000,1303,FALSE)</f>
        <v>#N/A</v>
      </c>
      <c r="K77" t="e">
        <f>VLOOKUP(A1,Data!$A$1:$DZU$1000000,1304,FALSE)</f>
        <v>#N/A</v>
      </c>
      <c r="L77" t="e">
        <f>VLOOKUP(A1,Data!$A$1:$DZU$1000000,1305,FALSE)</f>
        <v>#N/A</v>
      </c>
      <c r="M77" t="e">
        <f>VLOOKUP(A1,Data!$A$1:$DZU$1000000,1306,FALSE)</f>
        <v>#N/A</v>
      </c>
      <c r="N77" t="e">
        <f>VLOOKUP(A1,Data!$A$1:$DZU$1000000,1307,FALSE)</f>
        <v>#N/A</v>
      </c>
      <c r="O77" t="e">
        <f>VLOOKUP(A1,Data!$A$1:$DZU$1000000,1308,FALSE)</f>
        <v>#N/A</v>
      </c>
      <c r="P77" t="e">
        <f>VLOOKUP(A1,Data!$A$1:$DZU$1000000,1309,FALSE)</f>
        <v>#N/A</v>
      </c>
      <c r="Q77" s="5" t="e">
        <f>VLOOKUP(A1,Data!$A$1:$DZU$1000000,1310,FALSE)</f>
        <v>#N/A</v>
      </c>
    </row>
    <row r="78" spans="1:17" x14ac:dyDescent="0.35">
      <c r="A78" s="54" t="e">
        <f>VLOOKUP(A1,Data!$A$1:$DZU$1000000,1311,FALSE)</f>
        <v>#N/A</v>
      </c>
      <c r="B78" t="e">
        <f>VLOOKUP(A1,Data!$A$1:$DZU$1000000,1312,FALSE)</f>
        <v>#N/A</v>
      </c>
      <c r="C78" t="e">
        <f>VLOOKUP(A1,Data!$A$1:$DZU$1000000,1313,FALSE)</f>
        <v>#N/A</v>
      </c>
      <c r="D78" t="e">
        <f>VLOOKUP(A1,Data!$A$1:$DZU$1000000,1314,FALSE)</f>
        <v>#N/A</v>
      </c>
      <c r="E78" t="e">
        <f>VLOOKUP(A1,Data!$A$1:$DZU$1000000,1315,FALSE)</f>
        <v>#N/A</v>
      </c>
      <c r="F78" t="e">
        <f>VLOOKUP(A1,Data!$A$1:$DZU$1000000,1316,FALSE)</f>
        <v>#N/A</v>
      </c>
      <c r="G78" t="e">
        <f>VLOOKUP(A1,Data!$A$1:$DZU$1000000,1317,FALSE)</f>
        <v>#N/A</v>
      </c>
      <c r="H78" t="e">
        <f>VLOOKUP(A1,Data!$A$1:$DZU$1000000,1318,FALSE)</f>
        <v>#N/A</v>
      </c>
      <c r="I78" t="e">
        <f>VLOOKUP(A1,Data!$A$1:$DZU$1000000,1319,FALSE)</f>
        <v>#N/A</v>
      </c>
      <c r="J78" t="e">
        <f>VLOOKUP(A1,Data!$A$1:$DZU$1000000,1320,FALSE)</f>
        <v>#N/A</v>
      </c>
      <c r="K78" t="e">
        <f>VLOOKUP(A1,Data!$A$1:$DZU$1000000,1321,FALSE)</f>
        <v>#N/A</v>
      </c>
      <c r="L78" t="e">
        <f>VLOOKUP(A1,Data!$A$1:$DZU$1000000,1322,FALSE)</f>
        <v>#N/A</v>
      </c>
      <c r="M78" t="e">
        <f>VLOOKUP(A1,Data!$A$1:$DZU$1000000,1323,FALSE)</f>
        <v>#N/A</v>
      </c>
      <c r="N78" t="e">
        <f>VLOOKUP(A1,Data!$A$1:$DZU$1000000,1324,FALSE)</f>
        <v>#N/A</v>
      </c>
      <c r="O78" t="e">
        <f>VLOOKUP(A1,Data!$A$1:$DZU$1000000,1325,FALSE)</f>
        <v>#N/A</v>
      </c>
      <c r="P78" t="e">
        <f>VLOOKUP(A1,Data!$A$1:$DZU$1000000,1326,FALSE)</f>
        <v>#N/A</v>
      </c>
      <c r="Q78" s="5" t="e">
        <f>VLOOKUP(A1,Data!$A$1:$DZU$1000000,1327,FALSE)</f>
        <v>#N/A</v>
      </c>
    </row>
    <row r="79" spans="1:17" x14ac:dyDescent="0.35">
      <c r="A79" s="54" t="e">
        <f>VLOOKUP(A1,Data!$A$1:$DZU$1000000,1328,FALSE)</f>
        <v>#N/A</v>
      </c>
      <c r="B79" t="e">
        <f>VLOOKUP(A1,Data!$A$1:$DZU$1000000,1329,FALSE)</f>
        <v>#N/A</v>
      </c>
      <c r="C79" t="e">
        <f>VLOOKUP(A1,Data!$A$1:$DZU$1000000,1330,FALSE)</f>
        <v>#N/A</v>
      </c>
      <c r="D79" t="e">
        <f>VLOOKUP(A1,Data!$A$1:$DZU$1000000,1331,FALSE)</f>
        <v>#N/A</v>
      </c>
      <c r="E79" t="e">
        <f>VLOOKUP(A1,Data!$A$1:$DZU$1000000,1332,FALSE)</f>
        <v>#N/A</v>
      </c>
      <c r="F79" t="e">
        <f>VLOOKUP(A1,Data!$A$1:$DZU$1000000,1333,FALSE)</f>
        <v>#N/A</v>
      </c>
      <c r="G79" t="e">
        <f>VLOOKUP(A1,Data!$A$1:$DZU$1000000,1334,FALSE)</f>
        <v>#N/A</v>
      </c>
      <c r="H79" t="e">
        <f>VLOOKUP(A1,Data!$A$1:$DZU$1000000,1335,FALSE)</f>
        <v>#N/A</v>
      </c>
      <c r="I79" t="e">
        <f>VLOOKUP(A1,Data!$A$1:$DZU$1000000,1336,FALSE)</f>
        <v>#N/A</v>
      </c>
      <c r="J79" t="e">
        <f>VLOOKUP(A1,Data!$A$1:$DZU$1000000,1337,FALSE)</f>
        <v>#N/A</v>
      </c>
      <c r="K79" t="e">
        <f>VLOOKUP(A1,Data!$A$1:$DZU$1000000,1338,FALSE)</f>
        <v>#N/A</v>
      </c>
      <c r="L79" t="e">
        <f>VLOOKUP(A1,Data!$A$1:$DZU$1000000,1339,FALSE)</f>
        <v>#N/A</v>
      </c>
      <c r="M79" t="e">
        <f>VLOOKUP(A1,Data!$A$1:$DZU$1000000,1340,FALSE)</f>
        <v>#N/A</v>
      </c>
      <c r="N79" t="e">
        <f>VLOOKUP(A1,Data!$A$1:$DZU$1000000,1341,FALSE)</f>
        <v>#N/A</v>
      </c>
      <c r="O79" t="e">
        <f>VLOOKUP(A1,Data!$A$1:$DZU$1000000,1342,FALSE)</f>
        <v>#N/A</v>
      </c>
      <c r="P79" t="e">
        <f>VLOOKUP(A1,Data!$A$1:$DZU$1000000,1343,FALSE)</f>
        <v>#N/A</v>
      </c>
      <c r="Q79" s="5" t="e">
        <f>VLOOKUP(A1,Data!$A$1:$DZU$1000000,1344,FALSE)</f>
        <v>#N/A</v>
      </c>
    </row>
    <row r="80" spans="1:17" x14ac:dyDescent="0.35">
      <c r="A80" s="54" t="e">
        <f>VLOOKUP(A1,Data!$A$1:$DZU$1000000,1345,FALSE)</f>
        <v>#N/A</v>
      </c>
      <c r="B80" t="e">
        <f>VLOOKUP(A1,Data!$A$1:$DZU$1000000,1346,FALSE)</f>
        <v>#N/A</v>
      </c>
      <c r="C80" t="e">
        <f>VLOOKUP(A1,Data!$A$1:$DZU$1000000,1347,FALSE)</f>
        <v>#N/A</v>
      </c>
      <c r="D80" t="e">
        <f>VLOOKUP(A1,Data!$A$1:$DZU$1000000,1348,FALSE)</f>
        <v>#N/A</v>
      </c>
      <c r="E80" t="e">
        <f>VLOOKUP(A1,Data!$A$1:$DZU$1000000,1349,FALSE)</f>
        <v>#N/A</v>
      </c>
      <c r="F80" t="e">
        <f>VLOOKUP(A1,Data!$A$1:$DZU$1000000,1350,FALSE)</f>
        <v>#N/A</v>
      </c>
      <c r="G80" t="e">
        <f>VLOOKUP(A1,Data!$A$1:$DZU$1000000,1351,FALSE)</f>
        <v>#N/A</v>
      </c>
      <c r="H80" t="e">
        <f>VLOOKUP(A1,Data!$A$1:$DZU$1000000,1352,FALSE)</f>
        <v>#N/A</v>
      </c>
      <c r="I80" t="e">
        <f>VLOOKUP(A1,Data!$A$1:$DZU$1000000,1353,FALSE)</f>
        <v>#N/A</v>
      </c>
      <c r="J80" t="e">
        <f>VLOOKUP(A1,Data!$A$1:$DZU$1000000,1354,FALSE)</f>
        <v>#N/A</v>
      </c>
      <c r="K80" t="e">
        <f>VLOOKUP(A1,Data!$A$1:$DZU$1000000,1355,FALSE)</f>
        <v>#N/A</v>
      </c>
      <c r="L80" t="e">
        <f>VLOOKUP(A1,Data!$A$1:$DZU$1000000,1356,FALSE)</f>
        <v>#N/A</v>
      </c>
      <c r="M80" t="e">
        <f>VLOOKUP(A1,Data!$A$1:$DZU$1000000,1357,FALSE)</f>
        <v>#N/A</v>
      </c>
      <c r="N80" t="e">
        <f>VLOOKUP(A1,Data!$A$1:$DZU$1000000,1358,FALSE)</f>
        <v>#N/A</v>
      </c>
      <c r="O80" t="e">
        <f>VLOOKUP(A1,Data!$A$1:$DZU$1000000,1359,FALSE)</f>
        <v>#N/A</v>
      </c>
      <c r="P80" t="e">
        <f>VLOOKUP(A1,Data!$A$1:$DZU$1000000,1360,FALSE)</f>
        <v>#N/A</v>
      </c>
      <c r="Q80" s="5" t="e">
        <f>VLOOKUP(A1,Data!$A$1:$DZU$1000000,1361,FALSE)</f>
        <v>#N/A</v>
      </c>
    </row>
    <row r="81" spans="1:17" x14ac:dyDescent="0.35">
      <c r="A81" s="54" t="e">
        <f>VLOOKUP(A1,Data!$A$1:$DZU$1000000,1362,FALSE)</f>
        <v>#N/A</v>
      </c>
      <c r="B81" t="e">
        <f>VLOOKUP(A1,Data!$A$1:$DZU$1000000,1363,FALSE)</f>
        <v>#N/A</v>
      </c>
      <c r="C81" t="e">
        <f>VLOOKUP(A1,Data!$A$1:$DZU$1000000,1364,FALSE)</f>
        <v>#N/A</v>
      </c>
      <c r="D81" t="e">
        <f>VLOOKUP(A1,Data!$A$1:$DZU$1000000,1365,FALSE)</f>
        <v>#N/A</v>
      </c>
      <c r="E81" t="e">
        <f>VLOOKUP(A1,Data!$A$1:$DZU$1000000,1366,FALSE)</f>
        <v>#N/A</v>
      </c>
      <c r="F81" t="e">
        <f>VLOOKUP(A1,Data!$A$1:$DZU$1000000,1367,FALSE)</f>
        <v>#N/A</v>
      </c>
      <c r="G81" t="e">
        <f>VLOOKUP(A1,Data!$A$1:$DZU$1000000,1368,FALSE)</f>
        <v>#N/A</v>
      </c>
      <c r="H81" t="e">
        <f>VLOOKUP(A1,Data!$A$1:$DZU$1000000,1369,FALSE)</f>
        <v>#N/A</v>
      </c>
      <c r="I81" t="e">
        <f>VLOOKUP(A1,Data!$A$1:$DZU$1000000,1370,FALSE)</f>
        <v>#N/A</v>
      </c>
      <c r="J81" t="e">
        <f>VLOOKUP(A1,Data!$A$1:$DZU$1000000,1371,FALSE)</f>
        <v>#N/A</v>
      </c>
      <c r="K81" t="e">
        <f>VLOOKUP(A1,Data!$A$1:$DZU$1000000,1372,FALSE)</f>
        <v>#N/A</v>
      </c>
      <c r="L81" t="e">
        <f>VLOOKUP(A1,Data!$A$1:$DZU$1000000,1373,FALSE)</f>
        <v>#N/A</v>
      </c>
      <c r="M81" t="e">
        <f>VLOOKUP(A1,Data!$A$1:$DZU$1000000,1374,FALSE)</f>
        <v>#N/A</v>
      </c>
      <c r="N81" t="e">
        <f>VLOOKUP(A1,Data!$A$1:$DZU$1000000,1375,FALSE)</f>
        <v>#N/A</v>
      </c>
      <c r="O81" t="e">
        <f>VLOOKUP(A1,Data!$A$1:$DZU$1000000,1376,FALSE)</f>
        <v>#N/A</v>
      </c>
      <c r="P81" t="e">
        <f>VLOOKUP(A1,Data!$A$1:$DZU$1000000,1377,FALSE)</f>
        <v>#N/A</v>
      </c>
      <c r="Q81" s="5" t="e">
        <f>VLOOKUP(A1,Data!$A$1:$DZU$1000000,1378,FALSE)</f>
        <v>#N/A</v>
      </c>
    </row>
    <row r="82" spans="1:17" x14ac:dyDescent="0.35">
      <c r="A82" s="54" t="e">
        <f>VLOOKUP(A1,Data!$A$1:$DZU$1000000,1379,FALSE)</f>
        <v>#N/A</v>
      </c>
      <c r="B82" t="e">
        <f>VLOOKUP(A1,Data!$A$1:$DZU$1000000,1380,FALSE)</f>
        <v>#N/A</v>
      </c>
      <c r="C82" t="e">
        <f>VLOOKUP(A1,Data!$A$1:$DZU$1000000,1381,FALSE)</f>
        <v>#N/A</v>
      </c>
      <c r="D82" t="e">
        <f>VLOOKUP(A1,Data!$A$1:$DZU$1000000,1382,FALSE)</f>
        <v>#N/A</v>
      </c>
      <c r="E82" t="e">
        <f>VLOOKUP(A1,Data!$A$1:$DZU$1000000,1383,FALSE)</f>
        <v>#N/A</v>
      </c>
      <c r="F82" t="e">
        <f>VLOOKUP(A1,Data!$A$1:$DZU$1000000,1384,FALSE)</f>
        <v>#N/A</v>
      </c>
      <c r="G82" t="e">
        <f>VLOOKUP(A1,Data!$A$1:$DZU$1000000,1385,FALSE)</f>
        <v>#N/A</v>
      </c>
      <c r="H82" t="e">
        <f>VLOOKUP(A1,Data!$A$1:$DZU$1000000,1386,FALSE)</f>
        <v>#N/A</v>
      </c>
      <c r="I82" t="e">
        <f>VLOOKUP(A1,Data!$A$1:$DZU$1000000,1387,FALSE)</f>
        <v>#N/A</v>
      </c>
      <c r="J82" t="e">
        <f>VLOOKUP(A1,Data!$A$1:$DZU$1000000,1388,FALSE)</f>
        <v>#N/A</v>
      </c>
      <c r="K82" t="e">
        <f>VLOOKUP(A1,Data!$A$1:$DZU$1000000,1389,FALSE)</f>
        <v>#N/A</v>
      </c>
      <c r="L82" t="e">
        <f>VLOOKUP(A1,Data!$A$1:$DZU$1000000,1390,FALSE)</f>
        <v>#N/A</v>
      </c>
      <c r="M82" t="e">
        <f>VLOOKUP(A1,Data!$A$1:$DZU$1000000,1391,FALSE)</f>
        <v>#N/A</v>
      </c>
      <c r="N82" t="e">
        <f>VLOOKUP(A1,Data!$A$1:$DZU$1000000,1392,FALSE)</f>
        <v>#N/A</v>
      </c>
      <c r="O82" t="e">
        <f>VLOOKUP(A1,Data!$A$1:$DZU$1000000,1393,FALSE)</f>
        <v>#N/A</v>
      </c>
      <c r="P82" t="e">
        <f>VLOOKUP(A1,Data!$A$1:$DZU$1000000,1394,FALSE)</f>
        <v>#N/A</v>
      </c>
      <c r="Q82" s="5" t="e">
        <f>VLOOKUP(A1,Data!$A$1:$DZU$1000000,1395,FALSE)</f>
        <v>#N/A</v>
      </c>
    </row>
    <row r="83" spans="1:17" x14ac:dyDescent="0.35">
      <c r="A83" s="54" t="e">
        <f>VLOOKUP(A1,Data!$A$1:$DZU$1000000,1396,FALSE)</f>
        <v>#N/A</v>
      </c>
      <c r="B83" t="e">
        <f>VLOOKUP(A1,Data!$A$1:$DZU$1000000,1397,FALSE)</f>
        <v>#N/A</v>
      </c>
      <c r="C83" t="e">
        <f>VLOOKUP(A1,Data!$A$1:$DZU$1000000,1398,FALSE)</f>
        <v>#N/A</v>
      </c>
      <c r="D83" t="e">
        <f>VLOOKUP(A1,Data!$A$1:$DZU$1000000,1399,FALSE)</f>
        <v>#N/A</v>
      </c>
      <c r="E83" t="e">
        <f>VLOOKUP(A1,Data!$A$1:$DZU$1000000,1400,FALSE)</f>
        <v>#N/A</v>
      </c>
      <c r="F83" t="e">
        <f>VLOOKUP(A1,Data!$A$1:$DZU$1000000,1401,FALSE)</f>
        <v>#N/A</v>
      </c>
      <c r="G83" t="e">
        <f>VLOOKUP(A1,Data!$A$1:$DZU$1000000,1402,FALSE)</f>
        <v>#N/A</v>
      </c>
      <c r="H83" t="e">
        <f>VLOOKUP(A1,Data!$A$1:$DZU$1000000,1403,FALSE)</f>
        <v>#N/A</v>
      </c>
      <c r="I83" t="e">
        <f>VLOOKUP(A1,Data!$A$1:$DZU$1000000,1404,FALSE)</f>
        <v>#N/A</v>
      </c>
      <c r="J83" t="e">
        <f>VLOOKUP(A1,Data!$A$1:$DZU$1000000,1405,FALSE)</f>
        <v>#N/A</v>
      </c>
      <c r="K83" t="e">
        <f>VLOOKUP(A1,Data!$A$1:$DZU$1000000,1406,FALSE)</f>
        <v>#N/A</v>
      </c>
      <c r="L83" t="e">
        <f>VLOOKUP(A1,Data!$A$1:$DZU$1000000,1407,FALSE)</f>
        <v>#N/A</v>
      </c>
      <c r="M83" t="e">
        <f>VLOOKUP(A1,Data!$A$1:$DZU$1000000,1408,FALSE)</f>
        <v>#N/A</v>
      </c>
      <c r="N83" t="e">
        <f>VLOOKUP(A1,Data!$A$1:$DZU$1000000,1409,FALSE)</f>
        <v>#N/A</v>
      </c>
      <c r="O83" t="e">
        <f>VLOOKUP(A1,Data!$A$1:$DZU$1000000,1410,FALSE)</f>
        <v>#N/A</v>
      </c>
      <c r="P83" t="e">
        <f>VLOOKUP(A1,Data!$A$1:$DZU$1000000,1411,FALSE)</f>
        <v>#N/A</v>
      </c>
      <c r="Q83" s="5" t="e">
        <f>VLOOKUP(A1,Data!$A$1:$DZU$1000000,1412,FALSE)</f>
        <v>#N/A</v>
      </c>
    </row>
    <row r="84" spans="1:17" x14ac:dyDescent="0.35">
      <c r="A84" s="54" t="e">
        <f>VLOOKUP(A1,Data!$A$1:$DZU$1000000,1413,FALSE)</f>
        <v>#N/A</v>
      </c>
      <c r="B84" t="e">
        <f>VLOOKUP(A1,Data!$A$1:$DZU$1000000,1414,FALSE)</f>
        <v>#N/A</v>
      </c>
      <c r="C84" t="e">
        <f>VLOOKUP(A1,Data!$A$1:$DZU$1000000,1415,FALSE)</f>
        <v>#N/A</v>
      </c>
      <c r="D84" t="e">
        <f>VLOOKUP(A1,Data!$A$1:$DZU$1000000,1416,FALSE)</f>
        <v>#N/A</v>
      </c>
      <c r="E84" t="e">
        <f>VLOOKUP(A1,Data!$A$1:$DZU$1000000,1417,FALSE)</f>
        <v>#N/A</v>
      </c>
      <c r="F84" t="e">
        <f>VLOOKUP(A1,Data!$A$1:$DZU$1000000,1418,FALSE)</f>
        <v>#N/A</v>
      </c>
      <c r="G84" t="e">
        <f>VLOOKUP(A1,Data!$A$1:$DZU$1000000,1419,FALSE)</f>
        <v>#N/A</v>
      </c>
      <c r="H84" t="e">
        <f>VLOOKUP(A1,Data!$A$1:$DZU$1000000,1420,FALSE)</f>
        <v>#N/A</v>
      </c>
      <c r="I84" t="e">
        <f>VLOOKUP(A1,Data!$A$1:$DZU$1000000,1421,FALSE)</f>
        <v>#N/A</v>
      </c>
      <c r="J84" t="e">
        <f>VLOOKUP(A1,Data!$A$1:$DZU$1000000,1422,FALSE)</f>
        <v>#N/A</v>
      </c>
      <c r="K84" t="e">
        <f>VLOOKUP(A1,Data!$A$1:$DZU$1000000,1423,FALSE)</f>
        <v>#N/A</v>
      </c>
      <c r="L84" t="e">
        <f>VLOOKUP(A1,Data!$A$1:$DZU$1000000,1424,FALSE)</f>
        <v>#N/A</v>
      </c>
      <c r="M84" t="e">
        <f>VLOOKUP(A1,Data!$A$1:$DZU$1000000,1425,FALSE)</f>
        <v>#N/A</v>
      </c>
      <c r="N84" t="e">
        <f>VLOOKUP(A1,Data!$A$1:$DZU$1000000,1426,FALSE)</f>
        <v>#N/A</v>
      </c>
      <c r="O84" t="e">
        <f>VLOOKUP(A1,Data!$A$1:$DZU$1000000,1427,FALSE)</f>
        <v>#N/A</v>
      </c>
      <c r="P84" t="e">
        <f>VLOOKUP(A1,Data!$A$1:$DZU$1000000,1428,FALSE)</f>
        <v>#N/A</v>
      </c>
      <c r="Q84" s="5" t="e">
        <f>VLOOKUP(A1,Data!$A$1:$DZU$1000000,1429,FALSE)</f>
        <v>#N/A</v>
      </c>
    </row>
    <row r="85" spans="1:17" x14ac:dyDescent="0.35">
      <c r="A85" s="54" t="e">
        <f>VLOOKUP(A1,Data!$A$1:$DZU$1000000,1430,FALSE)</f>
        <v>#N/A</v>
      </c>
      <c r="B85" t="e">
        <f>VLOOKUP(A1,Data!$A$1:$DZU$1000000,1431,FALSE)</f>
        <v>#N/A</v>
      </c>
      <c r="C85" t="e">
        <f>VLOOKUP(A1,Data!$A$1:$DZU$1000000,1432,FALSE)</f>
        <v>#N/A</v>
      </c>
      <c r="D85" t="e">
        <f>VLOOKUP(A1,Data!$A$1:$DZU$1000000,1433,FALSE)</f>
        <v>#N/A</v>
      </c>
      <c r="E85" t="e">
        <f>VLOOKUP(A1,Data!$A$1:$DZU$1000000,1434,FALSE)</f>
        <v>#N/A</v>
      </c>
      <c r="F85" t="e">
        <f>VLOOKUP(A1,Data!$A$1:$DZU$1000000,1435,FALSE)</f>
        <v>#N/A</v>
      </c>
      <c r="G85" t="e">
        <f>VLOOKUP(A1,Data!$A$1:$DZU$1000000,1436,FALSE)</f>
        <v>#N/A</v>
      </c>
      <c r="H85" t="e">
        <f>VLOOKUP(A1,Data!$A$1:$DZU$1000000,1437,FALSE)</f>
        <v>#N/A</v>
      </c>
      <c r="I85" t="e">
        <f>VLOOKUP(A1,Data!$A$1:$DZU$1000000,1438,FALSE)</f>
        <v>#N/A</v>
      </c>
      <c r="J85" t="e">
        <f>VLOOKUP(A1,Data!$A$1:$DZU$1000000,1439,FALSE)</f>
        <v>#N/A</v>
      </c>
      <c r="K85" t="e">
        <f>VLOOKUP(A1,Data!$A$1:$DZU$1000000,1440,FALSE)</f>
        <v>#N/A</v>
      </c>
      <c r="L85" t="e">
        <f>VLOOKUP(A1,Data!$A$1:$DZU$1000000,1441,FALSE)</f>
        <v>#N/A</v>
      </c>
      <c r="M85" t="e">
        <f>VLOOKUP(A1,Data!$A$1:$DZU$1000000,1442,FALSE)</f>
        <v>#N/A</v>
      </c>
      <c r="N85" t="e">
        <f>VLOOKUP(A1,Data!$A$1:$DZU$1000000,1443,FALSE)</f>
        <v>#N/A</v>
      </c>
      <c r="O85" t="e">
        <f>VLOOKUP(A1,Data!$A$1:$DZU$1000000,1444,FALSE)</f>
        <v>#N/A</v>
      </c>
      <c r="P85" t="e">
        <f>VLOOKUP(A1,Data!$A$1:$DZU$1000000,1445,FALSE)</f>
        <v>#N/A</v>
      </c>
      <c r="Q85" s="5" t="e">
        <f>VLOOKUP(A1,Data!$A$1:$DZU$1000000,1446,FALSE)</f>
        <v>#N/A</v>
      </c>
    </row>
    <row r="86" spans="1:17" x14ac:dyDescent="0.35">
      <c r="A86" s="54" t="e">
        <f>VLOOKUP(A1,Data!$A$1:$DZU$1000000,1447,FALSE)</f>
        <v>#N/A</v>
      </c>
      <c r="B86" t="e">
        <f>VLOOKUP(A1,Data!$A$1:$DZU$1000000,1448,FALSE)</f>
        <v>#N/A</v>
      </c>
      <c r="C86" t="e">
        <f>VLOOKUP(A1,Data!$A$1:$DZU$1000000,1449,FALSE)</f>
        <v>#N/A</v>
      </c>
      <c r="D86" t="e">
        <f>VLOOKUP(A1,Data!$A$1:$DZU$1000000,1450,FALSE)</f>
        <v>#N/A</v>
      </c>
      <c r="E86" t="e">
        <f>VLOOKUP(A1,Data!$A$1:$DZU$1000000,1451,FALSE)</f>
        <v>#N/A</v>
      </c>
      <c r="F86" t="e">
        <f>VLOOKUP(A1,Data!$A$1:$DZU$1000000,1452,FALSE)</f>
        <v>#N/A</v>
      </c>
      <c r="G86" t="e">
        <f>VLOOKUP(A1,Data!$A$1:$DZU$1000000,1453,FALSE)</f>
        <v>#N/A</v>
      </c>
      <c r="H86" t="e">
        <f>VLOOKUP(A1,Data!$A$1:$DZU$1000000,1454,FALSE)</f>
        <v>#N/A</v>
      </c>
      <c r="I86" t="e">
        <f>VLOOKUP(A1,Data!$A$1:$DZU$1000000,1455,FALSE)</f>
        <v>#N/A</v>
      </c>
      <c r="J86" t="e">
        <f>VLOOKUP(A1,Data!$A$1:$DZU$1000000,1456,FALSE)</f>
        <v>#N/A</v>
      </c>
      <c r="K86" t="e">
        <f>VLOOKUP(A1,Data!$A$1:$DZU$1000000,1457,FALSE)</f>
        <v>#N/A</v>
      </c>
      <c r="L86" t="e">
        <f>VLOOKUP(A1,Data!$A$1:$DZU$1000000,1458,FALSE)</f>
        <v>#N/A</v>
      </c>
      <c r="M86" t="e">
        <f>VLOOKUP(A1,Data!$A$1:$DZU$1000000,1459,FALSE)</f>
        <v>#N/A</v>
      </c>
      <c r="N86" t="e">
        <f>VLOOKUP(A1,Data!$A$1:$DZU$1000000,1460,FALSE)</f>
        <v>#N/A</v>
      </c>
      <c r="O86" t="e">
        <f>VLOOKUP(A1,Data!$A$1:$DZU$1000000,1461,FALSE)</f>
        <v>#N/A</v>
      </c>
      <c r="P86" t="e">
        <f>VLOOKUP(A1,Data!$A$1:$DZU$1000000,1462,FALSE)</f>
        <v>#N/A</v>
      </c>
      <c r="Q86" s="5" t="e">
        <f>VLOOKUP(A1,Data!$A$1:$DZU$1000000,1463,FALSE)</f>
        <v>#N/A</v>
      </c>
    </row>
    <row r="87" spans="1:17" x14ac:dyDescent="0.35">
      <c r="A87" s="54" t="e">
        <f>VLOOKUP(A1,Data!$A$1:$DZU$1000000,1464,FALSE)</f>
        <v>#N/A</v>
      </c>
      <c r="B87" t="e">
        <f>VLOOKUP(A1,Data!$A$1:$DZU$1000000,1465,FALSE)</f>
        <v>#N/A</v>
      </c>
      <c r="C87" t="e">
        <f>VLOOKUP(A1,Data!$A$1:$DZU$1000000,1466,FALSE)</f>
        <v>#N/A</v>
      </c>
      <c r="D87" t="e">
        <f>VLOOKUP(A1,Data!$A$1:$DZU$1000000,1467,FALSE)</f>
        <v>#N/A</v>
      </c>
      <c r="E87" t="e">
        <f>VLOOKUP(A1,Data!$A$1:$DZU$1000000,1468,FALSE)</f>
        <v>#N/A</v>
      </c>
      <c r="F87" t="e">
        <f>VLOOKUP(A1,Data!$A$1:$DZU$1000000,1469,FALSE)</f>
        <v>#N/A</v>
      </c>
      <c r="G87" t="e">
        <f>VLOOKUP(A1,Data!$A$1:$DZU$1000000,1470,FALSE)</f>
        <v>#N/A</v>
      </c>
      <c r="H87" t="e">
        <f>VLOOKUP(A1,Data!$A$1:$DZU$1000000,1471,FALSE)</f>
        <v>#N/A</v>
      </c>
      <c r="I87" t="e">
        <f>VLOOKUP(A1,Data!$A$1:$DZU$1000000,1472,FALSE)</f>
        <v>#N/A</v>
      </c>
      <c r="J87" t="e">
        <f>VLOOKUP(A1,Data!$A$1:$DZU$1000000,1473,FALSE)</f>
        <v>#N/A</v>
      </c>
      <c r="K87" t="e">
        <f>VLOOKUP(A1,Data!$A$1:$DZU$1000000,1474,FALSE)</f>
        <v>#N/A</v>
      </c>
      <c r="L87" t="e">
        <f>VLOOKUP(A1,Data!$A$1:$DZU$1000000,1475,FALSE)</f>
        <v>#N/A</v>
      </c>
      <c r="M87" t="e">
        <f>VLOOKUP(A1,Data!$A$1:$DZU$1000000,1476,FALSE)</f>
        <v>#N/A</v>
      </c>
      <c r="N87" t="e">
        <f>VLOOKUP(A1,Data!$A$1:$DZU$1000000,1477,FALSE)</f>
        <v>#N/A</v>
      </c>
      <c r="O87" t="e">
        <f>VLOOKUP(A1,Data!$A$1:$DZU$1000000,1478,FALSE)</f>
        <v>#N/A</v>
      </c>
      <c r="P87" t="e">
        <f>VLOOKUP(A1,Data!$A$1:$DZU$1000000,1479,FALSE)</f>
        <v>#N/A</v>
      </c>
      <c r="Q87" s="5" t="e">
        <f>VLOOKUP(A1,Data!$A$1:$DZU$1000000,1480,FALSE)</f>
        <v>#N/A</v>
      </c>
    </row>
    <row r="88" spans="1:17" x14ac:dyDescent="0.35">
      <c r="A88" s="54" t="e">
        <f>VLOOKUP(A1,Data!$A$1:$DZU$1000000,1481,FALSE)</f>
        <v>#N/A</v>
      </c>
      <c r="B88" t="e">
        <f>VLOOKUP(A1,Data!$A$1:$DZU$1000000,1482,FALSE)</f>
        <v>#N/A</v>
      </c>
      <c r="C88" t="e">
        <f>VLOOKUP(A1,Data!$A$1:$DZU$1000000,1483,FALSE)</f>
        <v>#N/A</v>
      </c>
      <c r="D88" t="e">
        <f>VLOOKUP(A1,Data!$A$1:$DZU$1000000,1484,FALSE)</f>
        <v>#N/A</v>
      </c>
      <c r="E88" t="e">
        <f>VLOOKUP(A1,Data!$A$1:$DZU$1000000,1485,FALSE)</f>
        <v>#N/A</v>
      </c>
      <c r="F88" t="e">
        <f>VLOOKUP(A1,Data!$A$1:$DZU$1000000,1486,FALSE)</f>
        <v>#N/A</v>
      </c>
      <c r="G88" t="e">
        <f>VLOOKUP(A1,Data!$A$1:$DZU$1000000,1487,FALSE)</f>
        <v>#N/A</v>
      </c>
      <c r="H88" t="e">
        <f>VLOOKUP(A1,Data!$A$1:$DZU$1000000,1488,FALSE)</f>
        <v>#N/A</v>
      </c>
      <c r="I88" t="e">
        <f>VLOOKUP(A1,Data!$A$1:$DZU$1000000,1489,FALSE)</f>
        <v>#N/A</v>
      </c>
      <c r="J88" t="e">
        <f>VLOOKUP(A1,Data!$A$1:$DZU$1000000,1490,FALSE)</f>
        <v>#N/A</v>
      </c>
      <c r="K88" t="e">
        <f>VLOOKUP(A1,Data!$A$1:$DZU$1000000,1491,FALSE)</f>
        <v>#N/A</v>
      </c>
      <c r="L88" t="e">
        <f>VLOOKUP(A1,Data!$A$1:$DZU$1000000,1492,FALSE)</f>
        <v>#N/A</v>
      </c>
      <c r="M88" t="e">
        <f>VLOOKUP(A1,Data!$A$1:$DZU$1000000,1493,FALSE)</f>
        <v>#N/A</v>
      </c>
      <c r="N88" t="e">
        <f>VLOOKUP(A1,Data!$A$1:$DZU$1000000,1494,FALSE)</f>
        <v>#N/A</v>
      </c>
      <c r="O88" t="e">
        <f>VLOOKUP(A1,Data!$A$1:$DZU$1000000,1495,FALSE)</f>
        <v>#N/A</v>
      </c>
      <c r="P88" t="e">
        <f>VLOOKUP(A1,Data!$A$1:$DZU$1000000,1496,FALSE)</f>
        <v>#N/A</v>
      </c>
      <c r="Q88" s="5" t="e">
        <f>VLOOKUP(A1,Data!$A$1:$DZU$1000000,1497,FALSE)</f>
        <v>#N/A</v>
      </c>
    </row>
    <row r="89" spans="1:17" x14ac:dyDescent="0.35">
      <c r="A89" s="54" t="e">
        <f>VLOOKUP(A1,Data!$A$1:$DZU$1000000,1498,FALSE)</f>
        <v>#N/A</v>
      </c>
      <c r="B89" t="e">
        <f>VLOOKUP(A1,Data!$A$1:$DZU$1000000,1499,FALSE)</f>
        <v>#N/A</v>
      </c>
      <c r="C89" t="e">
        <f>VLOOKUP(A1,Data!$A$1:$DZU$1000000,1500,FALSE)</f>
        <v>#N/A</v>
      </c>
      <c r="D89" t="e">
        <f>VLOOKUP(A1,Data!$A$1:$DZU$1000000,1501,FALSE)</f>
        <v>#N/A</v>
      </c>
      <c r="E89" t="e">
        <f>VLOOKUP(A1,Data!$A$1:$DZU$1000000,1502,FALSE)</f>
        <v>#N/A</v>
      </c>
      <c r="F89" t="e">
        <f>VLOOKUP(A1,Data!$A$1:$DZU$1000000,1503,FALSE)</f>
        <v>#N/A</v>
      </c>
      <c r="G89" t="e">
        <f>VLOOKUP(A1,Data!$A$1:$DZU$1000000,1504,FALSE)</f>
        <v>#N/A</v>
      </c>
      <c r="H89" t="e">
        <f>VLOOKUP(A1,Data!$A$1:$DZU$1000000,1505,FALSE)</f>
        <v>#N/A</v>
      </c>
      <c r="I89" t="e">
        <f>VLOOKUP(A1,Data!$A$1:$DZU$1000000,1506,FALSE)</f>
        <v>#N/A</v>
      </c>
      <c r="J89" t="e">
        <f>VLOOKUP(A1,Data!$A$1:$DZU$1000000,1507,FALSE)</f>
        <v>#N/A</v>
      </c>
      <c r="K89" t="e">
        <f>VLOOKUP(A1,Data!$A$1:$DZU$1000000,1508,FALSE)</f>
        <v>#N/A</v>
      </c>
      <c r="L89" t="e">
        <f>VLOOKUP(A1,Data!$A$1:$DZU$1000000,1509,FALSE)</f>
        <v>#N/A</v>
      </c>
      <c r="M89" t="e">
        <f>VLOOKUP(A1,Data!$A$1:$DZU$1000000,1510,FALSE)</f>
        <v>#N/A</v>
      </c>
      <c r="N89" t="e">
        <f>VLOOKUP(A1,Data!$A$1:$DZU$1000000,1511,FALSE)</f>
        <v>#N/A</v>
      </c>
      <c r="O89" t="e">
        <f>VLOOKUP(A1,Data!$A$1:$DZU$1000000,1512,FALSE)</f>
        <v>#N/A</v>
      </c>
      <c r="P89" t="e">
        <f>VLOOKUP(A1,Data!$A$1:$DZU$1000000,1513,FALSE)</f>
        <v>#N/A</v>
      </c>
      <c r="Q89" s="5" t="e">
        <f>VLOOKUP(A1,Data!$A$1:$DZU$1000000,1514,FALSE)</f>
        <v>#N/A</v>
      </c>
    </row>
    <row r="90" spans="1:17" x14ac:dyDescent="0.35">
      <c r="A90" s="54" t="e">
        <f>VLOOKUP(A1,Data!$A$1:$DZU$1000000,1515,FALSE)</f>
        <v>#N/A</v>
      </c>
      <c r="B90" t="e">
        <f>VLOOKUP(A1,Data!$A$1:$DZU$1000000,1516,FALSE)</f>
        <v>#N/A</v>
      </c>
      <c r="C90" t="e">
        <f>VLOOKUP(A1,Data!$A$1:$DZU$1000000,1517,FALSE)</f>
        <v>#N/A</v>
      </c>
      <c r="D90" t="e">
        <f>VLOOKUP(A1,Data!$A$1:$DZU$1000000,1518,FALSE)</f>
        <v>#N/A</v>
      </c>
      <c r="E90" t="e">
        <f>VLOOKUP(A1,Data!$A$1:$DZU$1000000,1519,FALSE)</f>
        <v>#N/A</v>
      </c>
      <c r="F90" t="e">
        <f>VLOOKUP(A1,Data!$A$1:$DZU$1000000,1520,FALSE)</f>
        <v>#N/A</v>
      </c>
      <c r="G90" t="e">
        <f>VLOOKUP(A1,Data!$A$1:$DZU$1000000,1521,FALSE)</f>
        <v>#N/A</v>
      </c>
      <c r="H90" t="e">
        <f>VLOOKUP(A1,Data!$A$1:$DZU$1000000,1522,FALSE)</f>
        <v>#N/A</v>
      </c>
      <c r="I90" t="e">
        <f>VLOOKUP(A1,Data!$A$1:$DZU$1000000,1523,FALSE)</f>
        <v>#N/A</v>
      </c>
      <c r="J90" t="e">
        <f>VLOOKUP(A1,Data!$A$1:$DZU$1000000,1524,FALSE)</f>
        <v>#N/A</v>
      </c>
      <c r="K90" t="e">
        <f>VLOOKUP(A1,Data!$A$1:$DZU$1000000,1525,FALSE)</f>
        <v>#N/A</v>
      </c>
      <c r="L90" t="e">
        <f>VLOOKUP(A1,Data!$A$1:$DZU$1000000,1526,FALSE)</f>
        <v>#N/A</v>
      </c>
      <c r="M90" t="e">
        <f>VLOOKUP(A1,Data!$A$1:$DZU$1000000,1527,FALSE)</f>
        <v>#N/A</v>
      </c>
      <c r="N90" t="e">
        <f>VLOOKUP(A1,Data!$A$1:$DZU$1000000,1528,FALSE)</f>
        <v>#N/A</v>
      </c>
      <c r="O90" t="e">
        <f>VLOOKUP(A1,Data!$A$1:$DZU$1000000,1529,FALSE)</f>
        <v>#N/A</v>
      </c>
      <c r="P90" t="e">
        <f>VLOOKUP(A1,Data!$A$1:$DZU$1000000,1530,FALSE)</f>
        <v>#N/A</v>
      </c>
      <c r="Q90" s="5" t="e">
        <f>VLOOKUP(A1,Data!$A$1:$DZU$1000000,1531,FALSE)</f>
        <v>#N/A</v>
      </c>
    </row>
    <row r="91" spans="1:17" x14ac:dyDescent="0.35">
      <c r="A91" s="54" t="e">
        <f>VLOOKUP(A1,Data!$A$1:$DZU$1000000,1532,FALSE)</f>
        <v>#N/A</v>
      </c>
      <c r="B91" t="e">
        <f>VLOOKUP(A1,Data!$A$1:$DZU$1000000,1533,FALSE)</f>
        <v>#N/A</v>
      </c>
      <c r="C91" t="e">
        <f>VLOOKUP(A1,Data!$A$1:$DZU$1000000,1534,FALSE)</f>
        <v>#N/A</v>
      </c>
      <c r="D91" t="e">
        <f>VLOOKUP(A1,Data!$A$1:$DZU$1000000,1535,FALSE)</f>
        <v>#N/A</v>
      </c>
      <c r="E91" t="e">
        <f>VLOOKUP(A1,Data!$A$1:$DZU$1000000,1536,FALSE)</f>
        <v>#N/A</v>
      </c>
      <c r="F91" t="e">
        <f>VLOOKUP(A1,Data!$A$1:$DZU$1000000,1537,FALSE)</f>
        <v>#N/A</v>
      </c>
      <c r="G91" t="e">
        <f>VLOOKUP(A1,Data!$A$1:$DZU$1000000,1538,FALSE)</f>
        <v>#N/A</v>
      </c>
      <c r="H91" t="e">
        <f>VLOOKUP(A1,Data!$A$1:$DZU$1000000,1539,FALSE)</f>
        <v>#N/A</v>
      </c>
      <c r="I91" t="e">
        <f>VLOOKUP(A1,Data!$A$1:$DZU$1000000,1540,FALSE)</f>
        <v>#N/A</v>
      </c>
      <c r="J91" t="e">
        <f>VLOOKUP(A1,Data!$A$1:$DZU$1000000,1541,FALSE)</f>
        <v>#N/A</v>
      </c>
      <c r="K91" t="e">
        <f>VLOOKUP(A1,Data!$A$1:$DZU$1000000,1542,FALSE)</f>
        <v>#N/A</v>
      </c>
      <c r="L91" t="e">
        <f>VLOOKUP(A1,Data!$A$1:$DZU$1000000,1543,FALSE)</f>
        <v>#N/A</v>
      </c>
      <c r="M91" t="e">
        <f>VLOOKUP(A1,Data!$A$1:$DZU$1000000,1544,FALSE)</f>
        <v>#N/A</v>
      </c>
      <c r="N91" t="e">
        <f>VLOOKUP(A1,Data!$A$1:$DZU$1000000,1545,FALSE)</f>
        <v>#N/A</v>
      </c>
      <c r="O91" t="e">
        <f>VLOOKUP(A1,Data!$A$1:$DZU$1000000,1546,FALSE)</f>
        <v>#N/A</v>
      </c>
      <c r="P91" t="e">
        <f>VLOOKUP(A1,Data!$A$1:$DZU$1000000,1547,FALSE)</f>
        <v>#N/A</v>
      </c>
      <c r="Q91" s="5" t="e">
        <f>VLOOKUP(A1,Data!$A$1:$DZU$1000000,1548,FALSE)</f>
        <v>#N/A</v>
      </c>
    </row>
    <row r="92" spans="1:17" x14ac:dyDescent="0.35">
      <c r="A92" s="54" t="e">
        <f>VLOOKUP(A1,Data!$A$1:$DZU$1000000,1549,FALSE)</f>
        <v>#N/A</v>
      </c>
      <c r="B92" t="e">
        <f>VLOOKUP(A1,Data!$A$1:$DZU$1000000,1550,FALSE)</f>
        <v>#N/A</v>
      </c>
      <c r="C92" t="e">
        <f>VLOOKUP(A1,Data!$A$1:$DZU$1000000,1551,FALSE)</f>
        <v>#N/A</v>
      </c>
      <c r="D92" t="e">
        <f>VLOOKUP(A1,Data!$A$1:$DZU$1000000,1552,FALSE)</f>
        <v>#N/A</v>
      </c>
      <c r="E92" t="e">
        <f>VLOOKUP(A1,Data!$A$1:$DZU$1000000,1553,FALSE)</f>
        <v>#N/A</v>
      </c>
      <c r="F92" t="e">
        <f>VLOOKUP(A1,Data!$A$1:$DZU$1000000,1554,FALSE)</f>
        <v>#N/A</v>
      </c>
      <c r="G92" t="e">
        <f>VLOOKUP(A1,Data!$A$1:$DZU$1000000,1555,FALSE)</f>
        <v>#N/A</v>
      </c>
      <c r="H92" t="e">
        <f>VLOOKUP(A1,Data!$A$1:$DZU$1000000,1556,FALSE)</f>
        <v>#N/A</v>
      </c>
      <c r="I92" t="e">
        <f>VLOOKUP(A1,Data!$A$1:$DZU$1000000,1557,FALSE)</f>
        <v>#N/A</v>
      </c>
      <c r="J92" t="e">
        <f>VLOOKUP(A1,Data!$A$1:$DZU$1000000,1558,FALSE)</f>
        <v>#N/A</v>
      </c>
      <c r="K92" t="e">
        <f>VLOOKUP(A1,Data!$A$1:$DZU$1000000,1559,FALSE)</f>
        <v>#N/A</v>
      </c>
      <c r="L92" t="e">
        <f>VLOOKUP(A1,Data!$A$1:$DZU$1000000,1560,FALSE)</f>
        <v>#N/A</v>
      </c>
      <c r="M92" t="e">
        <f>VLOOKUP(A1,Data!$A$1:$DZU$1000000,1561,FALSE)</f>
        <v>#N/A</v>
      </c>
      <c r="N92" t="e">
        <f>VLOOKUP(A1,Data!$A$1:$DZU$1000000,1562,FALSE)</f>
        <v>#N/A</v>
      </c>
      <c r="O92" t="e">
        <f>VLOOKUP(A1,Data!$A$1:$DZU$1000000,1563,FALSE)</f>
        <v>#N/A</v>
      </c>
      <c r="P92" t="e">
        <f>VLOOKUP(A1,Data!$A$1:$DZU$1000000,1564,FALSE)</f>
        <v>#N/A</v>
      </c>
      <c r="Q92" s="5" t="e">
        <f>VLOOKUP(A1,Data!$A$1:$DZU$1000000,1565,FALSE)</f>
        <v>#N/A</v>
      </c>
    </row>
    <row r="93" spans="1:17" x14ac:dyDescent="0.35">
      <c r="A93" s="54" t="e">
        <f>VLOOKUP(A1,Data!$A$1:$DZU$1000000,1566,FALSE)</f>
        <v>#N/A</v>
      </c>
      <c r="B93" t="e">
        <f>VLOOKUP(A1,Data!$A$1:$DZU$1000000,1567,FALSE)</f>
        <v>#N/A</v>
      </c>
      <c r="C93" t="e">
        <f>VLOOKUP(A1,Data!$A$1:$DZU$1000000,1568,FALSE)</f>
        <v>#N/A</v>
      </c>
      <c r="D93" t="e">
        <f>VLOOKUP(A1,Data!$A$1:$DZU$1000000,1569,FALSE)</f>
        <v>#N/A</v>
      </c>
      <c r="E93" t="e">
        <f>VLOOKUP(A1,Data!$A$1:$DZU$1000000,1570,FALSE)</f>
        <v>#N/A</v>
      </c>
      <c r="F93" t="e">
        <f>VLOOKUP(A1,Data!$A$1:$DZU$1000000,1571,FALSE)</f>
        <v>#N/A</v>
      </c>
      <c r="G93" t="e">
        <f>VLOOKUP(A1,Data!$A$1:$DZU$1000000,1572,FALSE)</f>
        <v>#N/A</v>
      </c>
      <c r="H93" t="e">
        <f>VLOOKUP(A1,Data!$A$1:$DZU$1000000,1573,FALSE)</f>
        <v>#N/A</v>
      </c>
      <c r="I93" t="e">
        <f>VLOOKUP(A1,Data!$A$1:$DZU$1000000,1574,FALSE)</f>
        <v>#N/A</v>
      </c>
      <c r="J93" t="e">
        <f>VLOOKUP(A1,Data!$A$1:$DZU$1000000,1575,FALSE)</f>
        <v>#N/A</v>
      </c>
      <c r="K93" t="e">
        <f>VLOOKUP(A1,Data!$A$1:$DZU$1000000,1576,FALSE)</f>
        <v>#N/A</v>
      </c>
      <c r="L93" t="e">
        <f>VLOOKUP(A1,Data!$A$1:$DZU$1000000,1577,FALSE)</f>
        <v>#N/A</v>
      </c>
      <c r="M93" t="e">
        <f>VLOOKUP(A1,Data!$A$1:$DZU$1000000,1578,FALSE)</f>
        <v>#N/A</v>
      </c>
      <c r="N93" t="e">
        <f>VLOOKUP(A1,Data!$A$1:$DZU$1000000,1579,FALSE)</f>
        <v>#N/A</v>
      </c>
      <c r="O93" t="e">
        <f>VLOOKUP(A1,Data!$A$1:$DZU$1000000,1580,FALSE)</f>
        <v>#N/A</v>
      </c>
      <c r="P93" t="e">
        <f>VLOOKUP(A1,Data!$A$1:$DZU$1000000,1581,FALSE)</f>
        <v>#N/A</v>
      </c>
      <c r="Q93" s="5" t="e">
        <f>VLOOKUP(A1,Data!$A$1:$DZU$1000000,1582,FALSE)</f>
        <v>#N/A</v>
      </c>
    </row>
    <row r="94" spans="1:17" x14ac:dyDescent="0.35">
      <c r="A94" s="54" t="e">
        <f>VLOOKUP(A1,Data!$A$1:$DZU$1000000,1583,FALSE)</f>
        <v>#N/A</v>
      </c>
      <c r="B94" t="e">
        <f>VLOOKUP(A1,Data!$A$1:$DZU$1000000,1584,FALSE)</f>
        <v>#N/A</v>
      </c>
      <c r="C94" t="e">
        <f>VLOOKUP(A1,Data!$A$1:$DZU$1000000,1585,FALSE)</f>
        <v>#N/A</v>
      </c>
      <c r="D94" t="e">
        <f>VLOOKUP(A1,Data!$A$1:$DZU$1000000,1586,FALSE)</f>
        <v>#N/A</v>
      </c>
      <c r="E94" t="e">
        <f>VLOOKUP(A1,Data!$A$1:$DZU$1000000,1587,FALSE)</f>
        <v>#N/A</v>
      </c>
      <c r="F94" t="e">
        <f>VLOOKUP(A1,Data!$A$1:$DZU$1000000,1588,FALSE)</f>
        <v>#N/A</v>
      </c>
      <c r="G94" t="e">
        <f>VLOOKUP(A1,Data!$A$1:$DZU$1000000,1589,FALSE)</f>
        <v>#N/A</v>
      </c>
      <c r="H94" t="e">
        <f>VLOOKUP(A1,Data!$A$1:$DZU$1000000,1590,FALSE)</f>
        <v>#N/A</v>
      </c>
      <c r="I94" t="e">
        <f>VLOOKUP(A1,Data!$A$1:$DZU$1000000,1591,FALSE)</f>
        <v>#N/A</v>
      </c>
      <c r="J94" t="e">
        <f>VLOOKUP(A1,Data!$A$1:$DZU$1000000,1592,FALSE)</f>
        <v>#N/A</v>
      </c>
      <c r="K94" t="e">
        <f>VLOOKUP(A1,Data!$A$1:$DZU$1000000,1593,FALSE)</f>
        <v>#N/A</v>
      </c>
      <c r="L94" t="e">
        <f>VLOOKUP(A1,Data!$A$1:$DZU$1000000,1594,FALSE)</f>
        <v>#N/A</v>
      </c>
      <c r="M94" t="e">
        <f>VLOOKUP(A1,Data!$A$1:$DZU$1000000,1595,FALSE)</f>
        <v>#N/A</v>
      </c>
      <c r="N94" t="e">
        <f>VLOOKUP(A1,Data!$A$1:$DZU$1000000,1596,FALSE)</f>
        <v>#N/A</v>
      </c>
      <c r="O94" t="e">
        <f>VLOOKUP(A1,Data!$A$1:$DZU$1000000,1597,FALSE)</f>
        <v>#N/A</v>
      </c>
      <c r="P94" t="e">
        <f>VLOOKUP(A1,Data!$A$1:$DZU$1000000,1598,FALSE)</f>
        <v>#N/A</v>
      </c>
      <c r="Q94" s="5" t="e">
        <f>VLOOKUP(A1,Data!$A$1:$DZU$1000000,1599,FALSE)</f>
        <v>#N/A</v>
      </c>
    </row>
    <row r="95" spans="1:17" x14ac:dyDescent="0.35">
      <c r="A95" s="54" t="e">
        <f>VLOOKUP(A1,Data!$A$1:$DZU$1000000,1600,FALSE)</f>
        <v>#N/A</v>
      </c>
      <c r="B95" t="e">
        <f>VLOOKUP(A1,Data!$A$1:$DZU$1000000,1601,FALSE)</f>
        <v>#N/A</v>
      </c>
      <c r="C95" t="e">
        <f>VLOOKUP(A1,Data!$A$1:$DZU$1000000,1602,FALSE)</f>
        <v>#N/A</v>
      </c>
      <c r="D95" t="e">
        <f>VLOOKUP(A1,Data!$A$1:$DZU$1000000,1603,FALSE)</f>
        <v>#N/A</v>
      </c>
      <c r="E95" t="e">
        <f>VLOOKUP(A1,Data!$A$1:$DZU$1000000,1604,FALSE)</f>
        <v>#N/A</v>
      </c>
      <c r="F95" t="e">
        <f>VLOOKUP(A1,Data!$A$1:$DZU$1000000,1605,FALSE)</f>
        <v>#N/A</v>
      </c>
      <c r="G95" t="e">
        <f>VLOOKUP(A1,Data!$A$1:$DZU$1000000,1606,FALSE)</f>
        <v>#N/A</v>
      </c>
      <c r="H95" t="e">
        <f>VLOOKUP(A1,Data!$A$1:$DZU$1000000,1607,FALSE)</f>
        <v>#N/A</v>
      </c>
      <c r="I95" t="e">
        <f>VLOOKUP(A1,Data!$A$1:$DZU$1000000,1608,FALSE)</f>
        <v>#N/A</v>
      </c>
      <c r="J95" t="e">
        <f>VLOOKUP(A1,Data!$A$1:$DZU$1000000,1609,FALSE)</f>
        <v>#N/A</v>
      </c>
      <c r="K95" t="e">
        <f>VLOOKUP(A1,Data!$A$1:$DZU$1000000,1610,FALSE)</f>
        <v>#N/A</v>
      </c>
      <c r="L95" t="e">
        <f>VLOOKUP(A1,Data!$A$1:$DZU$1000000,1611,FALSE)</f>
        <v>#N/A</v>
      </c>
      <c r="M95" t="e">
        <f>VLOOKUP(A1,Data!$A$1:$DZU$1000000,1612,FALSE)</f>
        <v>#N/A</v>
      </c>
      <c r="N95" t="e">
        <f>VLOOKUP(A1,Data!$A$1:$DZU$1000000,1613,FALSE)</f>
        <v>#N/A</v>
      </c>
      <c r="O95" t="e">
        <f>VLOOKUP(A1,Data!$A$1:$DZU$1000000,1614,FALSE)</f>
        <v>#N/A</v>
      </c>
      <c r="P95" t="e">
        <f>VLOOKUP(A1,Data!$A$1:$DZU$1000000,1615,FALSE)</f>
        <v>#N/A</v>
      </c>
      <c r="Q95" s="5" t="e">
        <f>VLOOKUP(A1,Data!$A$1:$DZU$1000000,1616,FALSE)</f>
        <v>#N/A</v>
      </c>
    </row>
    <row r="96" spans="1:17" x14ac:dyDescent="0.35">
      <c r="A96" s="54" t="e">
        <f>VLOOKUP(A1,Data!$A$1:$DZU$1000000,1617,FALSE)</f>
        <v>#N/A</v>
      </c>
      <c r="B96" t="e">
        <f>VLOOKUP(A1,Data!$A$1:$DZU$1000000,1618,FALSE)</f>
        <v>#N/A</v>
      </c>
      <c r="C96" t="e">
        <f>VLOOKUP(A1,Data!$A$1:$DZU$1000000,1619,FALSE)</f>
        <v>#N/A</v>
      </c>
      <c r="D96" t="e">
        <f>VLOOKUP(A1,Data!$A$1:$DZU$1000000,1620,FALSE)</f>
        <v>#N/A</v>
      </c>
      <c r="E96" t="e">
        <f>VLOOKUP(A1,Data!$A$1:$DZU$1000000,1621,FALSE)</f>
        <v>#N/A</v>
      </c>
      <c r="F96" t="e">
        <f>VLOOKUP(A1,Data!$A$1:$DZU$1000000,1622,FALSE)</f>
        <v>#N/A</v>
      </c>
      <c r="G96" t="e">
        <f>VLOOKUP(A1,Data!$A$1:$DZU$1000000,1623,FALSE)</f>
        <v>#N/A</v>
      </c>
      <c r="H96" t="e">
        <f>VLOOKUP(A1,Data!$A$1:$DZU$1000000,1624,FALSE)</f>
        <v>#N/A</v>
      </c>
      <c r="I96" t="e">
        <f>VLOOKUP(A1,Data!$A$1:$DZU$1000000,1625,FALSE)</f>
        <v>#N/A</v>
      </c>
      <c r="J96" t="e">
        <f>VLOOKUP(A1,Data!$A$1:$DZU$1000000,1626,FALSE)</f>
        <v>#N/A</v>
      </c>
      <c r="K96" t="e">
        <f>VLOOKUP(A1,Data!$A$1:$DZU$1000000,1627,FALSE)</f>
        <v>#N/A</v>
      </c>
      <c r="L96" t="e">
        <f>VLOOKUP(A1,Data!$A$1:$DZU$1000000,1628,FALSE)</f>
        <v>#N/A</v>
      </c>
      <c r="M96" t="e">
        <f>VLOOKUP(A1,Data!$A$1:$DZU$1000000,1629,FALSE)</f>
        <v>#N/A</v>
      </c>
      <c r="N96" t="e">
        <f>VLOOKUP(A1,Data!$A$1:$DZU$1000000,1630,FALSE)</f>
        <v>#N/A</v>
      </c>
      <c r="O96" t="e">
        <f>VLOOKUP(A1,Data!$A$1:$DZU$1000000,1631,FALSE)</f>
        <v>#N/A</v>
      </c>
      <c r="P96" t="e">
        <f>VLOOKUP(A1,Data!$A$1:$DZU$1000000,1632,FALSE)</f>
        <v>#N/A</v>
      </c>
      <c r="Q96" s="5" t="e">
        <f>VLOOKUP(A1,Data!$A$1:$DZU$1000000,1633,FALSE)</f>
        <v>#N/A</v>
      </c>
    </row>
    <row r="97" spans="1:17" x14ac:dyDescent="0.35">
      <c r="A97" s="54" t="e">
        <f>VLOOKUP(A1,Data!$A$1:$DZU$1000000,1634,FALSE)</f>
        <v>#N/A</v>
      </c>
      <c r="B97" t="e">
        <f>VLOOKUP(A1,Data!$A$1:$DZU$1000000,1635,FALSE)</f>
        <v>#N/A</v>
      </c>
      <c r="C97" t="e">
        <f>VLOOKUP(A1,Data!$A$1:$DZU$1000000,1636,FALSE)</f>
        <v>#N/A</v>
      </c>
      <c r="D97" t="e">
        <f>VLOOKUP(A1,Data!$A$1:$DZU$1000000,1637,FALSE)</f>
        <v>#N/A</v>
      </c>
      <c r="E97" t="e">
        <f>VLOOKUP(A1,Data!$A$1:$DZU$1000000,1638,FALSE)</f>
        <v>#N/A</v>
      </c>
      <c r="F97" t="e">
        <f>VLOOKUP(A1,Data!$A$1:$DZU$1000000,1639,FALSE)</f>
        <v>#N/A</v>
      </c>
      <c r="G97" t="e">
        <f>VLOOKUP(A1,Data!$A$1:$DZU$1000000,1640,FALSE)</f>
        <v>#N/A</v>
      </c>
      <c r="H97" t="e">
        <f>VLOOKUP(A1,Data!$A$1:$DZU$1000000,1641,FALSE)</f>
        <v>#N/A</v>
      </c>
      <c r="I97" t="e">
        <f>VLOOKUP(A1,Data!$A$1:$DZU$1000000,1642,FALSE)</f>
        <v>#N/A</v>
      </c>
      <c r="J97" t="e">
        <f>VLOOKUP(A1,Data!$A$1:$DZU$1000000,1643,FALSE)</f>
        <v>#N/A</v>
      </c>
      <c r="K97" t="e">
        <f>VLOOKUP(A1,Data!$A$1:$DZU$1000000,1644,FALSE)</f>
        <v>#N/A</v>
      </c>
      <c r="L97" t="e">
        <f>VLOOKUP(A1,Data!$A$1:$DZU$1000000,1645,FALSE)</f>
        <v>#N/A</v>
      </c>
      <c r="M97" t="e">
        <f>VLOOKUP(A1,Data!$A$1:$DZU$1000000,1646,FALSE)</f>
        <v>#N/A</v>
      </c>
      <c r="N97" t="e">
        <f>VLOOKUP(A1,Data!$A$1:$DZU$1000000,1647,FALSE)</f>
        <v>#N/A</v>
      </c>
      <c r="O97" t="e">
        <f>VLOOKUP(A1,Data!$A$1:$DZU$1000000,1648,FALSE)</f>
        <v>#N/A</v>
      </c>
      <c r="P97" t="e">
        <f>VLOOKUP(A1,Data!$A$1:$DZU$1000000,1649,FALSE)</f>
        <v>#N/A</v>
      </c>
      <c r="Q97" s="5" t="e">
        <f>VLOOKUP(A1,Data!$A$1:$DZU$1000000,1650,FALSE)</f>
        <v>#N/A</v>
      </c>
    </row>
    <row r="98" spans="1:17" x14ac:dyDescent="0.35">
      <c r="A98" s="54" t="e">
        <f>VLOOKUP(A1,Data!$A$1:$DZU$1000000,1651,FALSE)</f>
        <v>#N/A</v>
      </c>
      <c r="B98" t="e">
        <f>VLOOKUP(A1,Data!$A$1:$DZU$1000000,1652,FALSE)</f>
        <v>#N/A</v>
      </c>
      <c r="C98" t="e">
        <f>VLOOKUP(A1,Data!$A$1:$DZU$1000000,1653,FALSE)</f>
        <v>#N/A</v>
      </c>
      <c r="D98" t="e">
        <f>VLOOKUP(A1,Data!$A$1:$DZU$1000000,1654,FALSE)</f>
        <v>#N/A</v>
      </c>
      <c r="E98" t="e">
        <f>VLOOKUP(A1,Data!$A$1:$DZU$1000000,1655,FALSE)</f>
        <v>#N/A</v>
      </c>
      <c r="F98" t="e">
        <f>VLOOKUP(A1,Data!$A$1:$DZU$1000000,1656,FALSE)</f>
        <v>#N/A</v>
      </c>
      <c r="G98" t="e">
        <f>VLOOKUP(A1,Data!$A$1:$DZU$1000000,1657,FALSE)</f>
        <v>#N/A</v>
      </c>
      <c r="H98" t="e">
        <f>VLOOKUP(A1,Data!$A$1:$DZU$1000000,1658,FALSE)</f>
        <v>#N/A</v>
      </c>
      <c r="I98" t="e">
        <f>VLOOKUP(A1,Data!$A$1:$DZU$1000000,1659,FALSE)</f>
        <v>#N/A</v>
      </c>
      <c r="J98" t="e">
        <f>VLOOKUP(A1,Data!$A$1:$DZU$1000000,1660,FALSE)</f>
        <v>#N/A</v>
      </c>
      <c r="K98" t="e">
        <f>VLOOKUP(A1,Data!$A$1:$DZU$1000000,1661,FALSE)</f>
        <v>#N/A</v>
      </c>
      <c r="L98" t="e">
        <f>VLOOKUP(A1,Data!$A$1:$DZU$1000000,1662,FALSE)</f>
        <v>#N/A</v>
      </c>
      <c r="M98" t="e">
        <f>VLOOKUP(A1,Data!$A$1:$DZU$1000000,1663,FALSE)</f>
        <v>#N/A</v>
      </c>
      <c r="N98" t="e">
        <f>VLOOKUP(A1,Data!$A$1:$DZU$1000000,1664,FALSE)</f>
        <v>#N/A</v>
      </c>
      <c r="O98" t="e">
        <f>VLOOKUP(A1,Data!$A$1:$DZU$1000000,1665,FALSE)</f>
        <v>#N/A</v>
      </c>
      <c r="P98" t="e">
        <f>VLOOKUP(A1,Data!$A$1:$DZU$1000000,1666,FALSE)</f>
        <v>#N/A</v>
      </c>
      <c r="Q98" s="5" t="e">
        <f>VLOOKUP(A1,Data!$A$1:$DZU$1000000,1667,FALSE)</f>
        <v>#N/A</v>
      </c>
    </row>
    <row r="99" spans="1:17" x14ac:dyDescent="0.35">
      <c r="A99" s="54" t="e">
        <f>VLOOKUP(A1,Data!$A$1:$DZU$1000000,1668,FALSE)</f>
        <v>#N/A</v>
      </c>
      <c r="B99" t="e">
        <f>VLOOKUP(A1,Data!$A$1:$DZU$1000000,1669,FALSE)</f>
        <v>#N/A</v>
      </c>
      <c r="C99" t="e">
        <f>VLOOKUP(A1,Data!$A$1:$DZU$1000000,1670,FALSE)</f>
        <v>#N/A</v>
      </c>
      <c r="D99" t="e">
        <f>VLOOKUP(A1,Data!$A$1:$DZU$1000000,1671,FALSE)</f>
        <v>#N/A</v>
      </c>
      <c r="E99" t="e">
        <f>VLOOKUP(A1,Data!$A$1:$DZU$1000000,1672,FALSE)</f>
        <v>#N/A</v>
      </c>
      <c r="F99" t="e">
        <f>VLOOKUP(A1,Data!$A$1:$DZU$1000000,1673,FALSE)</f>
        <v>#N/A</v>
      </c>
      <c r="G99" t="e">
        <f>VLOOKUP(A1,Data!$A$1:$DZU$1000000,1674,FALSE)</f>
        <v>#N/A</v>
      </c>
      <c r="H99" t="e">
        <f>VLOOKUP(A1,Data!$A$1:$DZU$1000000,1675,FALSE)</f>
        <v>#N/A</v>
      </c>
      <c r="I99" t="e">
        <f>VLOOKUP(A1,Data!$A$1:$DZU$1000000,1676,FALSE)</f>
        <v>#N/A</v>
      </c>
      <c r="J99" t="e">
        <f>VLOOKUP(A1,Data!$A$1:$DZU$1000000,1677,FALSE)</f>
        <v>#N/A</v>
      </c>
      <c r="K99" t="e">
        <f>VLOOKUP(A1,Data!$A$1:$DZU$1000000,1678,FALSE)</f>
        <v>#N/A</v>
      </c>
      <c r="L99" t="e">
        <f>VLOOKUP(A1,Data!$A$1:$DZU$1000000,1679,FALSE)</f>
        <v>#N/A</v>
      </c>
      <c r="M99" t="e">
        <f>VLOOKUP(A1,Data!$A$1:$DZU$1000000,1680,FALSE)</f>
        <v>#N/A</v>
      </c>
      <c r="N99" t="e">
        <f>VLOOKUP(A1,Data!$A$1:$DZU$1000000,1681,FALSE)</f>
        <v>#N/A</v>
      </c>
      <c r="O99" t="e">
        <f>VLOOKUP(A1,Data!$A$1:$DZU$1000000,1682,FALSE)</f>
        <v>#N/A</v>
      </c>
      <c r="P99" t="e">
        <f>VLOOKUP(A1,Data!$A$1:$DZU$1000000,1683,FALSE)</f>
        <v>#N/A</v>
      </c>
      <c r="Q99" s="5" t="e">
        <f>VLOOKUP(A1,Data!$A$1:$DZU$1000000,1684,FALSE)</f>
        <v>#N/A</v>
      </c>
    </row>
    <row r="100" spans="1:17" x14ac:dyDescent="0.35">
      <c r="A100" s="54" t="e">
        <f>VLOOKUP(A1,Data!$A$1:$DZU$1000000,1685,FALSE)</f>
        <v>#N/A</v>
      </c>
      <c r="B100" t="e">
        <f>VLOOKUP(A1,Data!$A$1:$DZU$1000000,1686,FALSE)</f>
        <v>#N/A</v>
      </c>
      <c r="C100" t="e">
        <f>VLOOKUP(A1,Data!$A$1:$DZU$1000000,1687,FALSE)</f>
        <v>#N/A</v>
      </c>
      <c r="D100" t="e">
        <f>VLOOKUP(A1,Data!$A$1:$DZU$1000000,1688,FALSE)</f>
        <v>#N/A</v>
      </c>
      <c r="E100" t="e">
        <f>VLOOKUP(A1,Data!$A$1:$DZU$1000000,1689,FALSE)</f>
        <v>#N/A</v>
      </c>
      <c r="F100" t="e">
        <f>VLOOKUP(A1,Data!$A$1:$DZU$1000000,1690,FALSE)</f>
        <v>#N/A</v>
      </c>
      <c r="G100" t="e">
        <f>VLOOKUP(A1,Data!$A$1:$DZU$1000000,1691,FALSE)</f>
        <v>#N/A</v>
      </c>
      <c r="H100" t="e">
        <f>VLOOKUP(A1,Data!$A$1:$DZU$1000000,1692,FALSE)</f>
        <v>#N/A</v>
      </c>
      <c r="I100" t="e">
        <f>VLOOKUP(A1,Data!$A$1:$DZU$1000000,1693,FALSE)</f>
        <v>#N/A</v>
      </c>
      <c r="J100" t="e">
        <f>VLOOKUP(A1,Data!$A$1:$DZU$1000000,1694,FALSE)</f>
        <v>#N/A</v>
      </c>
      <c r="K100" t="e">
        <f>VLOOKUP(A1,Data!$A$1:$DZU$1000000,1695,FALSE)</f>
        <v>#N/A</v>
      </c>
      <c r="L100" t="e">
        <f>VLOOKUP(A1,Data!$A$1:$DZU$1000000,1696,FALSE)</f>
        <v>#N/A</v>
      </c>
      <c r="M100" t="e">
        <f>VLOOKUP(A1,Data!$A$1:$DZU$1000000,1697,FALSE)</f>
        <v>#N/A</v>
      </c>
      <c r="N100" t="e">
        <f>VLOOKUP(A1,Data!$A$1:$DZU$1000000,1698,FALSE)</f>
        <v>#N/A</v>
      </c>
      <c r="O100" t="e">
        <f>VLOOKUP(A1,Data!$A$1:$DZU$1000000,1699,FALSE)</f>
        <v>#N/A</v>
      </c>
      <c r="P100" t="e">
        <f>VLOOKUP(A1,Data!$A$1:$DZU$1000000,1700,FALSE)</f>
        <v>#N/A</v>
      </c>
      <c r="Q100" s="5" t="e">
        <f>VLOOKUP(A1,Data!$A$1:$DZU$1000000,1701,FALSE)</f>
        <v>#N/A</v>
      </c>
    </row>
    <row r="101" spans="1:17" x14ac:dyDescent="0.35">
      <c r="A101" s="54" t="e">
        <f>VLOOKUP(A1,Data!$A$1:$DZU$1000000,1702,FALSE)</f>
        <v>#N/A</v>
      </c>
      <c r="B101" t="e">
        <f>VLOOKUP(A1,Data!$A$1:$DZU$1000000,1703,FALSE)</f>
        <v>#N/A</v>
      </c>
      <c r="C101" t="e">
        <f>VLOOKUP(A1,Data!$A$1:$DZU$1000000,1704,FALSE)</f>
        <v>#N/A</v>
      </c>
      <c r="D101" t="e">
        <f>VLOOKUP(A1,Data!$A$1:$DZU$1000000,1705,FALSE)</f>
        <v>#N/A</v>
      </c>
      <c r="E101" t="e">
        <f>VLOOKUP(A1,Data!$A$1:$DZU$1000000,1706,FALSE)</f>
        <v>#N/A</v>
      </c>
      <c r="F101" t="e">
        <f>VLOOKUP(A1,Data!$A$1:$DZU$1000000,1707,FALSE)</f>
        <v>#N/A</v>
      </c>
      <c r="G101" t="e">
        <f>VLOOKUP(A1,Data!$A$1:$DZU$1000000,1708,FALSE)</f>
        <v>#N/A</v>
      </c>
      <c r="H101" t="e">
        <f>VLOOKUP(A1,Data!$A$1:$DZU$1000000,1709,FALSE)</f>
        <v>#N/A</v>
      </c>
      <c r="I101" t="e">
        <f>VLOOKUP(A1,Data!$A$1:$DZU$1000000,1710,FALSE)</f>
        <v>#N/A</v>
      </c>
      <c r="J101" t="e">
        <f>VLOOKUP(A1,Data!$A$1:$DZU$1000000,1711,FALSE)</f>
        <v>#N/A</v>
      </c>
      <c r="K101" t="e">
        <f>VLOOKUP(A1,Data!$A$1:$DZU$1000000,1712,FALSE)</f>
        <v>#N/A</v>
      </c>
      <c r="L101" t="e">
        <f>VLOOKUP(A1,Data!$A$1:$DZU$1000000,1713,FALSE)</f>
        <v>#N/A</v>
      </c>
      <c r="M101" t="e">
        <f>VLOOKUP(A1,Data!$A$1:$DZU$1000000,1714,FALSE)</f>
        <v>#N/A</v>
      </c>
      <c r="N101" t="e">
        <f>VLOOKUP(A1,Data!$A$1:$DZU$1000000,1715,FALSE)</f>
        <v>#N/A</v>
      </c>
      <c r="O101" t="e">
        <f>VLOOKUP(A1,Data!$A$1:$DZU$1000000,1716,FALSE)</f>
        <v>#N/A</v>
      </c>
      <c r="P101" t="e">
        <f>VLOOKUP(A1,Data!$A$1:$DZU$1000000,1717,FALSE)</f>
        <v>#N/A</v>
      </c>
      <c r="Q101" s="5" t="e">
        <f>VLOOKUP(A1,Data!$A$1:$DZU$1000000,1718,FALSE)</f>
        <v>#N/A</v>
      </c>
    </row>
    <row r="102" spans="1:17" x14ac:dyDescent="0.35">
      <c r="A102" s="54" t="e">
        <f>VLOOKUP(A1,Data!$A$1:$DZU$1000000,1719,FALSE)</f>
        <v>#N/A</v>
      </c>
      <c r="B102" t="e">
        <f>VLOOKUP(A1,Data!$A$1:$DZU$1000000,1720,FALSE)</f>
        <v>#N/A</v>
      </c>
      <c r="C102" t="e">
        <f>VLOOKUP(A1,Data!$A$1:$DZU$1000000,1721,FALSE)</f>
        <v>#N/A</v>
      </c>
      <c r="D102" t="e">
        <f>VLOOKUP(A1,Data!$A$1:$DZU$1000000,1722,FALSE)</f>
        <v>#N/A</v>
      </c>
      <c r="E102" t="e">
        <f>VLOOKUP(A1,Data!$A$1:$DZU$1000000,1723,FALSE)</f>
        <v>#N/A</v>
      </c>
      <c r="F102" t="e">
        <f>VLOOKUP(A1,Data!$A$1:$DZU$1000000,1724,FALSE)</f>
        <v>#N/A</v>
      </c>
      <c r="G102" t="e">
        <f>VLOOKUP(A1,Data!$A$1:$DZU$1000000,1725,FALSE)</f>
        <v>#N/A</v>
      </c>
      <c r="H102" t="e">
        <f>VLOOKUP(A1,Data!$A$1:$DZU$1000000,1726,FALSE)</f>
        <v>#N/A</v>
      </c>
      <c r="I102" t="e">
        <f>VLOOKUP(A1,Data!$A$1:$DZU$1000000,1727,FALSE)</f>
        <v>#N/A</v>
      </c>
      <c r="J102" t="e">
        <f>VLOOKUP(A1,Data!$A$1:$DZU$1000000,1728,FALSE)</f>
        <v>#N/A</v>
      </c>
      <c r="K102" t="e">
        <f>VLOOKUP(A1,Data!$A$1:$DZU$1000000,1729,FALSE)</f>
        <v>#N/A</v>
      </c>
      <c r="L102" t="e">
        <f>VLOOKUP(A1,Data!$A$1:$DZU$1000000,1730,FALSE)</f>
        <v>#N/A</v>
      </c>
      <c r="M102" t="e">
        <f>VLOOKUP(A1,Data!$A$1:$DZU$1000000,1731,FALSE)</f>
        <v>#N/A</v>
      </c>
      <c r="N102" t="e">
        <f>VLOOKUP(A1,Data!$A$1:$DZU$1000000,1732,FALSE)</f>
        <v>#N/A</v>
      </c>
      <c r="O102" t="e">
        <f>VLOOKUP(A1,Data!$A$1:$DZU$1000000,1733,FALSE)</f>
        <v>#N/A</v>
      </c>
      <c r="P102" t="e">
        <f>VLOOKUP(A1,Data!$A$1:$DZU$1000000,1734,FALSE)</f>
        <v>#N/A</v>
      </c>
      <c r="Q102" s="5" t="e">
        <f>VLOOKUP(A1,Data!$A$1:$DZU$1000000,1735,FALSE)</f>
        <v>#N/A</v>
      </c>
    </row>
    <row r="103" spans="1:17" x14ac:dyDescent="0.35">
      <c r="A103" s="54" t="e">
        <f>VLOOKUP(A1,Data!$A$1:$DZU$1000000,1736,FALSE)</f>
        <v>#N/A</v>
      </c>
      <c r="B103" t="e">
        <f>VLOOKUP(A1,Data!$A$1:$DZU$1000000,1737,FALSE)</f>
        <v>#N/A</v>
      </c>
      <c r="C103" t="e">
        <f>VLOOKUP(A1,Data!$A$1:$DZU$1000000,1738,FALSE)</f>
        <v>#N/A</v>
      </c>
      <c r="D103" t="e">
        <f>VLOOKUP(A1,Data!$A$1:$DZU$1000000,1739,FALSE)</f>
        <v>#N/A</v>
      </c>
      <c r="E103" t="e">
        <f>VLOOKUP(A1,Data!$A$1:$DZU$1000000,1740,FALSE)</f>
        <v>#N/A</v>
      </c>
      <c r="F103" t="e">
        <f>VLOOKUP(A1,Data!$A$1:$DZU$1000000,1741,FALSE)</f>
        <v>#N/A</v>
      </c>
      <c r="G103" t="e">
        <f>VLOOKUP(A1,Data!$A$1:$DZU$1000000,1742,FALSE)</f>
        <v>#N/A</v>
      </c>
      <c r="H103" t="e">
        <f>VLOOKUP(A1,Data!$A$1:$DZU$1000000,1743,FALSE)</f>
        <v>#N/A</v>
      </c>
      <c r="I103" t="e">
        <f>VLOOKUP(A1,Data!$A$1:$DZU$1000000,1744,FALSE)</f>
        <v>#N/A</v>
      </c>
      <c r="J103" t="e">
        <f>VLOOKUP(A1,Data!$A$1:$DZU$1000000,1745,FALSE)</f>
        <v>#N/A</v>
      </c>
      <c r="K103" t="e">
        <f>VLOOKUP(A1,Data!$A$1:$DZU$1000000,1746,FALSE)</f>
        <v>#N/A</v>
      </c>
      <c r="L103" t="e">
        <f>VLOOKUP(A1,Data!$A$1:$DZU$1000000,1747,FALSE)</f>
        <v>#N/A</v>
      </c>
      <c r="M103" t="e">
        <f>VLOOKUP(A1,Data!$A$1:$DZU$1000000,1748,FALSE)</f>
        <v>#N/A</v>
      </c>
      <c r="N103" t="e">
        <f>VLOOKUP(A1,Data!$A$1:$DZU$1000000,1749,FALSE)</f>
        <v>#N/A</v>
      </c>
      <c r="O103" t="e">
        <f>VLOOKUP(A1,Data!$A$1:$DZU$1000000,1750,FALSE)</f>
        <v>#N/A</v>
      </c>
      <c r="P103" t="e">
        <f>VLOOKUP(A1,Data!$A$1:$DZU$1000000,1751,FALSE)</f>
        <v>#N/A</v>
      </c>
      <c r="Q103" s="5" t="e">
        <f>VLOOKUP(A1,Data!$A$1:$DZU$1000000,1752,FALSE)</f>
        <v>#N/A</v>
      </c>
    </row>
    <row r="104" spans="1:17" x14ac:dyDescent="0.35">
      <c r="A104" s="54" t="e">
        <f>VLOOKUP(A1,Data!$A$1:$DZU$1000000,1753,FALSE)</f>
        <v>#N/A</v>
      </c>
      <c r="B104" t="e">
        <f>VLOOKUP(A1,Data!$A$1:$DZU$1000000,1754,FALSE)</f>
        <v>#N/A</v>
      </c>
      <c r="C104" t="e">
        <f>VLOOKUP(A1,Data!$A$1:$DZU$1000000,1755,FALSE)</f>
        <v>#N/A</v>
      </c>
      <c r="D104" t="e">
        <f>VLOOKUP(A1,Data!$A$1:$DZU$1000000,1756,FALSE)</f>
        <v>#N/A</v>
      </c>
      <c r="E104" t="e">
        <f>VLOOKUP(A1,Data!$A$1:$DZU$1000000,1757,FALSE)</f>
        <v>#N/A</v>
      </c>
      <c r="F104" t="e">
        <f>VLOOKUP(A1,Data!$A$1:$DZU$1000000,1758,FALSE)</f>
        <v>#N/A</v>
      </c>
      <c r="G104" t="e">
        <f>VLOOKUP(A1,Data!$A$1:$DZU$1000000,1759,FALSE)</f>
        <v>#N/A</v>
      </c>
      <c r="H104" t="e">
        <f>VLOOKUP(A1,Data!$A$1:$DZU$1000000,1760,FALSE)</f>
        <v>#N/A</v>
      </c>
      <c r="I104" t="e">
        <f>VLOOKUP(A1,Data!$A$1:$DZU$1000000,1761,FALSE)</f>
        <v>#N/A</v>
      </c>
      <c r="J104" t="e">
        <f>VLOOKUP(A1,Data!$A$1:$DZU$1000000,1762,FALSE)</f>
        <v>#N/A</v>
      </c>
      <c r="K104" t="e">
        <f>VLOOKUP(A1,Data!$A$1:$DZU$1000000,1763,FALSE)</f>
        <v>#N/A</v>
      </c>
      <c r="L104" t="e">
        <f>VLOOKUP(A1,Data!$A$1:$DZU$1000000,1764,FALSE)</f>
        <v>#N/A</v>
      </c>
      <c r="M104" t="e">
        <f>VLOOKUP(A1,Data!$A$1:$DZU$1000000,1765,FALSE)</f>
        <v>#N/A</v>
      </c>
      <c r="N104" t="e">
        <f>VLOOKUP(A1,Data!$A$1:$DZU$1000000,1766,FALSE)</f>
        <v>#N/A</v>
      </c>
      <c r="O104" t="e">
        <f>VLOOKUP(A1,Data!$A$1:$DZU$1000000,1767,FALSE)</f>
        <v>#N/A</v>
      </c>
      <c r="P104" t="e">
        <f>VLOOKUP(A1,Data!$A$1:$DZU$1000000,1768,FALSE)</f>
        <v>#N/A</v>
      </c>
      <c r="Q104" s="5" t="e">
        <f>VLOOKUP(A1,Data!$A$1:$DZU$1000000,1769,FALSE)</f>
        <v>#N/A</v>
      </c>
    </row>
    <row r="105" spans="1:17" x14ac:dyDescent="0.35">
      <c r="A105" s="54" t="e">
        <f>VLOOKUP(A1,Data!$A$1:$DZU$1000000,1770,FALSE)</f>
        <v>#N/A</v>
      </c>
      <c r="B105" t="e">
        <f>VLOOKUP(A1,Data!$A$1:$DZU$1000000,1771,FALSE)</f>
        <v>#N/A</v>
      </c>
      <c r="C105" t="e">
        <f>VLOOKUP(A1,Data!$A$1:$DZU$1000000,1772,FALSE)</f>
        <v>#N/A</v>
      </c>
      <c r="D105" t="e">
        <f>VLOOKUP(A1,Data!$A$1:$DZU$1000000,1773,FALSE)</f>
        <v>#N/A</v>
      </c>
      <c r="E105" t="e">
        <f>VLOOKUP(A1,Data!$A$1:$DZU$1000000,1774,FALSE)</f>
        <v>#N/A</v>
      </c>
      <c r="F105" t="e">
        <f>VLOOKUP(A1,Data!$A$1:$DZU$1000000,1775,FALSE)</f>
        <v>#N/A</v>
      </c>
      <c r="G105" t="e">
        <f>VLOOKUP(A1,Data!$A$1:$DZU$1000000,1776,FALSE)</f>
        <v>#N/A</v>
      </c>
      <c r="H105" t="e">
        <f>VLOOKUP(A1,Data!$A$1:$DZU$1000000,1777,FALSE)</f>
        <v>#N/A</v>
      </c>
      <c r="I105" t="e">
        <f>VLOOKUP(A1,Data!$A$1:$DZU$1000000,1778,FALSE)</f>
        <v>#N/A</v>
      </c>
      <c r="J105" t="e">
        <f>VLOOKUP(A1,Data!$A$1:$DZU$1000000,1779,FALSE)</f>
        <v>#N/A</v>
      </c>
      <c r="K105" t="e">
        <f>VLOOKUP(A1,Data!$A$1:$DZU$1000000,1780,FALSE)</f>
        <v>#N/A</v>
      </c>
      <c r="L105" t="e">
        <f>VLOOKUP(A1,Data!$A$1:$DZU$1000000,1781,FALSE)</f>
        <v>#N/A</v>
      </c>
      <c r="M105" t="e">
        <f>VLOOKUP(A1,Data!$A$1:$DZU$1000000,1782,FALSE)</f>
        <v>#N/A</v>
      </c>
      <c r="N105" t="e">
        <f>VLOOKUP(A1,Data!$A$1:$DZU$1000000,1783,FALSE)</f>
        <v>#N/A</v>
      </c>
      <c r="O105" t="e">
        <f>VLOOKUP(A1,Data!$A$1:$DZU$1000000,1784,FALSE)</f>
        <v>#N/A</v>
      </c>
      <c r="P105" t="e">
        <f>VLOOKUP(A1,Data!$A$1:$DZU$1000000,1785,FALSE)</f>
        <v>#N/A</v>
      </c>
      <c r="Q105" s="5" t="e">
        <f>VLOOKUP(A1,Data!$A$1:$DZU$1000000,1786,FALSE)</f>
        <v>#N/A</v>
      </c>
    </row>
    <row r="106" spans="1:17" x14ac:dyDescent="0.35">
      <c r="A106" s="54" t="e">
        <f>VLOOKUP(A1,Data!$A$1:$DZU$1000000,1787,FALSE)</f>
        <v>#N/A</v>
      </c>
      <c r="B106" t="e">
        <f>VLOOKUP(A1,Data!$A$1:$DZU$1000000,1788,FALSE)</f>
        <v>#N/A</v>
      </c>
      <c r="C106" t="e">
        <f>VLOOKUP(A1,Data!$A$1:$DZU$1000000,1789,FALSE)</f>
        <v>#N/A</v>
      </c>
      <c r="D106" t="e">
        <f>VLOOKUP(A1,Data!$A$1:$DZU$1000000,1790,FALSE)</f>
        <v>#N/A</v>
      </c>
      <c r="E106" t="e">
        <f>VLOOKUP(A1,Data!$A$1:$DZU$1000000,1791,FALSE)</f>
        <v>#N/A</v>
      </c>
      <c r="F106" t="e">
        <f>VLOOKUP(A1,Data!$A$1:$DZU$1000000,1792,FALSE)</f>
        <v>#N/A</v>
      </c>
      <c r="G106" t="e">
        <f>VLOOKUP(A1,Data!$A$1:$DZU$1000000,1793,FALSE)</f>
        <v>#N/A</v>
      </c>
      <c r="H106" t="e">
        <f>VLOOKUP(A1,Data!$A$1:$DZU$1000000,1794,FALSE)</f>
        <v>#N/A</v>
      </c>
      <c r="I106" t="e">
        <f>VLOOKUP(A1,Data!$A$1:$DZU$1000000,1795,FALSE)</f>
        <v>#N/A</v>
      </c>
      <c r="J106" t="e">
        <f>VLOOKUP(A1,Data!$A$1:$DZU$1000000,1796,FALSE)</f>
        <v>#N/A</v>
      </c>
      <c r="K106" t="e">
        <f>VLOOKUP(A1,Data!$A$1:$DZU$1000000,1797,FALSE)</f>
        <v>#N/A</v>
      </c>
      <c r="L106" t="e">
        <f>VLOOKUP(A1,Data!$A$1:$DZU$1000000,1798,FALSE)</f>
        <v>#N/A</v>
      </c>
      <c r="M106" t="e">
        <f>VLOOKUP(A1,Data!$A$1:$DZU$1000000,1799,FALSE)</f>
        <v>#N/A</v>
      </c>
      <c r="N106" t="e">
        <f>VLOOKUP(A1,Data!$A$1:$DZU$1000000,1800,FALSE)</f>
        <v>#N/A</v>
      </c>
      <c r="O106" t="e">
        <f>VLOOKUP(A1,Data!$A$1:$DZU$1000000,1801,FALSE)</f>
        <v>#N/A</v>
      </c>
      <c r="P106" t="e">
        <f>VLOOKUP(A1,Data!$A$1:$DZU$1000000,1802,FALSE)</f>
        <v>#N/A</v>
      </c>
      <c r="Q106" s="5" t="e">
        <f>VLOOKUP(A1,Data!$A$1:$DZU$1000000,1803,FALSE)</f>
        <v>#N/A</v>
      </c>
    </row>
    <row r="107" spans="1:17" x14ac:dyDescent="0.35">
      <c r="A107" s="54" t="e">
        <f>VLOOKUP(A1,Data!$A$1:$DZU$1000000,1804,FALSE)</f>
        <v>#N/A</v>
      </c>
      <c r="B107" t="e">
        <f>VLOOKUP(A1,Data!$A$1:$DZU$1000000,1805,FALSE)</f>
        <v>#N/A</v>
      </c>
      <c r="C107" t="e">
        <f>VLOOKUP(A1,Data!$A$1:$DZU$1000000,1806,FALSE)</f>
        <v>#N/A</v>
      </c>
      <c r="D107" t="e">
        <f>VLOOKUP(A1,Data!$A$1:$DZU$1000000,1807,FALSE)</f>
        <v>#N/A</v>
      </c>
      <c r="E107" t="e">
        <f>VLOOKUP(A1,Data!$A$1:$DZU$1000000,1808,FALSE)</f>
        <v>#N/A</v>
      </c>
      <c r="F107" t="e">
        <f>VLOOKUP(A1,Data!$A$1:$DZU$1000000,1809,FALSE)</f>
        <v>#N/A</v>
      </c>
      <c r="G107" t="e">
        <f>VLOOKUP(A1,Data!$A$1:$DZU$1000000,1810,FALSE)</f>
        <v>#N/A</v>
      </c>
      <c r="H107" t="e">
        <f>VLOOKUP(A1,Data!$A$1:$DZU$1000000,1811,FALSE)</f>
        <v>#N/A</v>
      </c>
      <c r="I107" t="e">
        <f>VLOOKUP(A1,Data!$A$1:$DZU$1000000,1812,FALSE)</f>
        <v>#N/A</v>
      </c>
      <c r="J107" t="e">
        <f>VLOOKUP(A1,Data!$A$1:$DZU$1000000,1813,FALSE)</f>
        <v>#N/A</v>
      </c>
      <c r="K107" t="e">
        <f>VLOOKUP(A1,Data!$A$1:$DZU$1000000,1814,FALSE)</f>
        <v>#N/A</v>
      </c>
      <c r="L107" t="e">
        <f>VLOOKUP(A1,Data!$A$1:$DZU$1000000,1815,FALSE)</f>
        <v>#N/A</v>
      </c>
      <c r="M107" t="e">
        <f>VLOOKUP(A1,Data!$A$1:$DZU$1000000,1816,FALSE)</f>
        <v>#N/A</v>
      </c>
      <c r="N107" t="e">
        <f>VLOOKUP(A1,Data!$A$1:$DZU$1000000,1817,FALSE)</f>
        <v>#N/A</v>
      </c>
      <c r="O107" t="e">
        <f>VLOOKUP(A1,Data!$A$1:$DZU$1000000,1818,FALSE)</f>
        <v>#N/A</v>
      </c>
      <c r="P107" t="e">
        <f>VLOOKUP(A1,Data!$A$1:$DZU$1000000,1819,FALSE)</f>
        <v>#N/A</v>
      </c>
      <c r="Q107" s="5" t="e">
        <f>VLOOKUP(A1,Data!$A$1:$DZU$1000000,1820,FALSE)</f>
        <v>#N/A</v>
      </c>
    </row>
    <row r="108" spans="1:17" x14ac:dyDescent="0.35">
      <c r="A108" s="54" t="e">
        <f>VLOOKUP(A1,Data!$A$1:$DZU$1000000,1821,FALSE)</f>
        <v>#N/A</v>
      </c>
      <c r="B108" t="e">
        <f>VLOOKUP(A1,Data!$A$1:$DZU$1000000,1822,FALSE)</f>
        <v>#N/A</v>
      </c>
      <c r="C108" t="e">
        <f>VLOOKUP(A1,Data!$A$1:$DZU$1000000,1823,FALSE)</f>
        <v>#N/A</v>
      </c>
      <c r="D108" t="e">
        <f>VLOOKUP(A1,Data!$A$1:$DZU$1000000,1824,FALSE)</f>
        <v>#N/A</v>
      </c>
      <c r="E108" t="e">
        <f>VLOOKUP(A1,Data!$A$1:$DZU$1000000,1825,FALSE)</f>
        <v>#N/A</v>
      </c>
      <c r="F108" t="e">
        <f>VLOOKUP(A1,Data!$A$1:$DZU$1000000,1826,FALSE)</f>
        <v>#N/A</v>
      </c>
      <c r="G108" t="e">
        <f>VLOOKUP(A1,Data!$A$1:$DZU$1000000,1827,FALSE)</f>
        <v>#N/A</v>
      </c>
      <c r="H108" t="e">
        <f>VLOOKUP(A1,Data!$A$1:$DZU$1000000,1828,FALSE)</f>
        <v>#N/A</v>
      </c>
      <c r="I108" t="e">
        <f>VLOOKUP(A1,Data!$A$1:$DZU$1000000,1829,FALSE)</f>
        <v>#N/A</v>
      </c>
      <c r="J108" t="e">
        <f>VLOOKUP(A1,Data!$A$1:$DZU$1000000,1830,FALSE)</f>
        <v>#N/A</v>
      </c>
      <c r="K108" t="e">
        <f>VLOOKUP(A1,Data!$A$1:$DZU$1000000,1831,FALSE)</f>
        <v>#N/A</v>
      </c>
      <c r="L108" t="e">
        <f>VLOOKUP(A1,Data!$A$1:$DZU$1000000,1832,FALSE)</f>
        <v>#N/A</v>
      </c>
      <c r="M108" t="e">
        <f>VLOOKUP(A1,Data!$A$1:$DZU$1000000,1833,FALSE)</f>
        <v>#N/A</v>
      </c>
      <c r="N108" t="e">
        <f>VLOOKUP(A1,Data!$A$1:$DZU$1000000,1834,FALSE)</f>
        <v>#N/A</v>
      </c>
      <c r="O108" t="e">
        <f>VLOOKUP(A1,Data!$A$1:$DZU$1000000,1835,FALSE)</f>
        <v>#N/A</v>
      </c>
      <c r="P108" t="e">
        <f>VLOOKUP(A1,Data!$A$1:$DZU$1000000,1836,FALSE)</f>
        <v>#N/A</v>
      </c>
      <c r="Q108" s="5" t="e">
        <f>VLOOKUP(A1,Data!$A$1:$DZU$1000000,1837,FALSE)</f>
        <v>#N/A</v>
      </c>
    </row>
    <row r="109" spans="1:17" x14ac:dyDescent="0.35">
      <c r="A109" s="54" t="e">
        <f>VLOOKUP(A1,Data!$A$1:$DZU$1000000,1838,FALSE)</f>
        <v>#N/A</v>
      </c>
      <c r="B109" t="e">
        <f>VLOOKUP(A1,Data!$A$1:$DZU$1000000,1839,FALSE)</f>
        <v>#N/A</v>
      </c>
      <c r="C109" t="e">
        <f>VLOOKUP(A1,Data!$A$1:$DZU$1000000,1840,FALSE)</f>
        <v>#N/A</v>
      </c>
      <c r="D109" t="e">
        <f>VLOOKUP(A1,Data!$A$1:$DZU$1000000,1841,FALSE)</f>
        <v>#N/A</v>
      </c>
      <c r="E109" t="e">
        <f>VLOOKUP(A1,Data!$A$1:$DZU$1000000,1842,FALSE)</f>
        <v>#N/A</v>
      </c>
      <c r="F109" t="e">
        <f>VLOOKUP(A1,Data!$A$1:$DZU$1000000,1843,FALSE)</f>
        <v>#N/A</v>
      </c>
      <c r="G109" t="e">
        <f>VLOOKUP(A1,Data!$A$1:$DZU$1000000,1844,FALSE)</f>
        <v>#N/A</v>
      </c>
      <c r="H109" t="e">
        <f>VLOOKUP(A1,Data!$A$1:$DZU$1000000,1845,FALSE)</f>
        <v>#N/A</v>
      </c>
      <c r="I109" t="e">
        <f>VLOOKUP(A1,Data!$A$1:$DZU$1000000,1846,FALSE)</f>
        <v>#N/A</v>
      </c>
      <c r="J109" t="e">
        <f>VLOOKUP(A1,Data!$A$1:$DZU$1000000,1847,FALSE)</f>
        <v>#N/A</v>
      </c>
      <c r="K109" t="e">
        <f>VLOOKUP(A1,Data!$A$1:$DZU$1000000,1848,FALSE)</f>
        <v>#N/A</v>
      </c>
      <c r="L109" t="e">
        <f>VLOOKUP(A1,Data!$A$1:$DZU$1000000,1849,FALSE)</f>
        <v>#N/A</v>
      </c>
      <c r="M109" t="e">
        <f>VLOOKUP(A1,Data!$A$1:$DZU$1000000,1850,FALSE)</f>
        <v>#N/A</v>
      </c>
      <c r="N109" t="e">
        <f>VLOOKUP(A1,Data!$A$1:$DZU$1000000,1851,FALSE)</f>
        <v>#N/A</v>
      </c>
      <c r="O109" t="e">
        <f>VLOOKUP(A1,Data!$A$1:$DZU$1000000,1852,FALSE)</f>
        <v>#N/A</v>
      </c>
      <c r="P109" t="e">
        <f>VLOOKUP(A1,Data!$A$1:$DZU$1000000,1853,FALSE)</f>
        <v>#N/A</v>
      </c>
      <c r="Q109" s="5" t="e">
        <f>VLOOKUP(A1,Data!$A$1:$DZU$1000000,1854,FALSE)</f>
        <v>#N/A</v>
      </c>
    </row>
    <row r="110" spans="1:17" x14ac:dyDescent="0.35">
      <c r="A110" s="54" t="e">
        <f>VLOOKUP(A1,Data!$A$1:$DZU$1000000,1855,FALSE)</f>
        <v>#N/A</v>
      </c>
      <c r="B110" t="e">
        <f>VLOOKUP(A1,Data!$A$1:$DZU$1000000,1856,FALSE)</f>
        <v>#N/A</v>
      </c>
      <c r="C110" t="e">
        <f>VLOOKUP(A1,Data!$A$1:$DZU$1000000,1857,FALSE)</f>
        <v>#N/A</v>
      </c>
      <c r="D110" t="e">
        <f>VLOOKUP(A1,Data!$A$1:$DZU$1000000,1858,FALSE)</f>
        <v>#N/A</v>
      </c>
      <c r="E110" t="e">
        <f>VLOOKUP(A1,Data!$A$1:$DZU$1000000,1859,FALSE)</f>
        <v>#N/A</v>
      </c>
      <c r="F110" t="e">
        <f>VLOOKUP(A1,Data!$A$1:$DZU$1000000,1860,FALSE)</f>
        <v>#N/A</v>
      </c>
      <c r="G110" t="e">
        <f>VLOOKUP(A1,Data!$A$1:$DZU$1000000,1861,FALSE)</f>
        <v>#N/A</v>
      </c>
      <c r="H110" t="e">
        <f>VLOOKUP(A1,Data!$A$1:$DZU$1000000,1862,FALSE)</f>
        <v>#N/A</v>
      </c>
      <c r="I110" t="e">
        <f>VLOOKUP(A1,Data!$A$1:$DZU$1000000,1863,FALSE)</f>
        <v>#N/A</v>
      </c>
      <c r="J110" t="e">
        <f>VLOOKUP(A1,Data!$A$1:$DZU$1000000,1864,FALSE)</f>
        <v>#N/A</v>
      </c>
      <c r="K110" t="e">
        <f>VLOOKUP(A1,Data!$A$1:$DZU$1000000,1865,FALSE)</f>
        <v>#N/A</v>
      </c>
      <c r="L110" t="e">
        <f>VLOOKUP(A1,Data!$A$1:$DZU$1000000,1866,FALSE)</f>
        <v>#N/A</v>
      </c>
      <c r="M110" t="e">
        <f>VLOOKUP(A1,Data!$A$1:$DZU$1000000,1867,FALSE)</f>
        <v>#N/A</v>
      </c>
      <c r="N110" t="e">
        <f>VLOOKUP(A1,Data!$A$1:$DZU$1000000,1868,FALSE)</f>
        <v>#N/A</v>
      </c>
      <c r="O110" t="e">
        <f>VLOOKUP(A1,Data!$A$1:$DZU$1000000,1869,FALSE)</f>
        <v>#N/A</v>
      </c>
      <c r="P110" t="e">
        <f>VLOOKUP(A1,Data!$A$1:$DZU$1000000,1870,FALSE)</f>
        <v>#N/A</v>
      </c>
      <c r="Q110" s="5" t="e">
        <f>VLOOKUP(A1,Data!$A$1:$DZU$1000000,1871,FALSE)</f>
        <v>#N/A</v>
      </c>
    </row>
    <row r="111" spans="1:17" x14ac:dyDescent="0.35">
      <c r="A111" s="54" t="e">
        <f>VLOOKUP(A1,Data!$A$1:$DZU$1000000,1872,FALSE)</f>
        <v>#N/A</v>
      </c>
      <c r="B111" t="e">
        <f>VLOOKUP(A1,Data!$A$1:$DZU$1000000,1873,FALSE)</f>
        <v>#N/A</v>
      </c>
      <c r="C111" t="e">
        <f>VLOOKUP(A1,Data!$A$1:$DZU$1000000,1874,FALSE)</f>
        <v>#N/A</v>
      </c>
      <c r="D111" t="e">
        <f>VLOOKUP(A1,Data!$A$1:$DZU$1000000,1875,FALSE)</f>
        <v>#N/A</v>
      </c>
      <c r="E111" t="e">
        <f>VLOOKUP(A1,Data!$A$1:$DZU$1000000,1876,FALSE)</f>
        <v>#N/A</v>
      </c>
      <c r="F111" t="e">
        <f>VLOOKUP(A1,Data!$A$1:$DZU$1000000,1877,FALSE)</f>
        <v>#N/A</v>
      </c>
      <c r="G111" t="e">
        <f>VLOOKUP(A1,Data!$A$1:$DZU$1000000,1878,FALSE)</f>
        <v>#N/A</v>
      </c>
      <c r="H111" t="e">
        <f>VLOOKUP(A1,Data!$A$1:$DZU$1000000,1879,FALSE)</f>
        <v>#N/A</v>
      </c>
      <c r="I111" t="e">
        <f>VLOOKUP(A1,Data!$A$1:$DZU$1000000,1880,FALSE)</f>
        <v>#N/A</v>
      </c>
      <c r="J111" t="e">
        <f>VLOOKUP(A1,Data!$A$1:$DZU$1000000,1881,FALSE)</f>
        <v>#N/A</v>
      </c>
      <c r="K111" t="e">
        <f>VLOOKUP(A1,Data!$A$1:$DZU$1000000,1882,FALSE)</f>
        <v>#N/A</v>
      </c>
      <c r="L111" t="e">
        <f>VLOOKUP(A1,Data!$A$1:$DZU$1000000,1883,FALSE)</f>
        <v>#N/A</v>
      </c>
      <c r="M111" t="e">
        <f>VLOOKUP(A1,Data!$A$1:$DZU$1000000,1884,FALSE)</f>
        <v>#N/A</v>
      </c>
      <c r="N111" t="e">
        <f>VLOOKUP(A1,Data!$A$1:$DZU$1000000,1885,FALSE)</f>
        <v>#N/A</v>
      </c>
      <c r="O111" t="e">
        <f>VLOOKUP(A1,Data!$A$1:$DZU$1000000,1886,FALSE)</f>
        <v>#N/A</v>
      </c>
      <c r="P111" t="e">
        <f>VLOOKUP(A1,Data!$A$1:$DZU$1000000,1887,FALSE)</f>
        <v>#N/A</v>
      </c>
      <c r="Q111" s="5" t="e">
        <f>VLOOKUP(A1,Data!$A$1:$DZU$1000000,1888,FALSE)</f>
        <v>#N/A</v>
      </c>
    </row>
    <row r="112" spans="1:17" x14ac:dyDescent="0.35">
      <c r="A112" s="54" t="e">
        <f>VLOOKUP(A1,Data!$A$1:$DZU$1000000,1889,FALSE)</f>
        <v>#N/A</v>
      </c>
      <c r="B112" t="e">
        <f>VLOOKUP(A1,Data!$A$1:$DZU$1000000,1890,FALSE)</f>
        <v>#N/A</v>
      </c>
      <c r="C112" t="e">
        <f>VLOOKUP(A1,Data!$A$1:$DZU$1000000,1891,FALSE)</f>
        <v>#N/A</v>
      </c>
      <c r="D112" t="e">
        <f>VLOOKUP(A1,Data!$A$1:$DZU$1000000,1892,FALSE)</f>
        <v>#N/A</v>
      </c>
      <c r="E112" t="e">
        <f>VLOOKUP(A1,Data!$A$1:$DZU$1000000,1893,FALSE)</f>
        <v>#N/A</v>
      </c>
      <c r="F112" t="e">
        <f>VLOOKUP(A1,Data!$A$1:$DZU$1000000,1894,FALSE)</f>
        <v>#N/A</v>
      </c>
      <c r="G112" t="e">
        <f>VLOOKUP(A1,Data!$A$1:$DZU$1000000,1895,FALSE)</f>
        <v>#N/A</v>
      </c>
      <c r="H112" t="e">
        <f>VLOOKUP(A1,Data!$A$1:$DZU$1000000,1896,FALSE)</f>
        <v>#N/A</v>
      </c>
      <c r="I112" t="e">
        <f>VLOOKUP(A1,Data!$A$1:$DZU$1000000,1897,FALSE)</f>
        <v>#N/A</v>
      </c>
      <c r="J112" t="e">
        <f>VLOOKUP(A1,Data!$A$1:$DZU$1000000,1898,FALSE)</f>
        <v>#N/A</v>
      </c>
      <c r="K112" t="e">
        <f>VLOOKUP(A1,Data!$A$1:$DZU$1000000,1899,FALSE)</f>
        <v>#N/A</v>
      </c>
      <c r="L112" t="e">
        <f>VLOOKUP(A1,Data!$A$1:$DZU$1000000,1900,FALSE)</f>
        <v>#N/A</v>
      </c>
      <c r="M112" t="e">
        <f>VLOOKUP(A1,Data!$A$1:$DZU$1000000,1901,FALSE)</f>
        <v>#N/A</v>
      </c>
      <c r="N112" t="e">
        <f>VLOOKUP(A1,Data!$A$1:$DZU$1000000,1902,FALSE)</f>
        <v>#N/A</v>
      </c>
      <c r="O112" t="e">
        <f>VLOOKUP(A1,Data!$A$1:$DZU$1000000,1903,FALSE)</f>
        <v>#N/A</v>
      </c>
      <c r="P112" t="e">
        <f>VLOOKUP(A1,Data!$A$1:$DZU$1000000,1904,FALSE)</f>
        <v>#N/A</v>
      </c>
      <c r="Q112" s="5" t="e">
        <f>VLOOKUP(A1,Data!$A$1:$DZU$1000000,1905,FALSE)</f>
        <v>#N/A</v>
      </c>
    </row>
    <row r="113" spans="1:17" x14ac:dyDescent="0.35">
      <c r="A113" s="54" t="e">
        <f>VLOOKUP(A1,Data!$A$1:$DZU$1000000,1906,FALSE)</f>
        <v>#N/A</v>
      </c>
      <c r="B113" t="e">
        <f>VLOOKUP(A1,Data!$A$1:$DZU$1000000,1907,FALSE)</f>
        <v>#N/A</v>
      </c>
      <c r="C113" t="e">
        <f>VLOOKUP(A1,Data!$A$1:$DZU$1000000,1908,FALSE)</f>
        <v>#N/A</v>
      </c>
      <c r="D113" t="e">
        <f>VLOOKUP(A1,Data!$A$1:$DZU$1000000,1909,FALSE)</f>
        <v>#N/A</v>
      </c>
      <c r="E113" t="e">
        <f>VLOOKUP(A1,Data!$A$1:$DZU$1000000,1910,FALSE)</f>
        <v>#N/A</v>
      </c>
      <c r="F113" t="e">
        <f>VLOOKUP(A1,Data!$A$1:$DZU$1000000,1911,FALSE)</f>
        <v>#N/A</v>
      </c>
      <c r="G113" t="e">
        <f>VLOOKUP(A1,Data!$A$1:$DZU$1000000,1912,FALSE)</f>
        <v>#N/A</v>
      </c>
      <c r="H113" t="e">
        <f>VLOOKUP(A1,Data!$A$1:$DZU$1000000,1913,FALSE)</f>
        <v>#N/A</v>
      </c>
      <c r="I113" t="e">
        <f>VLOOKUP(A1,Data!$A$1:$DZU$1000000,1914,FALSE)</f>
        <v>#N/A</v>
      </c>
      <c r="J113" t="e">
        <f>VLOOKUP(A1,Data!$A$1:$DZU$1000000,1915,FALSE)</f>
        <v>#N/A</v>
      </c>
      <c r="K113" t="e">
        <f>VLOOKUP(A1,Data!$A$1:$DZU$1000000,1916,FALSE)</f>
        <v>#N/A</v>
      </c>
      <c r="L113" t="e">
        <f>VLOOKUP(A1,Data!$A$1:$DZU$1000000,1917,FALSE)</f>
        <v>#N/A</v>
      </c>
      <c r="M113" t="e">
        <f>VLOOKUP(A1,Data!$A$1:$DZU$1000000,1918,FALSE)</f>
        <v>#N/A</v>
      </c>
      <c r="N113" t="e">
        <f>VLOOKUP(A1,Data!$A$1:$DZU$1000000,1919,FALSE)</f>
        <v>#N/A</v>
      </c>
      <c r="O113" t="e">
        <f>VLOOKUP(A1,Data!$A$1:$DZU$1000000,1920,FALSE)</f>
        <v>#N/A</v>
      </c>
      <c r="P113" t="e">
        <f>VLOOKUP(A1,Data!$A$1:$DZU$1000000,1921,FALSE)</f>
        <v>#N/A</v>
      </c>
      <c r="Q113" s="5" t="e">
        <f>VLOOKUP(A1,Data!$A$1:$DZU$1000000,1922,FALSE)</f>
        <v>#N/A</v>
      </c>
    </row>
    <row r="114" spans="1:17" x14ac:dyDescent="0.35">
      <c r="A114" s="54" t="e">
        <f>VLOOKUP(A1,Data!$A$1:$DZU$1000000,1923,FALSE)</f>
        <v>#N/A</v>
      </c>
      <c r="B114" t="e">
        <f>VLOOKUP(A1,Data!$A$1:$DZU$1000000,1924,FALSE)</f>
        <v>#N/A</v>
      </c>
      <c r="C114" t="e">
        <f>VLOOKUP(A1,Data!$A$1:$DZU$1000000,1925,FALSE)</f>
        <v>#N/A</v>
      </c>
      <c r="D114" t="e">
        <f>VLOOKUP(A1,Data!$A$1:$DZU$1000000,1926,FALSE)</f>
        <v>#N/A</v>
      </c>
      <c r="E114" t="e">
        <f>VLOOKUP(A1,Data!$A$1:$DZU$1000000,1927,FALSE)</f>
        <v>#N/A</v>
      </c>
      <c r="F114" t="e">
        <f>VLOOKUP(A1,Data!$A$1:$DZU$1000000,1928,FALSE)</f>
        <v>#N/A</v>
      </c>
      <c r="G114" t="e">
        <f>VLOOKUP(A1,Data!$A$1:$DZU$1000000,1929,FALSE)</f>
        <v>#N/A</v>
      </c>
      <c r="H114" t="e">
        <f>VLOOKUP(A1,Data!$A$1:$DZU$1000000,1930,FALSE)</f>
        <v>#N/A</v>
      </c>
      <c r="I114" t="e">
        <f>VLOOKUP(A1,Data!$A$1:$DZU$1000000,1931,FALSE)</f>
        <v>#N/A</v>
      </c>
      <c r="J114" t="e">
        <f>VLOOKUP(A1,Data!$A$1:$DZU$1000000,1932,FALSE)</f>
        <v>#N/A</v>
      </c>
      <c r="K114" t="e">
        <f>VLOOKUP(A1,Data!$A$1:$DZU$1000000,1933,FALSE)</f>
        <v>#N/A</v>
      </c>
      <c r="L114" t="e">
        <f>VLOOKUP(A1,Data!$A$1:$DZU$1000000,1934,FALSE)</f>
        <v>#N/A</v>
      </c>
      <c r="M114" t="e">
        <f>VLOOKUP(A1,Data!$A$1:$DZU$1000000,1935,FALSE)</f>
        <v>#N/A</v>
      </c>
      <c r="N114" t="e">
        <f>VLOOKUP(A1,Data!$A$1:$DZU$1000000,1936,FALSE)</f>
        <v>#N/A</v>
      </c>
      <c r="O114" t="e">
        <f>VLOOKUP(A1,Data!$A$1:$DZU$1000000,1937,FALSE)</f>
        <v>#N/A</v>
      </c>
      <c r="P114" t="e">
        <f>VLOOKUP(A1,Data!$A$1:$DZU$1000000,1938,FALSE)</f>
        <v>#N/A</v>
      </c>
      <c r="Q114" s="5" t="e">
        <f>VLOOKUP(A1,Data!$A$1:$DZU$1000000,1939,FALSE)</f>
        <v>#N/A</v>
      </c>
    </row>
    <row r="115" spans="1:17" x14ac:dyDescent="0.35">
      <c r="A115" s="54" t="e">
        <f>VLOOKUP(A1,Data!$A$1:$DZU$1000000,1940,FALSE)</f>
        <v>#N/A</v>
      </c>
      <c r="B115" t="e">
        <f>VLOOKUP(A1,Data!$A$1:$DZU$1000000,1941,FALSE)</f>
        <v>#N/A</v>
      </c>
      <c r="C115" t="e">
        <f>VLOOKUP(A1,Data!$A$1:$DZU$1000000,1942,FALSE)</f>
        <v>#N/A</v>
      </c>
      <c r="D115" t="e">
        <f>VLOOKUP(A1,Data!$A$1:$DZU$1000000,1943,FALSE)</f>
        <v>#N/A</v>
      </c>
      <c r="E115" t="e">
        <f>VLOOKUP(A1,Data!$A$1:$DZU$1000000,1944,FALSE)</f>
        <v>#N/A</v>
      </c>
      <c r="F115" t="e">
        <f>VLOOKUP(A1,Data!$A$1:$DZU$1000000,1945,FALSE)</f>
        <v>#N/A</v>
      </c>
      <c r="G115" t="e">
        <f>VLOOKUP(A1,Data!$A$1:$DZU$1000000,1946,FALSE)</f>
        <v>#N/A</v>
      </c>
      <c r="H115" t="e">
        <f>VLOOKUP(A1,Data!$A$1:$DZU$1000000,1947,FALSE)</f>
        <v>#N/A</v>
      </c>
      <c r="I115" t="e">
        <f>VLOOKUP(A1,Data!$A$1:$DZU$1000000,1948,FALSE)</f>
        <v>#N/A</v>
      </c>
      <c r="J115" t="e">
        <f>VLOOKUP(A1,Data!$A$1:$DZU$1000000,1949,FALSE)</f>
        <v>#N/A</v>
      </c>
      <c r="K115" t="e">
        <f>VLOOKUP(A1,Data!$A$1:$DZU$1000000,1950,FALSE)</f>
        <v>#N/A</v>
      </c>
      <c r="L115" t="e">
        <f>VLOOKUP(A1,Data!$A$1:$DZU$1000000,1951,FALSE)</f>
        <v>#N/A</v>
      </c>
      <c r="M115" t="e">
        <f>VLOOKUP(A1,Data!$A$1:$DZU$1000000,1952,FALSE)</f>
        <v>#N/A</v>
      </c>
      <c r="N115" t="e">
        <f>VLOOKUP(A1,Data!$A$1:$DZU$1000000,1953,FALSE)</f>
        <v>#N/A</v>
      </c>
      <c r="O115" t="e">
        <f>VLOOKUP(A1,Data!$A$1:$DZU$1000000,1954,FALSE)</f>
        <v>#N/A</v>
      </c>
      <c r="P115" t="e">
        <f>VLOOKUP(A1,Data!$A$1:$DZU$1000000,1955,FALSE)</f>
        <v>#N/A</v>
      </c>
      <c r="Q115" s="5" t="e">
        <f>VLOOKUP(A1,Data!$A$1:$DZU$1000000,1956,FALSE)</f>
        <v>#N/A</v>
      </c>
    </row>
    <row r="116" spans="1:17" x14ac:dyDescent="0.35">
      <c r="A116" s="54" t="e">
        <f>VLOOKUP(A1,Data!$A$1:$DZU$1000000,1957,FALSE)</f>
        <v>#N/A</v>
      </c>
      <c r="B116" t="e">
        <f>VLOOKUP(A1,Data!$A$1:$DZU$1000000,1958,FALSE)</f>
        <v>#N/A</v>
      </c>
      <c r="C116" t="e">
        <f>VLOOKUP(A1,Data!$A$1:$DZU$1000000,1959,FALSE)</f>
        <v>#N/A</v>
      </c>
      <c r="D116" t="e">
        <f>VLOOKUP(A1,Data!$A$1:$DZU$1000000,1960,FALSE)</f>
        <v>#N/A</v>
      </c>
      <c r="E116" t="e">
        <f>VLOOKUP(A1,Data!$A$1:$DZU$1000000,1961,FALSE)</f>
        <v>#N/A</v>
      </c>
      <c r="F116" t="e">
        <f>VLOOKUP(A1,Data!$A$1:$DZU$1000000,1962,FALSE)</f>
        <v>#N/A</v>
      </c>
      <c r="G116" t="e">
        <f>VLOOKUP(A1,Data!$A$1:$DZU$1000000,1963,FALSE)</f>
        <v>#N/A</v>
      </c>
      <c r="H116" t="e">
        <f>VLOOKUP(A1,Data!$A$1:$DZU$1000000,1964,FALSE)</f>
        <v>#N/A</v>
      </c>
      <c r="I116" t="e">
        <f>VLOOKUP(A1,Data!$A$1:$DZU$1000000,1965,FALSE)</f>
        <v>#N/A</v>
      </c>
      <c r="J116" t="e">
        <f>VLOOKUP(A1,Data!$A$1:$DZU$1000000,1966,FALSE)</f>
        <v>#N/A</v>
      </c>
      <c r="K116" t="e">
        <f>VLOOKUP(A1,Data!$A$1:$DZU$1000000,1967,FALSE)</f>
        <v>#N/A</v>
      </c>
      <c r="L116" t="e">
        <f>VLOOKUP(A1,Data!$A$1:$DZU$1000000,1968,FALSE)</f>
        <v>#N/A</v>
      </c>
      <c r="M116" t="e">
        <f>VLOOKUP(A1,Data!$A$1:$DZU$1000000,1969,FALSE)</f>
        <v>#N/A</v>
      </c>
      <c r="N116" t="e">
        <f>VLOOKUP(A1,Data!$A$1:$DZU$1000000,1970,FALSE)</f>
        <v>#N/A</v>
      </c>
      <c r="O116" t="e">
        <f>VLOOKUP(A1,Data!$A$1:$DZU$1000000,1971,FALSE)</f>
        <v>#N/A</v>
      </c>
      <c r="P116" t="e">
        <f>VLOOKUP(A1,Data!$A$1:$DZU$1000000,1972,FALSE)</f>
        <v>#N/A</v>
      </c>
      <c r="Q116" s="5" t="e">
        <f>VLOOKUP(A1,Data!$A$1:$DZU$1000000,1973,FALSE)</f>
        <v>#N/A</v>
      </c>
    </row>
    <row r="117" spans="1:17" x14ac:dyDescent="0.35">
      <c r="A117" s="54" t="e">
        <f>VLOOKUP(A1,Data!$A$1:$DZU$1000000,1974,FALSE)</f>
        <v>#N/A</v>
      </c>
      <c r="B117" t="e">
        <f>VLOOKUP(A1,Data!$A$1:$DZU$1000000,1975,FALSE)</f>
        <v>#N/A</v>
      </c>
      <c r="C117" t="e">
        <f>VLOOKUP(A1,Data!$A$1:$DZU$1000000,1976,FALSE)</f>
        <v>#N/A</v>
      </c>
      <c r="D117" t="e">
        <f>VLOOKUP(A1,Data!$A$1:$DZU$1000000,1977,FALSE)</f>
        <v>#N/A</v>
      </c>
      <c r="E117" t="e">
        <f>VLOOKUP(A1,Data!$A$1:$DZU$1000000,1978,FALSE)</f>
        <v>#N/A</v>
      </c>
      <c r="F117" t="e">
        <f>VLOOKUP(A1,Data!$A$1:$DZU$1000000,1979,FALSE)</f>
        <v>#N/A</v>
      </c>
      <c r="G117" t="e">
        <f>VLOOKUP(A1,Data!$A$1:$DZU$1000000,1980,FALSE)</f>
        <v>#N/A</v>
      </c>
      <c r="H117" t="e">
        <f>VLOOKUP(A1,Data!$A$1:$DZU$1000000,1981,FALSE)</f>
        <v>#N/A</v>
      </c>
      <c r="I117" t="e">
        <f>VLOOKUP(A1,Data!$A$1:$DZU$1000000,1982,FALSE)</f>
        <v>#N/A</v>
      </c>
      <c r="J117" t="e">
        <f>VLOOKUP(A1,Data!$A$1:$DZU$1000000,1983,FALSE)</f>
        <v>#N/A</v>
      </c>
      <c r="K117" t="e">
        <f>VLOOKUP(A1,Data!$A$1:$DZU$1000000,1984,FALSE)</f>
        <v>#N/A</v>
      </c>
      <c r="L117" t="e">
        <f>VLOOKUP(A1,Data!$A$1:$DZU$1000000,1985,FALSE)</f>
        <v>#N/A</v>
      </c>
      <c r="M117" t="e">
        <f>VLOOKUP(A1,Data!$A$1:$DZU$1000000,1986,FALSE)</f>
        <v>#N/A</v>
      </c>
      <c r="N117" t="e">
        <f>VLOOKUP(A1,Data!$A$1:$DZU$1000000,1987,FALSE)</f>
        <v>#N/A</v>
      </c>
      <c r="O117" t="e">
        <f>VLOOKUP(A1,Data!$A$1:$DZU$1000000,1988,FALSE)</f>
        <v>#N/A</v>
      </c>
      <c r="P117" t="e">
        <f>VLOOKUP(A1,Data!$A$1:$DZU$1000000,1989,FALSE)</f>
        <v>#N/A</v>
      </c>
      <c r="Q117" s="5" t="e">
        <f>VLOOKUP(A1,Data!$A$1:$DZU$1000000,1990,FALSE)</f>
        <v>#N/A</v>
      </c>
    </row>
    <row r="118" spans="1:17" x14ac:dyDescent="0.35">
      <c r="A118" s="54" t="e">
        <f>VLOOKUP(A1,Data!$A$1:$DZU$1000000,1991,FALSE)</f>
        <v>#N/A</v>
      </c>
      <c r="B118" t="e">
        <f>VLOOKUP(A1,Data!$A$1:$DZU$1000000,1992,FALSE)</f>
        <v>#N/A</v>
      </c>
      <c r="C118" t="e">
        <f>VLOOKUP(A1,Data!$A$1:$DZU$1000000,1993,FALSE)</f>
        <v>#N/A</v>
      </c>
      <c r="D118" t="e">
        <f>VLOOKUP(A1,Data!$A$1:$DZU$1000000,1994,FALSE)</f>
        <v>#N/A</v>
      </c>
      <c r="E118" t="e">
        <f>VLOOKUP(A1,Data!$A$1:$DZU$1000000,1995,FALSE)</f>
        <v>#N/A</v>
      </c>
      <c r="F118" t="e">
        <f>VLOOKUP(A1,Data!$A$1:$DZU$1000000,1996,FALSE)</f>
        <v>#N/A</v>
      </c>
      <c r="G118" t="e">
        <f>VLOOKUP(A1,Data!$A$1:$DZU$1000000,1997,FALSE)</f>
        <v>#N/A</v>
      </c>
      <c r="H118" t="e">
        <f>VLOOKUP(A1,Data!$A$1:$DZU$1000000,1998,FALSE)</f>
        <v>#N/A</v>
      </c>
      <c r="I118" t="e">
        <f>VLOOKUP(A1,Data!$A$1:$DZU$1000000,1999,FALSE)</f>
        <v>#N/A</v>
      </c>
      <c r="J118" t="e">
        <f>VLOOKUP(A1,Data!$A$1:$DZU$1000000,2000,FALSE)</f>
        <v>#N/A</v>
      </c>
      <c r="K118" t="e">
        <f>VLOOKUP(A1,Data!$A$1:$DZU$1000000,2001,FALSE)</f>
        <v>#N/A</v>
      </c>
      <c r="L118" t="e">
        <f>VLOOKUP(A1,Data!$A$1:$DZU$1000000,2002,FALSE)</f>
        <v>#N/A</v>
      </c>
      <c r="M118" t="e">
        <f>VLOOKUP(A1,Data!$A$1:$DZU$1000000,2003,FALSE)</f>
        <v>#N/A</v>
      </c>
      <c r="N118" t="e">
        <f>VLOOKUP(A1,Data!$A$1:$DZU$1000000,2004,FALSE)</f>
        <v>#N/A</v>
      </c>
      <c r="O118" t="e">
        <f>VLOOKUP(A1,Data!$A$1:$DZU$1000000,2005,FALSE)</f>
        <v>#N/A</v>
      </c>
      <c r="P118" t="e">
        <f>VLOOKUP(A1,Data!$A$1:$DZU$1000000,2006,FALSE)</f>
        <v>#N/A</v>
      </c>
      <c r="Q118" s="5" t="e">
        <f>VLOOKUP(A1,Data!$A$1:$DZU$1000000,2007,FALSE)</f>
        <v>#N/A</v>
      </c>
    </row>
    <row r="119" spans="1:17" x14ac:dyDescent="0.35">
      <c r="A119" s="54" t="e">
        <f>VLOOKUP(A1,Data!$A$1:$DZU$1000000,2008,FALSE)</f>
        <v>#N/A</v>
      </c>
      <c r="B119" t="e">
        <f>VLOOKUP(A1,Data!$A$1:$DZU$1000000,2009,FALSE)</f>
        <v>#N/A</v>
      </c>
      <c r="C119" t="e">
        <f>VLOOKUP(A1,Data!$A$1:$DZU$1000000,2010,FALSE)</f>
        <v>#N/A</v>
      </c>
      <c r="D119" t="e">
        <f>VLOOKUP(A1,Data!$A$1:$DZU$1000000,2011,FALSE)</f>
        <v>#N/A</v>
      </c>
      <c r="E119" t="e">
        <f>VLOOKUP(A1,Data!$A$1:$DZU$1000000,2012,FALSE)</f>
        <v>#N/A</v>
      </c>
      <c r="F119" t="e">
        <f>VLOOKUP(A1,Data!$A$1:$DZU$1000000,2013,FALSE)</f>
        <v>#N/A</v>
      </c>
      <c r="G119" t="e">
        <f>VLOOKUP(A1,Data!$A$1:$DZU$1000000,2014,FALSE)</f>
        <v>#N/A</v>
      </c>
      <c r="H119" t="e">
        <f>VLOOKUP(A1,Data!$A$1:$DZU$1000000,2015,FALSE)</f>
        <v>#N/A</v>
      </c>
      <c r="I119" t="e">
        <f>VLOOKUP(A1,Data!$A$1:$DZU$1000000,2016,FALSE)</f>
        <v>#N/A</v>
      </c>
      <c r="J119" t="e">
        <f>VLOOKUP(A1,Data!$A$1:$DZU$1000000,2017,FALSE)</f>
        <v>#N/A</v>
      </c>
      <c r="K119" t="e">
        <f>VLOOKUP(A1,Data!$A$1:$DZU$1000000,2018,FALSE)</f>
        <v>#N/A</v>
      </c>
      <c r="L119" t="e">
        <f>VLOOKUP(A1,Data!$A$1:$DZU$1000000,2019,FALSE)</f>
        <v>#N/A</v>
      </c>
      <c r="M119" t="e">
        <f>VLOOKUP(A1,Data!$A$1:$DZU$1000000,2020,FALSE)</f>
        <v>#N/A</v>
      </c>
      <c r="N119" t="e">
        <f>VLOOKUP(A1,Data!$A$1:$DZU$1000000,2021,FALSE)</f>
        <v>#N/A</v>
      </c>
      <c r="O119" t="e">
        <f>VLOOKUP(A1,Data!$A$1:$DZU$1000000,2022,FALSE)</f>
        <v>#N/A</v>
      </c>
      <c r="P119" t="e">
        <f>VLOOKUP(A1,Data!$A$1:$DZU$1000000,2023,FALSE)</f>
        <v>#N/A</v>
      </c>
      <c r="Q119" s="5" t="e">
        <f>VLOOKUP(A1,Data!$A$1:$DZU$1000000,2024,FALSE)</f>
        <v>#N/A</v>
      </c>
    </row>
    <row r="120" spans="1:17" x14ac:dyDescent="0.35">
      <c r="A120" s="54" t="e">
        <f>VLOOKUP(A1,Data!$A$1:$DZU$1000000,2025,FALSE)</f>
        <v>#N/A</v>
      </c>
      <c r="B120" t="e">
        <f>VLOOKUP(A1,Data!$A$1:$DZU$1000000,2026,FALSE)</f>
        <v>#N/A</v>
      </c>
      <c r="C120" t="e">
        <f>VLOOKUP(A1,Data!$A$1:$DZU$1000000,2027,FALSE)</f>
        <v>#N/A</v>
      </c>
      <c r="D120" t="e">
        <f>VLOOKUP(A1,Data!$A$1:$DZU$1000000,2028,FALSE)</f>
        <v>#N/A</v>
      </c>
      <c r="E120" t="e">
        <f>VLOOKUP(A1,Data!$A$1:$DZU$1000000,2029,FALSE)</f>
        <v>#N/A</v>
      </c>
      <c r="F120" t="e">
        <f>VLOOKUP(A1,Data!$A$1:$DZU$1000000,2030,FALSE)</f>
        <v>#N/A</v>
      </c>
      <c r="G120" t="e">
        <f>VLOOKUP(A1,Data!$A$1:$DZU$1000000,2031,FALSE)</f>
        <v>#N/A</v>
      </c>
      <c r="H120" t="e">
        <f>VLOOKUP(A1,Data!$A$1:$DZU$1000000,2032,FALSE)</f>
        <v>#N/A</v>
      </c>
      <c r="I120" t="e">
        <f>VLOOKUP(A1,Data!$A$1:$DZU$1000000,2033,FALSE)</f>
        <v>#N/A</v>
      </c>
      <c r="J120" t="e">
        <f>VLOOKUP(A1,Data!$A$1:$DZU$1000000,2034,FALSE)</f>
        <v>#N/A</v>
      </c>
      <c r="K120" t="e">
        <f>VLOOKUP(A1,Data!$A$1:$DZU$1000000,2035,FALSE)</f>
        <v>#N/A</v>
      </c>
      <c r="L120" t="e">
        <f>VLOOKUP(A1,Data!$A$1:$DZU$1000000,2036,FALSE)</f>
        <v>#N/A</v>
      </c>
      <c r="M120" t="e">
        <f>VLOOKUP(A1,Data!$A$1:$DZU$1000000,2037,FALSE)</f>
        <v>#N/A</v>
      </c>
      <c r="N120" t="e">
        <f>VLOOKUP(A1,Data!$A$1:$DZU$1000000,2038,FALSE)</f>
        <v>#N/A</v>
      </c>
      <c r="O120" t="e">
        <f>VLOOKUP(A1,Data!$A$1:$DZU$1000000,2039,FALSE)</f>
        <v>#N/A</v>
      </c>
      <c r="P120" t="e">
        <f>VLOOKUP(A1,Data!$A$1:$DZU$1000000,2040,FALSE)</f>
        <v>#N/A</v>
      </c>
      <c r="Q120" s="5" t="e">
        <f>VLOOKUP(A1,Data!$A$1:$DZU$1000000,2041,FALSE)</f>
        <v>#N/A</v>
      </c>
    </row>
    <row r="121" spans="1:17" x14ac:dyDescent="0.35">
      <c r="A121" s="54" t="e">
        <f>VLOOKUP(A1,Data!$A$1:$DZU$1000000,2042,FALSE)</f>
        <v>#N/A</v>
      </c>
      <c r="B121" t="e">
        <f>VLOOKUP(A1,Data!$A$1:$DZU$1000000,2043,FALSE)</f>
        <v>#N/A</v>
      </c>
      <c r="C121" t="e">
        <f>VLOOKUP(A1,Data!$A$1:$DZU$1000000,2044,FALSE)</f>
        <v>#N/A</v>
      </c>
      <c r="D121" t="e">
        <f>VLOOKUP(A1,Data!$A$1:$DZU$1000000,2045,FALSE)</f>
        <v>#N/A</v>
      </c>
      <c r="E121" t="e">
        <f>VLOOKUP(A1,Data!$A$1:$DZU$1000000,2046,FALSE)</f>
        <v>#N/A</v>
      </c>
      <c r="F121" t="e">
        <f>VLOOKUP(A1,Data!$A$1:$DZU$1000000,2047,FALSE)</f>
        <v>#N/A</v>
      </c>
      <c r="G121" t="e">
        <f>VLOOKUP(A1,Data!$A$1:$DZU$1000000,2048,FALSE)</f>
        <v>#N/A</v>
      </c>
      <c r="H121" t="e">
        <f>VLOOKUP(A1,Data!$A$1:$DZU$1000000,2049,FALSE)</f>
        <v>#N/A</v>
      </c>
      <c r="I121" t="e">
        <f>VLOOKUP(A1,Data!$A$1:$DZU$1000000,2050,FALSE)</f>
        <v>#N/A</v>
      </c>
      <c r="J121" t="e">
        <f>VLOOKUP(A1,Data!$A$1:$DZU$1000000,2051,FALSE)</f>
        <v>#N/A</v>
      </c>
      <c r="K121" t="e">
        <f>VLOOKUP(A1,Data!$A$1:$DZU$1000000,2052,FALSE)</f>
        <v>#N/A</v>
      </c>
      <c r="L121" t="e">
        <f>VLOOKUP(A1,Data!$A$1:$DZU$1000000,2053,FALSE)</f>
        <v>#N/A</v>
      </c>
      <c r="M121" t="e">
        <f>VLOOKUP(A1,Data!$A$1:$DZU$1000000,2054,FALSE)</f>
        <v>#N/A</v>
      </c>
      <c r="N121" t="e">
        <f>VLOOKUP(A1,Data!$A$1:$DZU$1000000,2055,FALSE)</f>
        <v>#N/A</v>
      </c>
      <c r="O121" t="e">
        <f>VLOOKUP(A1,Data!$A$1:$DZU$1000000,2056,FALSE)</f>
        <v>#N/A</v>
      </c>
      <c r="P121" t="e">
        <f>VLOOKUP(A1,Data!$A$1:$DZU$1000000,2057,FALSE)</f>
        <v>#N/A</v>
      </c>
      <c r="Q121" s="5" t="e">
        <f>VLOOKUP(A1,Data!$A$1:$DZU$1000000,2058,FALSE)</f>
        <v>#N/A</v>
      </c>
    </row>
    <row r="122" spans="1:17" x14ac:dyDescent="0.35">
      <c r="A122" s="54" t="e">
        <f>VLOOKUP(A1,Data!$A$1:$DZU$1000000,2059,FALSE)</f>
        <v>#N/A</v>
      </c>
      <c r="B122" t="e">
        <f>VLOOKUP(A1,Data!$A$1:$DZU$1000000,2060,FALSE)</f>
        <v>#N/A</v>
      </c>
      <c r="C122" t="e">
        <f>VLOOKUP(A1,Data!$A$1:$DZU$1000000,2061,FALSE)</f>
        <v>#N/A</v>
      </c>
      <c r="D122" t="e">
        <f>VLOOKUP(A1,Data!$A$1:$DZU$1000000,2062,FALSE)</f>
        <v>#N/A</v>
      </c>
      <c r="E122" t="e">
        <f>VLOOKUP(A1,Data!$A$1:$DZU$1000000,2063,FALSE)</f>
        <v>#N/A</v>
      </c>
      <c r="F122" t="e">
        <f>VLOOKUP(A1,Data!$A$1:$DZU$1000000,2064,FALSE)</f>
        <v>#N/A</v>
      </c>
      <c r="G122" t="e">
        <f>VLOOKUP(A1,Data!$A$1:$DZU$1000000,2065,FALSE)</f>
        <v>#N/A</v>
      </c>
      <c r="H122" t="e">
        <f>VLOOKUP(A1,Data!$A$1:$DZU$1000000,2066,FALSE)</f>
        <v>#N/A</v>
      </c>
      <c r="I122" t="e">
        <f>VLOOKUP(A1,Data!$A$1:$DZU$1000000,2067,FALSE)</f>
        <v>#N/A</v>
      </c>
      <c r="J122" t="e">
        <f>VLOOKUP(A1,Data!$A$1:$DZU$1000000,2068,FALSE)</f>
        <v>#N/A</v>
      </c>
      <c r="K122" t="e">
        <f>VLOOKUP(A1,Data!$A$1:$DZU$1000000,2069,FALSE)</f>
        <v>#N/A</v>
      </c>
      <c r="L122" t="e">
        <f>VLOOKUP(A1,Data!$A$1:$DZU$1000000,2070,FALSE)</f>
        <v>#N/A</v>
      </c>
      <c r="M122" t="e">
        <f>VLOOKUP(A1,Data!$A$1:$DZU$1000000,2071,FALSE)</f>
        <v>#N/A</v>
      </c>
      <c r="N122" t="e">
        <f>VLOOKUP(A1,Data!$A$1:$DZU$1000000,2072,FALSE)</f>
        <v>#N/A</v>
      </c>
      <c r="O122" t="e">
        <f>VLOOKUP(A1,Data!$A$1:$DZU$1000000,2073,FALSE)</f>
        <v>#N/A</v>
      </c>
      <c r="P122" t="e">
        <f>VLOOKUP(A1,Data!$A$1:$DZU$1000000,2074,FALSE)</f>
        <v>#N/A</v>
      </c>
      <c r="Q122" s="5" t="e">
        <f>VLOOKUP(A1,Data!$A$1:$DZU$1000000,2075,FALSE)</f>
        <v>#N/A</v>
      </c>
    </row>
    <row r="123" spans="1:17" x14ac:dyDescent="0.35">
      <c r="A123" s="54" t="e">
        <f>VLOOKUP(A1,Data!$A$1:$DZU$1000000,2076,FALSE)</f>
        <v>#N/A</v>
      </c>
      <c r="B123" t="e">
        <f>VLOOKUP(A1,Data!$A$1:$DZU$1000000,2077,FALSE)</f>
        <v>#N/A</v>
      </c>
      <c r="C123" t="e">
        <f>VLOOKUP(A1,Data!$A$1:$DZU$1000000,2078,FALSE)</f>
        <v>#N/A</v>
      </c>
      <c r="D123" t="e">
        <f>VLOOKUP(A1,Data!$A$1:$DZU$1000000,2079,FALSE)</f>
        <v>#N/A</v>
      </c>
      <c r="E123" t="e">
        <f>VLOOKUP(A1,Data!$A$1:$DZU$1000000,2080,FALSE)</f>
        <v>#N/A</v>
      </c>
      <c r="F123" t="e">
        <f>VLOOKUP(A1,Data!$A$1:$DZU$1000000,2081,FALSE)</f>
        <v>#N/A</v>
      </c>
      <c r="G123" t="e">
        <f>VLOOKUP(A1,Data!$A$1:$DZU$1000000,2082,FALSE)</f>
        <v>#N/A</v>
      </c>
      <c r="H123" t="e">
        <f>VLOOKUP(A1,Data!$A$1:$DZU$1000000,2083,FALSE)</f>
        <v>#N/A</v>
      </c>
      <c r="I123" t="e">
        <f>VLOOKUP(A1,Data!$A$1:$DZU$1000000,2084,FALSE)</f>
        <v>#N/A</v>
      </c>
      <c r="J123" t="e">
        <f>VLOOKUP(A1,Data!$A$1:$DZU$1000000,2085,FALSE)</f>
        <v>#N/A</v>
      </c>
      <c r="K123" t="e">
        <f>VLOOKUP(A1,Data!$A$1:$DZU$1000000,2086,FALSE)</f>
        <v>#N/A</v>
      </c>
      <c r="L123" t="e">
        <f>VLOOKUP(A1,Data!$A$1:$DZU$1000000,2087,FALSE)</f>
        <v>#N/A</v>
      </c>
      <c r="M123" t="e">
        <f>VLOOKUP(A1,Data!$A$1:$DZU$1000000,2088,FALSE)</f>
        <v>#N/A</v>
      </c>
      <c r="N123" t="e">
        <f>VLOOKUP(A1,Data!$A$1:$DZU$1000000,2089,FALSE)</f>
        <v>#N/A</v>
      </c>
      <c r="O123" t="e">
        <f>VLOOKUP(A1,Data!$A$1:$DZU$1000000,2090,FALSE)</f>
        <v>#N/A</v>
      </c>
      <c r="P123" t="e">
        <f>VLOOKUP(A1,Data!$A$1:$DZU$1000000,2091,FALSE)</f>
        <v>#N/A</v>
      </c>
      <c r="Q123" s="5" t="e">
        <f>VLOOKUP(A1,Data!$A$1:$DZU$1000000,2092,FALSE)</f>
        <v>#N/A</v>
      </c>
    </row>
    <row r="124" spans="1:17" x14ac:dyDescent="0.35">
      <c r="A124" s="54" t="e">
        <f>VLOOKUP(A1,Data!$A$1:$DZU$1000000,2093,FALSE)</f>
        <v>#N/A</v>
      </c>
      <c r="B124" t="e">
        <f>VLOOKUP(A1,Data!$A$1:$DZU$1000000,2094,FALSE)</f>
        <v>#N/A</v>
      </c>
      <c r="C124" t="e">
        <f>VLOOKUP(A1,Data!$A$1:$DZU$1000000,2095,FALSE)</f>
        <v>#N/A</v>
      </c>
      <c r="D124" t="e">
        <f>VLOOKUP(A1,Data!$A$1:$DZU$1000000,2096,FALSE)</f>
        <v>#N/A</v>
      </c>
      <c r="E124" t="e">
        <f>VLOOKUP(A1,Data!$A$1:$DZU$1000000,2097,FALSE)</f>
        <v>#N/A</v>
      </c>
      <c r="F124" t="e">
        <f>VLOOKUP(A1,Data!$A$1:$DZU$1000000,2098,FALSE)</f>
        <v>#N/A</v>
      </c>
      <c r="G124" t="e">
        <f>VLOOKUP(A1,Data!$A$1:$DZU$1000000,2099,FALSE)</f>
        <v>#N/A</v>
      </c>
      <c r="H124" t="e">
        <f>VLOOKUP(A1,Data!$A$1:$DZU$1000000,2100,FALSE)</f>
        <v>#N/A</v>
      </c>
      <c r="I124" t="e">
        <f>VLOOKUP(A1,Data!$A$1:$DZU$1000000,2101,FALSE)</f>
        <v>#N/A</v>
      </c>
      <c r="J124" t="e">
        <f>VLOOKUP(A1,Data!$A$1:$DZU$1000000,2102,FALSE)</f>
        <v>#N/A</v>
      </c>
      <c r="K124" t="e">
        <f>VLOOKUP(A1,Data!$A$1:$DZU$1000000,2103,FALSE)</f>
        <v>#N/A</v>
      </c>
      <c r="L124" t="e">
        <f>VLOOKUP(A1,Data!$A$1:$DZU$1000000,2104,FALSE)</f>
        <v>#N/A</v>
      </c>
      <c r="M124" t="e">
        <f>VLOOKUP(A1,Data!$A$1:$DZU$1000000,2105,FALSE)</f>
        <v>#N/A</v>
      </c>
      <c r="N124" t="e">
        <f>VLOOKUP(A1,Data!$A$1:$DZU$1000000,2106,FALSE)</f>
        <v>#N/A</v>
      </c>
      <c r="O124" t="e">
        <f>VLOOKUP(A1,Data!$A$1:$DZU$1000000,2107,FALSE)</f>
        <v>#N/A</v>
      </c>
      <c r="P124" t="e">
        <f>VLOOKUP(A1,Data!$A$1:$DZU$1000000,2108,FALSE)</f>
        <v>#N/A</v>
      </c>
      <c r="Q124" s="5" t="e">
        <f>VLOOKUP(A1,Data!$A$1:$DZU$1000000,2109,FALSE)</f>
        <v>#N/A</v>
      </c>
    </row>
    <row r="125" spans="1:17" x14ac:dyDescent="0.35">
      <c r="A125" s="54" t="e">
        <f>VLOOKUP(A1,Data!$A$1:$DZU$1000000,2110,FALSE)</f>
        <v>#N/A</v>
      </c>
      <c r="B125" t="e">
        <f>VLOOKUP(A1,Data!$A$1:$DZU$1000000,2111,FALSE)</f>
        <v>#N/A</v>
      </c>
      <c r="C125" t="e">
        <f>VLOOKUP(A1,Data!$A$1:$DZU$1000000,2112,FALSE)</f>
        <v>#N/A</v>
      </c>
      <c r="D125" t="e">
        <f>VLOOKUP(A1,Data!$A$1:$DZU$1000000,2113,FALSE)</f>
        <v>#N/A</v>
      </c>
      <c r="E125" t="e">
        <f>VLOOKUP(A1,Data!$A$1:$DZU$1000000,2114,FALSE)</f>
        <v>#N/A</v>
      </c>
      <c r="F125" t="e">
        <f>VLOOKUP(A1,Data!$A$1:$DZU$1000000,2115,FALSE)</f>
        <v>#N/A</v>
      </c>
      <c r="G125" t="e">
        <f>VLOOKUP(A1,Data!$A$1:$DZU$1000000,2116,FALSE)</f>
        <v>#N/A</v>
      </c>
      <c r="H125" t="e">
        <f>VLOOKUP(A1,Data!$A$1:$DZU$1000000,2117,FALSE)</f>
        <v>#N/A</v>
      </c>
      <c r="I125" t="e">
        <f>VLOOKUP(A1,Data!$A$1:$DZU$1000000,2118,FALSE)</f>
        <v>#N/A</v>
      </c>
      <c r="J125" t="e">
        <f>VLOOKUP(A1,Data!$A$1:$DZU$1000000,2119,FALSE)</f>
        <v>#N/A</v>
      </c>
      <c r="K125" t="e">
        <f>VLOOKUP(A1,Data!$A$1:$DZU$1000000,2120,FALSE)</f>
        <v>#N/A</v>
      </c>
      <c r="L125" t="e">
        <f>VLOOKUP(A1,Data!$A$1:$DZU$1000000,2121,FALSE)</f>
        <v>#N/A</v>
      </c>
      <c r="M125" t="e">
        <f>VLOOKUP(A1,Data!$A$1:$DZU$1000000,2122,FALSE)</f>
        <v>#N/A</v>
      </c>
      <c r="N125" t="e">
        <f>VLOOKUP(A1,Data!$A$1:$DZU$1000000,2123,FALSE)</f>
        <v>#N/A</v>
      </c>
      <c r="O125" t="e">
        <f>VLOOKUP(A1,Data!$A$1:$DZU$1000000,2124,FALSE)</f>
        <v>#N/A</v>
      </c>
      <c r="P125" t="e">
        <f>VLOOKUP(A1,Data!$A$1:$DZU$1000000,2125,FALSE)</f>
        <v>#N/A</v>
      </c>
      <c r="Q125" s="5" t="e">
        <f>VLOOKUP(A1,Data!$A$1:$DZU$1000000,2126,FALSE)</f>
        <v>#N/A</v>
      </c>
    </row>
    <row r="126" spans="1:17" x14ac:dyDescent="0.35">
      <c r="A126" s="54" t="e">
        <f>VLOOKUP(A1,Data!$A$1:$DZU$1000000,2127,FALSE)</f>
        <v>#N/A</v>
      </c>
      <c r="B126" t="e">
        <f>VLOOKUP(A1,Data!$A$1:$DZU$1000000,2128,FALSE)</f>
        <v>#N/A</v>
      </c>
      <c r="C126" t="e">
        <f>VLOOKUP(A1,Data!$A$1:$DZU$1000000,2129,FALSE)</f>
        <v>#N/A</v>
      </c>
      <c r="D126" t="e">
        <f>VLOOKUP(A1,Data!$A$1:$DZU$1000000,2130,FALSE)</f>
        <v>#N/A</v>
      </c>
      <c r="E126" t="e">
        <f>VLOOKUP(A1,Data!$A$1:$DZU$1000000,2131,FALSE)</f>
        <v>#N/A</v>
      </c>
      <c r="F126" t="e">
        <f>VLOOKUP(A1,Data!$A$1:$DZU$1000000,2132,FALSE)</f>
        <v>#N/A</v>
      </c>
      <c r="G126" t="e">
        <f>VLOOKUP(A1,Data!$A$1:$DZU$1000000,2133,FALSE)</f>
        <v>#N/A</v>
      </c>
      <c r="H126" t="e">
        <f>VLOOKUP(A1,Data!$A$1:$DZU$1000000,2134,FALSE)</f>
        <v>#N/A</v>
      </c>
      <c r="I126" t="e">
        <f>VLOOKUP(A1,Data!$A$1:$DZU$1000000,2135,FALSE)</f>
        <v>#N/A</v>
      </c>
      <c r="J126" t="e">
        <f>VLOOKUP(A1,Data!$A$1:$DZU$1000000,2136,FALSE)</f>
        <v>#N/A</v>
      </c>
      <c r="K126" t="e">
        <f>VLOOKUP(A1,Data!$A$1:$DZU$1000000,2137,FALSE)</f>
        <v>#N/A</v>
      </c>
      <c r="L126" t="e">
        <f>VLOOKUP(A1,Data!$A$1:$DZU$1000000,2138,FALSE)</f>
        <v>#N/A</v>
      </c>
      <c r="M126" t="e">
        <f>VLOOKUP(A1,Data!$A$1:$DZU$1000000,2139,FALSE)</f>
        <v>#N/A</v>
      </c>
      <c r="N126" t="e">
        <f>VLOOKUP(A1,Data!$A$1:$DZU$1000000,2140,FALSE)</f>
        <v>#N/A</v>
      </c>
      <c r="O126" t="e">
        <f>VLOOKUP(A1,Data!$A$1:$DZU$1000000,2141,FALSE)</f>
        <v>#N/A</v>
      </c>
      <c r="P126" t="e">
        <f>VLOOKUP(A1,Data!$A$1:$DZU$1000000,2142,FALSE)</f>
        <v>#N/A</v>
      </c>
      <c r="Q126" s="5" t="e">
        <f>VLOOKUP(A1,Data!$A$1:$DZU$1000000,2143,FALSE)</f>
        <v>#N/A</v>
      </c>
    </row>
    <row r="127" spans="1:17" x14ac:dyDescent="0.35">
      <c r="A127" s="54" t="e">
        <f>VLOOKUP(A1,Data!$A$1:$DZU$1000000,2144,FALSE)</f>
        <v>#N/A</v>
      </c>
      <c r="B127" t="e">
        <f>VLOOKUP(A1,Data!$A$1:$DZU$1000000,2145,FALSE)</f>
        <v>#N/A</v>
      </c>
      <c r="C127" t="e">
        <f>VLOOKUP(A1,Data!$A$1:$DZU$1000000,2146,FALSE)</f>
        <v>#N/A</v>
      </c>
      <c r="D127" t="e">
        <f>VLOOKUP(A1,Data!$A$1:$DZU$1000000,2147,FALSE)</f>
        <v>#N/A</v>
      </c>
      <c r="E127" t="e">
        <f>VLOOKUP(A1,Data!$A$1:$DZU$1000000,2148,FALSE)</f>
        <v>#N/A</v>
      </c>
      <c r="F127" t="e">
        <f>VLOOKUP(A1,Data!$A$1:$DZU$1000000,2149,FALSE)</f>
        <v>#N/A</v>
      </c>
      <c r="G127" t="e">
        <f>VLOOKUP(A1,Data!$A$1:$DZU$1000000,2150,FALSE)</f>
        <v>#N/A</v>
      </c>
      <c r="H127" t="e">
        <f>VLOOKUP(A1,Data!$A$1:$DZU$1000000,2151,FALSE)</f>
        <v>#N/A</v>
      </c>
      <c r="I127" t="e">
        <f>VLOOKUP(A1,Data!$A$1:$DZU$1000000,2152,FALSE)</f>
        <v>#N/A</v>
      </c>
      <c r="J127" t="e">
        <f>VLOOKUP(A1,Data!$A$1:$DZU$1000000,2153,FALSE)</f>
        <v>#N/A</v>
      </c>
      <c r="K127" t="e">
        <f>VLOOKUP(A1,Data!$A$1:$DZU$1000000,2154,FALSE)</f>
        <v>#N/A</v>
      </c>
      <c r="L127" t="e">
        <f>VLOOKUP(A1,Data!$A$1:$DZU$1000000,2155,FALSE)</f>
        <v>#N/A</v>
      </c>
      <c r="M127" t="e">
        <f>VLOOKUP(A1,Data!$A$1:$DZU$1000000,2156,FALSE)</f>
        <v>#N/A</v>
      </c>
      <c r="N127" t="e">
        <f>VLOOKUP(A1,Data!$A$1:$DZU$1000000,2157,FALSE)</f>
        <v>#N/A</v>
      </c>
      <c r="O127" t="e">
        <f>VLOOKUP(A1,Data!$A$1:$DZU$1000000,2158,FALSE)</f>
        <v>#N/A</v>
      </c>
      <c r="P127" t="e">
        <f>VLOOKUP(A1,Data!$A$1:$DZU$1000000,2159,FALSE)</f>
        <v>#N/A</v>
      </c>
      <c r="Q127" s="5" t="e">
        <f>VLOOKUP(A1,Data!$A$1:$DZU$1000000,2160,FALSE)</f>
        <v>#N/A</v>
      </c>
    </row>
    <row r="128" spans="1:17" x14ac:dyDescent="0.35">
      <c r="A128" s="54" t="e">
        <f>VLOOKUP(A1,Data!$A$1:$DZU$1000000,2161,FALSE)</f>
        <v>#N/A</v>
      </c>
      <c r="B128" t="e">
        <f>VLOOKUP(A1,Data!$A$1:$DZU$1000000,2162,FALSE)</f>
        <v>#N/A</v>
      </c>
      <c r="C128" t="e">
        <f>VLOOKUP(A1,Data!$A$1:$DZU$1000000,2163,FALSE)</f>
        <v>#N/A</v>
      </c>
      <c r="D128" t="e">
        <f>VLOOKUP(A1,Data!$A$1:$DZU$1000000,2164,FALSE)</f>
        <v>#N/A</v>
      </c>
      <c r="E128" t="e">
        <f>VLOOKUP(A1,Data!$A$1:$DZU$1000000,2165,FALSE)</f>
        <v>#N/A</v>
      </c>
      <c r="F128" t="e">
        <f>VLOOKUP(A1,Data!$A$1:$DZU$1000000,2166,FALSE)</f>
        <v>#N/A</v>
      </c>
      <c r="G128" t="e">
        <f>VLOOKUP(A1,Data!$A$1:$DZU$1000000,2167,FALSE)</f>
        <v>#N/A</v>
      </c>
      <c r="H128" t="e">
        <f>VLOOKUP(A1,Data!$A$1:$DZU$1000000,2168,FALSE)</f>
        <v>#N/A</v>
      </c>
      <c r="I128" t="e">
        <f>VLOOKUP(A1,Data!$A$1:$DZU$1000000,2169,FALSE)</f>
        <v>#N/A</v>
      </c>
      <c r="J128" t="e">
        <f>VLOOKUP(A1,Data!$A$1:$DZU$1000000,2170,FALSE)</f>
        <v>#N/A</v>
      </c>
      <c r="K128" t="e">
        <f>VLOOKUP(A1,Data!$A$1:$DZU$1000000,2171,FALSE)</f>
        <v>#N/A</v>
      </c>
      <c r="L128" t="e">
        <f>VLOOKUP(A1,Data!$A$1:$DZU$1000000,2172,FALSE)</f>
        <v>#N/A</v>
      </c>
      <c r="M128" t="e">
        <f>VLOOKUP(A1,Data!$A$1:$DZU$1000000,2173,FALSE)</f>
        <v>#N/A</v>
      </c>
      <c r="N128" t="e">
        <f>VLOOKUP(A1,Data!$A$1:$DZU$1000000,2174,FALSE)</f>
        <v>#N/A</v>
      </c>
      <c r="O128" t="e">
        <f>VLOOKUP(A1,Data!$A$1:$DZU$1000000,2175,FALSE)</f>
        <v>#N/A</v>
      </c>
      <c r="P128" t="e">
        <f>VLOOKUP(A1,Data!$A$1:$DZU$1000000,2176,FALSE)</f>
        <v>#N/A</v>
      </c>
      <c r="Q128" s="5" t="e">
        <f>VLOOKUP(A1,Data!$A$1:$DZU$1000000,2177,FALSE)</f>
        <v>#N/A</v>
      </c>
    </row>
    <row r="129" spans="1:17" x14ac:dyDescent="0.35">
      <c r="A129" s="54" t="e">
        <f>VLOOKUP(A1,Data!$A$1:$DZU$1000000,2178,FALSE)</f>
        <v>#N/A</v>
      </c>
      <c r="B129" t="e">
        <f>VLOOKUP(A1,Data!$A$1:$DZU$1000000,2179,FALSE)</f>
        <v>#N/A</v>
      </c>
      <c r="C129" t="e">
        <f>VLOOKUP(A1,Data!$A$1:$DZU$1000000,2180,FALSE)</f>
        <v>#N/A</v>
      </c>
      <c r="D129" t="e">
        <f>VLOOKUP(A1,Data!$A$1:$DZU$1000000,2181,FALSE)</f>
        <v>#N/A</v>
      </c>
      <c r="E129" t="e">
        <f>VLOOKUP(A1,Data!$A$1:$DZU$1000000,2182,FALSE)</f>
        <v>#N/A</v>
      </c>
      <c r="F129" t="e">
        <f>VLOOKUP(A1,Data!$A$1:$DZU$1000000,2183,FALSE)</f>
        <v>#N/A</v>
      </c>
      <c r="G129" t="e">
        <f>VLOOKUP(A1,Data!$A$1:$DZU$1000000,2184,FALSE)</f>
        <v>#N/A</v>
      </c>
      <c r="H129" t="e">
        <f>VLOOKUP(A1,Data!$A$1:$DZU$1000000,2185,FALSE)</f>
        <v>#N/A</v>
      </c>
      <c r="I129" t="e">
        <f>VLOOKUP(A1,Data!$A$1:$DZU$1000000,2186,FALSE)</f>
        <v>#N/A</v>
      </c>
      <c r="J129" t="e">
        <f>VLOOKUP(A1,Data!$A$1:$DZU$1000000,2187,FALSE)</f>
        <v>#N/A</v>
      </c>
      <c r="K129" t="e">
        <f>VLOOKUP(A1,Data!$A$1:$DZU$1000000,2188,FALSE)</f>
        <v>#N/A</v>
      </c>
      <c r="L129" t="e">
        <f>VLOOKUP(A1,Data!$A$1:$DZU$1000000,2189,FALSE)</f>
        <v>#N/A</v>
      </c>
      <c r="M129" t="e">
        <f>VLOOKUP(A1,Data!$A$1:$DZU$1000000,2190,FALSE)</f>
        <v>#N/A</v>
      </c>
      <c r="N129" t="e">
        <f>VLOOKUP(A1,Data!$A$1:$DZU$1000000,2191,FALSE)</f>
        <v>#N/A</v>
      </c>
      <c r="O129" t="e">
        <f>VLOOKUP(A1,Data!$A$1:$DZU$1000000,2192,FALSE)</f>
        <v>#N/A</v>
      </c>
      <c r="P129" t="e">
        <f>VLOOKUP(A1,Data!$A$1:$DZU$1000000,2193,FALSE)</f>
        <v>#N/A</v>
      </c>
      <c r="Q129" s="5" t="e">
        <f>VLOOKUP(A1,Data!$A$1:$DZU$1000000,2194,FALSE)</f>
        <v>#N/A</v>
      </c>
    </row>
    <row r="130" spans="1:17" x14ac:dyDescent="0.35">
      <c r="A130" s="54" t="e">
        <f>VLOOKUP(A1,Data!$A$1:$DZU$1000000,2195,FALSE)</f>
        <v>#N/A</v>
      </c>
      <c r="B130" t="e">
        <f>VLOOKUP(A1,Data!$A$1:$DZU$1000000,2196,FALSE)</f>
        <v>#N/A</v>
      </c>
      <c r="C130" t="e">
        <f>VLOOKUP(A1,Data!$A$1:$DZU$1000000,2197,FALSE)</f>
        <v>#N/A</v>
      </c>
      <c r="D130" t="e">
        <f>VLOOKUP(A1,Data!$A$1:$DZU$1000000,2198,FALSE)</f>
        <v>#N/A</v>
      </c>
      <c r="E130" t="e">
        <f>VLOOKUP(A1,Data!$A$1:$DZU$1000000,2199,FALSE)</f>
        <v>#N/A</v>
      </c>
      <c r="F130" t="e">
        <f>VLOOKUP(A1,Data!$A$1:$DZU$1000000,2200,FALSE)</f>
        <v>#N/A</v>
      </c>
      <c r="G130" t="e">
        <f>VLOOKUP(A1,Data!$A$1:$DZU$1000000,2201,FALSE)</f>
        <v>#N/A</v>
      </c>
      <c r="H130" t="e">
        <f>VLOOKUP(A1,Data!$A$1:$DZU$1000000,2202,FALSE)</f>
        <v>#N/A</v>
      </c>
      <c r="I130" t="e">
        <f>VLOOKUP(A1,Data!$A$1:$DZU$1000000,2203,FALSE)</f>
        <v>#N/A</v>
      </c>
      <c r="J130" t="e">
        <f>VLOOKUP(A1,Data!$A$1:$DZU$1000000,2204,FALSE)</f>
        <v>#N/A</v>
      </c>
      <c r="K130" t="e">
        <f>VLOOKUP(A1,Data!$A$1:$DZU$1000000,2205,FALSE)</f>
        <v>#N/A</v>
      </c>
      <c r="L130" t="e">
        <f>VLOOKUP(A1,Data!$A$1:$DZU$1000000,2206,FALSE)</f>
        <v>#N/A</v>
      </c>
      <c r="M130" t="e">
        <f>VLOOKUP(A1,Data!$A$1:$DZU$1000000,2207,FALSE)</f>
        <v>#N/A</v>
      </c>
      <c r="N130" t="e">
        <f>VLOOKUP(A1,Data!$A$1:$DZU$1000000,2208,FALSE)</f>
        <v>#N/A</v>
      </c>
      <c r="O130" t="e">
        <f>VLOOKUP(A1,Data!$A$1:$DZU$1000000,2209,FALSE)</f>
        <v>#N/A</v>
      </c>
      <c r="P130" t="e">
        <f>VLOOKUP(A1,Data!$A$1:$DZU$1000000,2210,FALSE)</f>
        <v>#N/A</v>
      </c>
      <c r="Q130" s="5" t="e">
        <f>VLOOKUP(A1,Data!$A$1:$DZU$1000000,2211,FALSE)</f>
        <v>#N/A</v>
      </c>
    </row>
    <row r="131" spans="1:17" x14ac:dyDescent="0.35">
      <c r="A131" s="54" t="e">
        <f>VLOOKUP(A1,Data!$A$1:$DZU$1000000,2212,FALSE)</f>
        <v>#N/A</v>
      </c>
      <c r="B131" t="e">
        <f>VLOOKUP(A1,Data!$A$1:$DZU$1000000,2213,FALSE)</f>
        <v>#N/A</v>
      </c>
      <c r="C131" t="e">
        <f>VLOOKUP(A1,Data!$A$1:$DZU$1000000,2214,FALSE)</f>
        <v>#N/A</v>
      </c>
      <c r="D131" t="e">
        <f>VLOOKUP(A1,Data!$A$1:$DZU$1000000,2215,FALSE)</f>
        <v>#N/A</v>
      </c>
      <c r="E131" t="e">
        <f>VLOOKUP(A1,Data!$A$1:$DZU$1000000,2216,FALSE)</f>
        <v>#N/A</v>
      </c>
      <c r="F131" t="e">
        <f>VLOOKUP(A1,Data!$A$1:$DZU$1000000,2217,FALSE)</f>
        <v>#N/A</v>
      </c>
      <c r="G131" t="e">
        <f>VLOOKUP(A1,Data!$A$1:$DZU$1000000,2218,FALSE)</f>
        <v>#N/A</v>
      </c>
      <c r="H131" t="e">
        <f>VLOOKUP(A1,Data!$A$1:$DZU$1000000,2219,FALSE)</f>
        <v>#N/A</v>
      </c>
      <c r="I131" t="e">
        <f>VLOOKUP(A1,Data!$A$1:$DZU$1000000,2220,FALSE)</f>
        <v>#N/A</v>
      </c>
      <c r="J131" t="e">
        <f>VLOOKUP(A1,Data!$A$1:$DZU$1000000,2221,FALSE)</f>
        <v>#N/A</v>
      </c>
      <c r="K131" t="e">
        <f>VLOOKUP(A1,Data!$A$1:$DZU$1000000,2222,FALSE)</f>
        <v>#N/A</v>
      </c>
      <c r="L131" t="e">
        <f>VLOOKUP(A1,Data!$A$1:$DZU$1000000,2223,FALSE)</f>
        <v>#N/A</v>
      </c>
      <c r="M131" t="e">
        <f>VLOOKUP(A1,Data!$A$1:$DZU$1000000,2224,FALSE)</f>
        <v>#N/A</v>
      </c>
      <c r="N131" t="e">
        <f>VLOOKUP(A1,Data!$A$1:$DZU$1000000,2225,FALSE)</f>
        <v>#N/A</v>
      </c>
      <c r="O131" t="e">
        <f>VLOOKUP(A1,Data!$A$1:$DZU$1000000,2226,FALSE)</f>
        <v>#N/A</v>
      </c>
      <c r="P131" t="e">
        <f>VLOOKUP(A1,Data!$A$1:$DZU$1000000,2227,FALSE)</f>
        <v>#N/A</v>
      </c>
      <c r="Q131" s="5" t="e">
        <f>VLOOKUP(A1,Data!$A$1:$DZU$1000000,2228,FALSE)</f>
        <v>#N/A</v>
      </c>
    </row>
    <row r="132" spans="1:17" x14ac:dyDescent="0.35">
      <c r="A132" s="54" t="e">
        <f>VLOOKUP(A1,Data!$A$1:$DZU$1000000,2229,FALSE)</f>
        <v>#N/A</v>
      </c>
      <c r="B132" t="e">
        <f>VLOOKUP(A1,Data!$A$1:$DZU$1000000,2230,FALSE)</f>
        <v>#N/A</v>
      </c>
      <c r="C132" t="e">
        <f>VLOOKUP(A1,Data!$A$1:$DZU$1000000,2231,FALSE)</f>
        <v>#N/A</v>
      </c>
      <c r="D132" t="e">
        <f>VLOOKUP(A1,Data!$A$1:$DZU$1000000,2232,FALSE)</f>
        <v>#N/A</v>
      </c>
      <c r="E132" t="e">
        <f>VLOOKUP(A1,Data!$A$1:$DZU$1000000,2233,FALSE)</f>
        <v>#N/A</v>
      </c>
      <c r="F132" t="e">
        <f>VLOOKUP(A1,Data!$A$1:$DZU$1000000,2234,FALSE)</f>
        <v>#N/A</v>
      </c>
      <c r="G132" t="e">
        <f>VLOOKUP(A1,Data!$A$1:$DZU$1000000,2235,FALSE)</f>
        <v>#N/A</v>
      </c>
      <c r="H132" t="e">
        <f>VLOOKUP(A1,Data!$A$1:$DZU$1000000,2236,FALSE)</f>
        <v>#N/A</v>
      </c>
      <c r="I132" t="e">
        <f>VLOOKUP(A1,Data!$A$1:$DZU$1000000,2237,FALSE)</f>
        <v>#N/A</v>
      </c>
      <c r="J132" t="e">
        <f>VLOOKUP(A1,Data!$A$1:$DZU$1000000,2238,FALSE)</f>
        <v>#N/A</v>
      </c>
      <c r="K132" t="e">
        <f>VLOOKUP(A1,Data!$A$1:$DZU$1000000,2239,FALSE)</f>
        <v>#N/A</v>
      </c>
      <c r="L132" t="e">
        <f>VLOOKUP(A1,Data!$A$1:$DZU$1000000,2240,FALSE)</f>
        <v>#N/A</v>
      </c>
      <c r="M132" t="e">
        <f>VLOOKUP(A1,Data!$A$1:$DZU$1000000,2241,FALSE)</f>
        <v>#N/A</v>
      </c>
      <c r="N132" t="e">
        <f>VLOOKUP(A1,Data!$A$1:$DZU$1000000,2242,FALSE)</f>
        <v>#N/A</v>
      </c>
      <c r="O132" t="e">
        <f>VLOOKUP(A1,Data!$A$1:$DZU$1000000,2243,FALSE)</f>
        <v>#N/A</v>
      </c>
      <c r="P132" t="e">
        <f>VLOOKUP(A1,Data!$A$1:$DZU$1000000,2244,FALSE)</f>
        <v>#N/A</v>
      </c>
      <c r="Q132" s="5" t="e">
        <f>VLOOKUP(A1,Data!$A$1:$DZU$1000000,2245,FALSE)</f>
        <v>#N/A</v>
      </c>
    </row>
    <row r="133" spans="1:17" x14ac:dyDescent="0.35">
      <c r="A133" s="54" t="e">
        <f>VLOOKUP(A1,Data!$A$1:$DZU$1000000,2246,FALSE)</f>
        <v>#N/A</v>
      </c>
      <c r="B133" t="e">
        <f>VLOOKUP(A1,Data!$A$1:$DZU$1000000,2247,FALSE)</f>
        <v>#N/A</v>
      </c>
      <c r="C133" t="e">
        <f>VLOOKUP(A1,Data!$A$1:$DZU$1000000,2248,FALSE)</f>
        <v>#N/A</v>
      </c>
      <c r="D133" t="e">
        <f>VLOOKUP(A1,Data!$A$1:$DZU$1000000,2249,FALSE)</f>
        <v>#N/A</v>
      </c>
      <c r="E133" t="e">
        <f>VLOOKUP(A1,Data!$A$1:$DZU$1000000,2250,FALSE)</f>
        <v>#N/A</v>
      </c>
      <c r="F133" t="e">
        <f>VLOOKUP(A1,Data!$A$1:$DZU$1000000,2251,FALSE)</f>
        <v>#N/A</v>
      </c>
      <c r="G133" t="e">
        <f>VLOOKUP(A1,Data!$A$1:$DZU$1000000,2252,FALSE)</f>
        <v>#N/A</v>
      </c>
      <c r="H133" t="e">
        <f>VLOOKUP(A1,Data!$A$1:$DZU$1000000,2253,FALSE)</f>
        <v>#N/A</v>
      </c>
      <c r="I133" t="e">
        <f>VLOOKUP(A1,Data!$A$1:$DZU$1000000,2254,FALSE)</f>
        <v>#N/A</v>
      </c>
      <c r="J133" t="e">
        <f>VLOOKUP(A1,Data!$A$1:$DZU$1000000,2255,FALSE)</f>
        <v>#N/A</v>
      </c>
      <c r="K133" t="e">
        <f>VLOOKUP(A1,Data!$A$1:$DZU$1000000,2256,FALSE)</f>
        <v>#N/A</v>
      </c>
      <c r="L133" t="e">
        <f>VLOOKUP(A1,Data!$A$1:$DZU$1000000,2257,FALSE)</f>
        <v>#N/A</v>
      </c>
      <c r="M133" t="e">
        <f>VLOOKUP(A1,Data!$A$1:$DZU$1000000,2258,FALSE)</f>
        <v>#N/A</v>
      </c>
      <c r="N133" t="e">
        <f>VLOOKUP(A1,Data!$A$1:$DZU$1000000,2259,FALSE)</f>
        <v>#N/A</v>
      </c>
      <c r="O133" t="e">
        <f>VLOOKUP(A1,Data!$A$1:$DZU$1000000,2260,FALSE)</f>
        <v>#N/A</v>
      </c>
      <c r="P133" t="e">
        <f>VLOOKUP(A1,Data!$A$1:$DZU$1000000,2261,FALSE)</f>
        <v>#N/A</v>
      </c>
      <c r="Q133" s="5" t="e">
        <f>VLOOKUP(A1,Data!$A$1:$DZU$1000000,2262,FALSE)</f>
        <v>#N/A</v>
      </c>
    </row>
    <row r="134" spans="1:17" x14ac:dyDescent="0.35">
      <c r="A134" s="54" t="e">
        <f>VLOOKUP(A1,Data!$A$1:$DZU$1000000,2263,FALSE)</f>
        <v>#N/A</v>
      </c>
      <c r="B134" t="e">
        <f>VLOOKUP(A1,Data!$A$1:$DZU$1000000,2264,FALSE)</f>
        <v>#N/A</v>
      </c>
      <c r="C134" t="e">
        <f>VLOOKUP(A1,Data!$A$1:$DZU$1000000,2265,FALSE)</f>
        <v>#N/A</v>
      </c>
      <c r="D134" t="e">
        <f>VLOOKUP(A1,Data!$A$1:$DZU$1000000,2266,FALSE)</f>
        <v>#N/A</v>
      </c>
      <c r="E134" t="e">
        <f>VLOOKUP(A1,Data!$A$1:$DZU$1000000,2267,FALSE)</f>
        <v>#N/A</v>
      </c>
      <c r="F134" t="e">
        <f>VLOOKUP(A1,Data!$A$1:$DZU$1000000,2268,FALSE)</f>
        <v>#N/A</v>
      </c>
      <c r="G134" t="e">
        <f>VLOOKUP(A1,Data!$A$1:$DZU$1000000,2269,FALSE)</f>
        <v>#N/A</v>
      </c>
      <c r="H134" t="e">
        <f>VLOOKUP(A1,Data!$A$1:$DZU$1000000,2270,FALSE)</f>
        <v>#N/A</v>
      </c>
      <c r="I134" t="e">
        <f>VLOOKUP(A1,Data!$A$1:$DZU$1000000,2271,FALSE)</f>
        <v>#N/A</v>
      </c>
      <c r="J134" t="e">
        <f>VLOOKUP(A1,Data!$A$1:$DZU$1000000,2272,FALSE)</f>
        <v>#N/A</v>
      </c>
      <c r="K134" t="e">
        <f>VLOOKUP(A1,Data!$A$1:$DZU$1000000,2273,FALSE)</f>
        <v>#N/A</v>
      </c>
      <c r="L134" t="e">
        <f>VLOOKUP(A1,Data!$A$1:$DZU$1000000,2274,FALSE)</f>
        <v>#N/A</v>
      </c>
      <c r="M134" t="e">
        <f>VLOOKUP(A1,Data!$A$1:$DZU$1000000,2275,FALSE)</f>
        <v>#N/A</v>
      </c>
      <c r="N134" t="e">
        <f>VLOOKUP(A1,Data!$A$1:$DZU$1000000,2276,FALSE)</f>
        <v>#N/A</v>
      </c>
      <c r="O134" t="e">
        <f>VLOOKUP(A1,Data!$A$1:$DZU$1000000,2277,FALSE)</f>
        <v>#N/A</v>
      </c>
      <c r="P134" t="e">
        <f>VLOOKUP(A1,Data!$A$1:$DZU$1000000,2278,FALSE)</f>
        <v>#N/A</v>
      </c>
      <c r="Q134" s="5" t="e">
        <f>VLOOKUP(A1,Data!$A$1:$DZU$1000000,2279,FALSE)</f>
        <v>#N/A</v>
      </c>
    </row>
    <row r="135" spans="1:17" x14ac:dyDescent="0.35">
      <c r="A135" s="54" t="e">
        <f>VLOOKUP(A1,Data!$A$1:$DZU$1000000,2280,FALSE)</f>
        <v>#N/A</v>
      </c>
      <c r="B135" t="e">
        <f>VLOOKUP(A1,Data!$A$1:$DZU$1000000,2281,FALSE)</f>
        <v>#N/A</v>
      </c>
      <c r="C135" t="e">
        <f>VLOOKUP(A1,Data!$A$1:$DZU$1000000,2282,FALSE)</f>
        <v>#N/A</v>
      </c>
      <c r="D135" t="e">
        <f>VLOOKUP(A1,Data!$A$1:$DZU$1000000,2283,FALSE)</f>
        <v>#N/A</v>
      </c>
      <c r="E135" t="e">
        <f>VLOOKUP(A1,Data!$A$1:$DZU$1000000,2284,FALSE)</f>
        <v>#N/A</v>
      </c>
      <c r="F135" t="e">
        <f>VLOOKUP(A1,Data!$A$1:$DZU$1000000,2285,FALSE)</f>
        <v>#N/A</v>
      </c>
      <c r="G135" t="e">
        <f>VLOOKUP(A1,Data!$A$1:$DZU$1000000,2286,FALSE)</f>
        <v>#N/A</v>
      </c>
      <c r="H135" t="e">
        <f>VLOOKUP(A1,Data!$A$1:$DZU$1000000,2287,FALSE)</f>
        <v>#N/A</v>
      </c>
      <c r="I135" t="e">
        <f>VLOOKUP(A1,Data!$A$1:$DZU$1000000,2288,FALSE)</f>
        <v>#N/A</v>
      </c>
      <c r="J135" t="e">
        <f>VLOOKUP(A1,Data!$A$1:$DZU$1000000,2289,FALSE)</f>
        <v>#N/A</v>
      </c>
      <c r="K135" t="e">
        <f>VLOOKUP(A1,Data!$A$1:$DZU$1000000,2290,FALSE)</f>
        <v>#N/A</v>
      </c>
      <c r="L135" t="e">
        <f>VLOOKUP(A1,Data!$A$1:$DZU$1000000,2291,FALSE)</f>
        <v>#N/A</v>
      </c>
      <c r="M135" t="e">
        <f>VLOOKUP(A1,Data!$A$1:$DZU$1000000,2292,FALSE)</f>
        <v>#N/A</v>
      </c>
      <c r="N135" t="e">
        <f>VLOOKUP(A1,Data!$A$1:$DZU$1000000,2293,FALSE)</f>
        <v>#N/A</v>
      </c>
      <c r="O135" t="e">
        <f>VLOOKUP(A1,Data!$A$1:$DZU$1000000,2294,FALSE)</f>
        <v>#N/A</v>
      </c>
      <c r="P135" t="e">
        <f>VLOOKUP(A1,Data!$A$1:$DZU$1000000,2295,FALSE)</f>
        <v>#N/A</v>
      </c>
      <c r="Q135" s="5" t="e">
        <f>VLOOKUP(A1,Data!$A$1:$DZU$1000000,2296,FALSE)</f>
        <v>#N/A</v>
      </c>
    </row>
    <row r="136" spans="1:17" x14ac:dyDescent="0.35">
      <c r="A136" s="54" t="e">
        <f>VLOOKUP(A1,Data!$A$1:$DZU$1000000,2297,FALSE)</f>
        <v>#N/A</v>
      </c>
      <c r="B136" t="e">
        <f>VLOOKUP(A1,Data!$A$1:$DZU$1000000,2298,FALSE)</f>
        <v>#N/A</v>
      </c>
      <c r="C136" t="e">
        <f>VLOOKUP(A1,Data!$A$1:$DZU$1000000,2299,FALSE)</f>
        <v>#N/A</v>
      </c>
      <c r="D136" t="e">
        <f>VLOOKUP(A1,Data!$A$1:$DZU$1000000,2300,FALSE)</f>
        <v>#N/A</v>
      </c>
      <c r="E136" t="e">
        <f>VLOOKUP(A1,Data!$A$1:$DZU$1000000,2301,FALSE)</f>
        <v>#N/A</v>
      </c>
      <c r="F136" t="e">
        <f>VLOOKUP(A1,Data!$A$1:$DZU$1000000,2302,FALSE)</f>
        <v>#N/A</v>
      </c>
      <c r="G136" t="e">
        <f>VLOOKUP(A1,Data!$A$1:$DZU$1000000,2303,FALSE)</f>
        <v>#N/A</v>
      </c>
      <c r="H136" t="e">
        <f>VLOOKUP(A1,Data!$A$1:$DZU$1000000,2304,FALSE)</f>
        <v>#N/A</v>
      </c>
      <c r="I136" t="e">
        <f>VLOOKUP(A1,Data!$A$1:$DZU$1000000,2305,FALSE)</f>
        <v>#N/A</v>
      </c>
      <c r="J136" t="e">
        <f>VLOOKUP(A1,Data!$A$1:$DZU$1000000,2306,FALSE)</f>
        <v>#N/A</v>
      </c>
      <c r="K136" t="e">
        <f>VLOOKUP(A1,Data!$A$1:$DZU$1000000,2307,FALSE)</f>
        <v>#N/A</v>
      </c>
      <c r="L136" t="e">
        <f>VLOOKUP(A1,Data!$A$1:$DZU$1000000,2308,FALSE)</f>
        <v>#N/A</v>
      </c>
      <c r="M136" t="e">
        <f>VLOOKUP(A1,Data!$A$1:$DZU$1000000,2309,FALSE)</f>
        <v>#N/A</v>
      </c>
      <c r="N136" t="e">
        <f>VLOOKUP(A1,Data!$A$1:$DZU$1000000,2310,FALSE)</f>
        <v>#N/A</v>
      </c>
      <c r="O136" t="e">
        <f>VLOOKUP(A1,Data!$A$1:$DZU$1000000,2311,FALSE)</f>
        <v>#N/A</v>
      </c>
      <c r="P136" t="e">
        <f>VLOOKUP(A1,Data!$A$1:$DZU$1000000,2312,FALSE)</f>
        <v>#N/A</v>
      </c>
      <c r="Q136" s="5" t="e">
        <f>VLOOKUP(A1,Data!$A$1:$DZU$1000000,2313,FALSE)</f>
        <v>#N/A</v>
      </c>
    </row>
    <row r="137" spans="1:17" x14ac:dyDescent="0.35">
      <c r="A137" s="54" t="e">
        <f>VLOOKUP(A1,Data!$A$1:$DZU$1000000,2314,FALSE)</f>
        <v>#N/A</v>
      </c>
      <c r="B137" t="e">
        <f>VLOOKUP(A1,Data!$A$1:$DZU$1000000,2315,FALSE)</f>
        <v>#N/A</v>
      </c>
      <c r="C137" t="e">
        <f>VLOOKUP(A1,Data!$A$1:$DZU$1000000,2316,FALSE)</f>
        <v>#N/A</v>
      </c>
      <c r="D137" t="e">
        <f>VLOOKUP(A1,Data!$A$1:$DZU$1000000,2317,FALSE)</f>
        <v>#N/A</v>
      </c>
      <c r="E137" t="e">
        <f>VLOOKUP(A1,Data!$A$1:$DZU$1000000,2318,FALSE)</f>
        <v>#N/A</v>
      </c>
      <c r="F137" t="e">
        <f>VLOOKUP(A1,Data!$A$1:$DZU$1000000,2319,FALSE)</f>
        <v>#N/A</v>
      </c>
      <c r="G137" t="e">
        <f>VLOOKUP(A1,Data!$A$1:$DZU$1000000,2320,FALSE)</f>
        <v>#N/A</v>
      </c>
      <c r="H137" t="e">
        <f>VLOOKUP(A1,Data!$A$1:$DZU$1000000,2321,FALSE)</f>
        <v>#N/A</v>
      </c>
      <c r="I137" t="e">
        <f>VLOOKUP(A1,Data!$A$1:$DZU$1000000,2322,FALSE)</f>
        <v>#N/A</v>
      </c>
      <c r="J137" t="e">
        <f>VLOOKUP(A1,Data!$A$1:$DZU$1000000,2323,FALSE)</f>
        <v>#N/A</v>
      </c>
      <c r="K137" t="e">
        <f>VLOOKUP(A1,Data!$A$1:$DZU$1000000,2324,FALSE)</f>
        <v>#N/A</v>
      </c>
      <c r="L137" t="e">
        <f>VLOOKUP(A1,Data!$A$1:$DZU$1000000,2325,FALSE)</f>
        <v>#N/A</v>
      </c>
      <c r="M137" t="e">
        <f>VLOOKUP(A1,Data!$A$1:$DZU$1000000,2326,FALSE)</f>
        <v>#N/A</v>
      </c>
      <c r="N137" t="e">
        <f>VLOOKUP(A1,Data!$A$1:$DZU$1000000,2327,FALSE)</f>
        <v>#N/A</v>
      </c>
      <c r="O137" t="e">
        <f>VLOOKUP(A1,Data!$A$1:$DZU$1000000,2328,FALSE)</f>
        <v>#N/A</v>
      </c>
      <c r="P137" t="e">
        <f>VLOOKUP(A1,Data!$A$1:$DZU$1000000,2329,FALSE)</f>
        <v>#N/A</v>
      </c>
      <c r="Q137" s="5" t="e">
        <f>VLOOKUP(A1,Data!$A$1:$DZU$1000000,2330,FALSE)</f>
        <v>#N/A</v>
      </c>
    </row>
    <row r="138" spans="1:17" x14ac:dyDescent="0.35">
      <c r="A138" s="54" t="e">
        <f>VLOOKUP(A1,Data!$A$1:$DZU$1000000,2331,FALSE)</f>
        <v>#N/A</v>
      </c>
      <c r="B138" t="e">
        <f>VLOOKUP(A1,Data!$A$1:$DZU$1000000,2332,FALSE)</f>
        <v>#N/A</v>
      </c>
      <c r="C138" t="e">
        <f>VLOOKUP(A1,Data!$A$1:$DZU$1000000,2333,FALSE)</f>
        <v>#N/A</v>
      </c>
      <c r="D138" t="e">
        <f>VLOOKUP(A1,Data!$A$1:$DZU$1000000,2334,FALSE)</f>
        <v>#N/A</v>
      </c>
      <c r="E138" t="e">
        <f>VLOOKUP(A1,Data!$A$1:$DZU$1000000,2335,FALSE)</f>
        <v>#N/A</v>
      </c>
      <c r="F138" t="e">
        <f>VLOOKUP(A1,Data!$A$1:$DZU$1000000,2336,FALSE)</f>
        <v>#N/A</v>
      </c>
      <c r="G138" t="e">
        <f>VLOOKUP(A1,Data!$A$1:$DZU$1000000,2337,FALSE)</f>
        <v>#N/A</v>
      </c>
      <c r="H138" t="e">
        <f>VLOOKUP(A1,Data!$A$1:$DZU$1000000,2338,FALSE)</f>
        <v>#N/A</v>
      </c>
      <c r="I138" t="e">
        <f>VLOOKUP(A1,Data!$A$1:$DZU$1000000,2339,FALSE)</f>
        <v>#N/A</v>
      </c>
      <c r="J138" t="e">
        <f>VLOOKUP(A1,Data!$A$1:$DZU$1000000,2340,FALSE)</f>
        <v>#N/A</v>
      </c>
      <c r="K138" t="e">
        <f>VLOOKUP(A1,Data!$A$1:$DZU$1000000,2341,FALSE)</f>
        <v>#N/A</v>
      </c>
      <c r="L138" t="e">
        <f>VLOOKUP(A1,Data!$A$1:$DZU$1000000,2342,FALSE)</f>
        <v>#N/A</v>
      </c>
      <c r="M138" t="e">
        <f>VLOOKUP(A1,Data!$A$1:$DZU$1000000,2343,FALSE)</f>
        <v>#N/A</v>
      </c>
      <c r="N138" t="e">
        <f>VLOOKUP(A1,Data!$A$1:$DZU$1000000,2344,FALSE)</f>
        <v>#N/A</v>
      </c>
      <c r="O138" t="e">
        <f>VLOOKUP(A1,Data!$A$1:$DZU$1000000,2345,FALSE)</f>
        <v>#N/A</v>
      </c>
      <c r="P138" t="e">
        <f>VLOOKUP(A1,Data!$A$1:$DZU$1000000,2346,FALSE)</f>
        <v>#N/A</v>
      </c>
      <c r="Q138" s="5" t="e">
        <f>VLOOKUP(A1,Data!$A$1:$DZU$1000000,2347,FALSE)</f>
        <v>#N/A</v>
      </c>
    </row>
    <row r="139" spans="1:17" x14ac:dyDescent="0.35">
      <c r="A139" s="54" t="e">
        <f>VLOOKUP(A1,Data!$A$1:$DZU$1000000,2348,FALSE)</f>
        <v>#N/A</v>
      </c>
      <c r="B139" t="e">
        <f>VLOOKUP(A1,Data!$A$1:$DZU$1000000,2349,FALSE)</f>
        <v>#N/A</v>
      </c>
      <c r="C139" t="e">
        <f>VLOOKUP(A1,Data!$A$1:$DZU$1000000,2350,FALSE)</f>
        <v>#N/A</v>
      </c>
      <c r="D139" t="e">
        <f>VLOOKUP(A1,Data!$A$1:$DZU$1000000,2351,FALSE)</f>
        <v>#N/A</v>
      </c>
      <c r="E139" t="e">
        <f>VLOOKUP(A1,Data!$A$1:$DZU$1000000,2352,FALSE)</f>
        <v>#N/A</v>
      </c>
      <c r="F139" t="e">
        <f>VLOOKUP(A1,Data!$A$1:$DZU$1000000,2353,FALSE)</f>
        <v>#N/A</v>
      </c>
      <c r="G139" t="e">
        <f>VLOOKUP(A1,Data!$A$1:$DZU$1000000,2354,FALSE)</f>
        <v>#N/A</v>
      </c>
      <c r="H139" t="e">
        <f>VLOOKUP(A1,Data!$A$1:$DZU$1000000,2355,FALSE)</f>
        <v>#N/A</v>
      </c>
      <c r="I139" t="e">
        <f>VLOOKUP(A1,Data!$A$1:$DZU$1000000,2356,FALSE)</f>
        <v>#N/A</v>
      </c>
      <c r="J139" t="e">
        <f>VLOOKUP(A1,Data!$A$1:$DZU$1000000,2357,FALSE)</f>
        <v>#N/A</v>
      </c>
      <c r="K139" t="e">
        <f>VLOOKUP(A1,Data!$A$1:$DZU$1000000,2358,FALSE)</f>
        <v>#N/A</v>
      </c>
      <c r="L139" t="e">
        <f>VLOOKUP(A1,Data!$A$1:$DZU$1000000,2359,FALSE)</f>
        <v>#N/A</v>
      </c>
      <c r="M139" t="e">
        <f>VLOOKUP(A1,Data!$A$1:$DZU$1000000,2360,FALSE)</f>
        <v>#N/A</v>
      </c>
      <c r="N139" t="e">
        <f>VLOOKUP(A1,Data!$A$1:$DZU$1000000,2361,FALSE)</f>
        <v>#N/A</v>
      </c>
      <c r="O139" t="e">
        <f>VLOOKUP(A1,Data!$A$1:$DZU$1000000,2362,FALSE)</f>
        <v>#N/A</v>
      </c>
      <c r="P139" t="e">
        <f>VLOOKUP(A1,Data!$A$1:$DZU$1000000,2363,FALSE)</f>
        <v>#N/A</v>
      </c>
      <c r="Q139" s="5" t="e">
        <f>VLOOKUP(A1,Data!$A$1:$DZU$1000000,2364,FALSE)</f>
        <v>#N/A</v>
      </c>
    </row>
    <row r="140" spans="1:17" x14ac:dyDescent="0.35">
      <c r="A140" s="54" t="e">
        <f>VLOOKUP(A1,Data!$A$1:$DZU$1000000,2365,FALSE)</f>
        <v>#N/A</v>
      </c>
      <c r="B140" t="e">
        <f>VLOOKUP(A1,Data!$A$1:$DZU$1000000,2366,FALSE)</f>
        <v>#N/A</v>
      </c>
      <c r="C140" t="e">
        <f>VLOOKUP(A1,Data!$A$1:$DZU$1000000,2367,FALSE)</f>
        <v>#N/A</v>
      </c>
      <c r="D140" t="e">
        <f>VLOOKUP(A1,Data!$A$1:$DZU$1000000,2368,FALSE)</f>
        <v>#N/A</v>
      </c>
      <c r="E140" t="e">
        <f>VLOOKUP(A1,Data!$A$1:$DZU$1000000,2369,FALSE)</f>
        <v>#N/A</v>
      </c>
      <c r="F140" t="e">
        <f>VLOOKUP(A1,Data!$A$1:$DZU$1000000,2370,FALSE)</f>
        <v>#N/A</v>
      </c>
      <c r="G140" t="e">
        <f>VLOOKUP(A1,Data!$A$1:$DZU$1000000,2371,FALSE)</f>
        <v>#N/A</v>
      </c>
      <c r="H140" t="e">
        <f>VLOOKUP(A1,Data!$A$1:$DZU$1000000,2372,FALSE)</f>
        <v>#N/A</v>
      </c>
      <c r="I140" t="e">
        <f>VLOOKUP(A1,Data!$A$1:$DZU$1000000,2373,FALSE)</f>
        <v>#N/A</v>
      </c>
      <c r="J140" t="e">
        <f>VLOOKUP(A1,Data!$A$1:$DZU$1000000,2374,FALSE)</f>
        <v>#N/A</v>
      </c>
      <c r="K140" t="e">
        <f>VLOOKUP(A1,Data!$A$1:$DZU$1000000,2375,FALSE)</f>
        <v>#N/A</v>
      </c>
      <c r="L140" t="e">
        <f>VLOOKUP(A1,Data!$A$1:$DZU$1000000,2376,FALSE)</f>
        <v>#N/A</v>
      </c>
      <c r="M140" t="e">
        <f>VLOOKUP(A1,Data!$A$1:$DZU$1000000,2377,FALSE)</f>
        <v>#N/A</v>
      </c>
      <c r="N140" t="e">
        <f>VLOOKUP(A1,Data!$A$1:$DZU$1000000,2378,FALSE)</f>
        <v>#N/A</v>
      </c>
      <c r="O140" t="e">
        <f>VLOOKUP(A1,Data!$A$1:$DZU$1000000,2379,FALSE)</f>
        <v>#N/A</v>
      </c>
      <c r="P140" t="e">
        <f>VLOOKUP(A1,Data!$A$1:$DZU$1000000,2380,FALSE)</f>
        <v>#N/A</v>
      </c>
      <c r="Q140" s="5" t="e">
        <f>VLOOKUP(A1,Data!$A$1:$DZU$1000000,2381,FALSE)</f>
        <v>#N/A</v>
      </c>
    </row>
    <row r="141" spans="1:17" x14ac:dyDescent="0.35">
      <c r="A141" s="54" t="e">
        <f>VLOOKUP(A1,Data!$A$1:$DZU$1000000,2382,FALSE)</f>
        <v>#N/A</v>
      </c>
      <c r="B141" t="e">
        <f>VLOOKUP(A1,Data!$A$1:$DZU$1000000,2383,FALSE)</f>
        <v>#N/A</v>
      </c>
      <c r="C141" t="e">
        <f>VLOOKUP(A1,Data!$A$1:$DZU$1000000,2384,FALSE)</f>
        <v>#N/A</v>
      </c>
      <c r="D141" t="e">
        <f>VLOOKUP(A1,Data!$A$1:$DZU$1000000,2385,FALSE)</f>
        <v>#N/A</v>
      </c>
      <c r="E141" t="e">
        <f>VLOOKUP(A1,Data!$A$1:$DZU$1000000,2386,FALSE)</f>
        <v>#N/A</v>
      </c>
      <c r="F141" t="e">
        <f>VLOOKUP(A1,Data!$A$1:$DZU$1000000,2387,FALSE)</f>
        <v>#N/A</v>
      </c>
      <c r="G141" t="e">
        <f>VLOOKUP(A1,Data!$A$1:$DZU$1000000,2388,FALSE)</f>
        <v>#N/A</v>
      </c>
      <c r="H141" t="e">
        <f>VLOOKUP(A1,Data!$A$1:$DZU$1000000,2389,FALSE)</f>
        <v>#N/A</v>
      </c>
      <c r="I141" t="e">
        <f>VLOOKUP(A1,Data!$A$1:$DZU$1000000,2390,FALSE)</f>
        <v>#N/A</v>
      </c>
      <c r="J141" t="e">
        <f>VLOOKUP(A1,Data!$A$1:$DZU$1000000,2391,FALSE)</f>
        <v>#N/A</v>
      </c>
      <c r="K141" t="e">
        <f>VLOOKUP(A1,Data!$A$1:$DZU$1000000,2392,FALSE)</f>
        <v>#N/A</v>
      </c>
      <c r="L141" t="e">
        <f>VLOOKUP(A1,Data!$A$1:$DZU$1000000,2393,FALSE)</f>
        <v>#N/A</v>
      </c>
      <c r="M141" t="e">
        <f>VLOOKUP(A1,Data!$A$1:$DZU$1000000,2394,FALSE)</f>
        <v>#N/A</v>
      </c>
      <c r="N141" t="e">
        <f>VLOOKUP(A1,Data!$A$1:$DZU$1000000,2395,FALSE)</f>
        <v>#N/A</v>
      </c>
      <c r="O141" t="e">
        <f>VLOOKUP(A1,Data!$A$1:$DZU$1000000,2396,FALSE)</f>
        <v>#N/A</v>
      </c>
      <c r="P141" t="e">
        <f>VLOOKUP(A1,Data!$A$1:$DZU$1000000,2397,FALSE)</f>
        <v>#N/A</v>
      </c>
      <c r="Q141" s="5" t="e">
        <f>VLOOKUP(A1,Data!$A$1:$DZU$1000000,2398,FALSE)</f>
        <v>#N/A</v>
      </c>
    </row>
    <row r="142" spans="1:17" x14ac:dyDescent="0.35">
      <c r="A142" s="54" t="e">
        <f>VLOOKUP(A1,Data!$A$1:$DZU$1000000,2399,FALSE)</f>
        <v>#N/A</v>
      </c>
      <c r="B142" t="e">
        <f>VLOOKUP(A1,Data!$A$1:$DZU$1000000,2400,FALSE)</f>
        <v>#N/A</v>
      </c>
      <c r="C142" t="e">
        <f>VLOOKUP(A1,Data!$A$1:$DZU$1000000,2401,FALSE)</f>
        <v>#N/A</v>
      </c>
      <c r="D142" t="e">
        <f>VLOOKUP(A1,Data!$A$1:$DZU$1000000,2402,FALSE)</f>
        <v>#N/A</v>
      </c>
      <c r="E142" t="e">
        <f>VLOOKUP(A1,Data!$A$1:$DZU$1000000,2403,FALSE)</f>
        <v>#N/A</v>
      </c>
      <c r="F142" t="e">
        <f>VLOOKUP(A1,Data!$A$1:$DZU$1000000,2404,FALSE)</f>
        <v>#N/A</v>
      </c>
      <c r="G142" t="e">
        <f>VLOOKUP(A1,Data!$A$1:$DZU$1000000,2405,FALSE)</f>
        <v>#N/A</v>
      </c>
      <c r="H142" t="e">
        <f>VLOOKUP(A1,Data!$A$1:$DZU$1000000,2406,FALSE)</f>
        <v>#N/A</v>
      </c>
      <c r="I142" t="e">
        <f>VLOOKUP(A1,Data!$A$1:$DZU$1000000,2407,FALSE)</f>
        <v>#N/A</v>
      </c>
      <c r="J142" t="e">
        <f>VLOOKUP(A1,Data!$A$1:$DZU$1000000,2408,FALSE)</f>
        <v>#N/A</v>
      </c>
      <c r="K142" t="e">
        <f>VLOOKUP(A1,Data!$A$1:$DZU$1000000,2409,FALSE)</f>
        <v>#N/A</v>
      </c>
      <c r="L142" t="e">
        <f>VLOOKUP(A1,Data!$A$1:$DZU$1000000,2410,FALSE)</f>
        <v>#N/A</v>
      </c>
      <c r="M142" t="e">
        <f>VLOOKUP(A1,Data!$A$1:$DZU$1000000,2411,FALSE)</f>
        <v>#N/A</v>
      </c>
      <c r="N142" t="e">
        <f>VLOOKUP(A1,Data!$A$1:$DZU$1000000,2412,FALSE)</f>
        <v>#N/A</v>
      </c>
      <c r="O142" t="e">
        <f>VLOOKUP(A1,Data!$A$1:$DZU$1000000,2413,FALSE)</f>
        <v>#N/A</v>
      </c>
      <c r="P142" t="e">
        <f>VLOOKUP(A1,Data!$A$1:$DZU$1000000,2414,FALSE)</f>
        <v>#N/A</v>
      </c>
      <c r="Q142" s="5" t="e">
        <f>VLOOKUP(A1,Data!$A$1:$DZU$1000000,2415,FALSE)</f>
        <v>#N/A</v>
      </c>
    </row>
    <row r="143" spans="1:17" x14ac:dyDescent="0.35">
      <c r="A143" s="54" t="e">
        <f>VLOOKUP(A1,Data!$A$1:$DZU$1000000,2416,FALSE)</f>
        <v>#N/A</v>
      </c>
      <c r="B143" t="e">
        <f>VLOOKUP(A1,Data!$A$1:$DZU$1000000,2417,FALSE)</f>
        <v>#N/A</v>
      </c>
      <c r="C143" t="e">
        <f>VLOOKUP(A1,Data!$A$1:$DZU$1000000,2418,FALSE)</f>
        <v>#N/A</v>
      </c>
      <c r="D143" t="e">
        <f>VLOOKUP(A1,Data!$A$1:$DZU$1000000,2419,FALSE)</f>
        <v>#N/A</v>
      </c>
      <c r="E143" t="e">
        <f>VLOOKUP(A1,Data!$A$1:$DZU$1000000,2420,FALSE)</f>
        <v>#N/A</v>
      </c>
      <c r="F143" t="e">
        <f>VLOOKUP(A1,Data!$A$1:$DZU$1000000,2421,FALSE)</f>
        <v>#N/A</v>
      </c>
      <c r="G143" t="e">
        <f>VLOOKUP(A1,Data!$A$1:$DZU$1000000,2422,FALSE)</f>
        <v>#N/A</v>
      </c>
      <c r="H143" t="e">
        <f>VLOOKUP(A1,Data!$A$1:$DZU$1000000,2423,FALSE)</f>
        <v>#N/A</v>
      </c>
      <c r="I143" t="e">
        <f>VLOOKUP(A1,Data!$A$1:$DZU$1000000,2424,FALSE)</f>
        <v>#N/A</v>
      </c>
      <c r="J143" t="e">
        <f>VLOOKUP(A1,Data!$A$1:$DZU$1000000,2425,FALSE)</f>
        <v>#N/A</v>
      </c>
      <c r="K143" t="e">
        <f>VLOOKUP(A1,Data!$A$1:$DZU$1000000,2426,FALSE)</f>
        <v>#N/A</v>
      </c>
      <c r="L143" t="e">
        <f>VLOOKUP(A1,Data!$A$1:$DZU$1000000,2427,FALSE)</f>
        <v>#N/A</v>
      </c>
      <c r="M143" t="e">
        <f>VLOOKUP(A1,Data!$A$1:$DZU$1000000,2428,FALSE)</f>
        <v>#N/A</v>
      </c>
      <c r="N143" t="e">
        <f>VLOOKUP(A1,Data!$A$1:$DZU$1000000,2429,FALSE)</f>
        <v>#N/A</v>
      </c>
      <c r="O143" t="e">
        <f>VLOOKUP(A1,Data!$A$1:$DZU$1000000,2430,FALSE)</f>
        <v>#N/A</v>
      </c>
      <c r="P143" t="e">
        <f>VLOOKUP(A1,Data!$A$1:$DZU$1000000,2431,FALSE)</f>
        <v>#N/A</v>
      </c>
      <c r="Q143" s="5" t="e">
        <f>VLOOKUP(A1,Data!$A$1:$DZU$1000000,2432,FALSE)</f>
        <v>#N/A</v>
      </c>
    </row>
    <row r="144" spans="1:17" x14ac:dyDescent="0.35">
      <c r="A144" s="54" t="e">
        <f>VLOOKUP(A1,Data!$A$1:$DZU$1000000,2433,FALSE)</f>
        <v>#N/A</v>
      </c>
      <c r="B144" t="e">
        <f>VLOOKUP(A1,Data!$A$1:$DZU$1000000,2434,FALSE)</f>
        <v>#N/A</v>
      </c>
      <c r="C144" t="e">
        <f>VLOOKUP(A1,Data!$A$1:$DZU$1000000,2435,FALSE)</f>
        <v>#N/A</v>
      </c>
      <c r="D144" t="e">
        <f>VLOOKUP(A1,Data!$A$1:$DZU$1000000,2436,FALSE)</f>
        <v>#N/A</v>
      </c>
      <c r="E144" t="e">
        <f>VLOOKUP(A1,Data!$A$1:$DZU$1000000,2437,FALSE)</f>
        <v>#N/A</v>
      </c>
      <c r="F144" t="e">
        <f>VLOOKUP(A1,Data!$A$1:$DZU$1000000,2438,FALSE)</f>
        <v>#N/A</v>
      </c>
      <c r="G144" t="e">
        <f>VLOOKUP(A1,Data!$A$1:$DZU$1000000,2439,FALSE)</f>
        <v>#N/A</v>
      </c>
      <c r="H144" t="e">
        <f>VLOOKUP(A1,Data!$A$1:$DZU$1000000,2440,FALSE)</f>
        <v>#N/A</v>
      </c>
      <c r="I144" t="e">
        <f>VLOOKUP(A1,Data!$A$1:$DZU$1000000,2441,FALSE)</f>
        <v>#N/A</v>
      </c>
      <c r="J144" t="e">
        <f>VLOOKUP(A1,Data!$A$1:$DZU$1000000,2442,FALSE)</f>
        <v>#N/A</v>
      </c>
      <c r="K144" t="e">
        <f>VLOOKUP(A1,Data!$A$1:$DZU$1000000,2443,FALSE)</f>
        <v>#N/A</v>
      </c>
      <c r="L144" t="e">
        <f>VLOOKUP(A1,Data!$A$1:$DZU$1000000,2444,FALSE)</f>
        <v>#N/A</v>
      </c>
      <c r="M144" t="e">
        <f>VLOOKUP(A1,Data!$A$1:$DZU$1000000,2445,FALSE)</f>
        <v>#N/A</v>
      </c>
      <c r="N144" t="e">
        <f>VLOOKUP(A1,Data!$A$1:$DZU$1000000,2446,FALSE)</f>
        <v>#N/A</v>
      </c>
      <c r="O144" t="e">
        <f>VLOOKUP(A1,Data!$A$1:$DZU$1000000,2447,FALSE)</f>
        <v>#N/A</v>
      </c>
      <c r="P144" t="e">
        <f>VLOOKUP(A1,Data!$A$1:$DZU$1000000,2448,FALSE)</f>
        <v>#N/A</v>
      </c>
      <c r="Q144" s="5" t="e">
        <f>VLOOKUP(A1,Data!$A$1:$DZU$1000000,2449,FALSE)</f>
        <v>#N/A</v>
      </c>
    </row>
    <row r="145" spans="1:17" x14ac:dyDescent="0.35">
      <c r="A145" s="54" t="e">
        <f>VLOOKUP(A1,Data!$A$1:$DZU$1000000,2450,FALSE)</f>
        <v>#N/A</v>
      </c>
      <c r="B145" t="e">
        <f>VLOOKUP(A1,Data!$A$1:$DZU$1000000,2451,FALSE)</f>
        <v>#N/A</v>
      </c>
      <c r="C145" t="e">
        <f>VLOOKUP(A1,Data!$A$1:$DZU$1000000,2452,FALSE)</f>
        <v>#N/A</v>
      </c>
      <c r="D145" t="e">
        <f>VLOOKUP(A1,Data!$A$1:$DZU$1000000,2453,FALSE)</f>
        <v>#N/A</v>
      </c>
      <c r="E145" t="e">
        <f>VLOOKUP(A1,Data!$A$1:$DZU$1000000,2454,FALSE)</f>
        <v>#N/A</v>
      </c>
      <c r="F145" t="e">
        <f>VLOOKUP(A1,Data!$A$1:$DZU$1000000,2455,FALSE)</f>
        <v>#N/A</v>
      </c>
      <c r="G145" t="e">
        <f>VLOOKUP(A1,Data!$A$1:$DZU$1000000,2456,FALSE)</f>
        <v>#N/A</v>
      </c>
      <c r="H145" t="e">
        <f>VLOOKUP(A1,Data!$A$1:$DZU$1000000,2457,FALSE)</f>
        <v>#N/A</v>
      </c>
      <c r="I145" t="e">
        <f>VLOOKUP(A1,Data!$A$1:$DZU$1000000,2458,FALSE)</f>
        <v>#N/A</v>
      </c>
      <c r="J145" t="e">
        <f>VLOOKUP(A1,Data!$A$1:$DZU$1000000,2459,FALSE)</f>
        <v>#N/A</v>
      </c>
      <c r="K145" t="e">
        <f>VLOOKUP(A1,Data!$A$1:$DZU$1000000,2460,FALSE)</f>
        <v>#N/A</v>
      </c>
      <c r="L145" t="e">
        <f>VLOOKUP(A1,Data!$A$1:$DZU$1000000,2461,FALSE)</f>
        <v>#N/A</v>
      </c>
      <c r="M145" t="e">
        <f>VLOOKUP(A1,Data!$A$1:$DZU$1000000,2462,FALSE)</f>
        <v>#N/A</v>
      </c>
      <c r="N145" t="e">
        <f>VLOOKUP(A1,Data!$A$1:$DZU$1000000,2463,FALSE)</f>
        <v>#N/A</v>
      </c>
      <c r="O145" t="e">
        <f>VLOOKUP(A1,Data!$A$1:$DZU$1000000,2464,FALSE)</f>
        <v>#N/A</v>
      </c>
      <c r="P145" t="e">
        <f>VLOOKUP(A1,Data!$A$1:$DZU$1000000,2465,FALSE)</f>
        <v>#N/A</v>
      </c>
      <c r="Q145" s="5" t="e">
        <f>VLOOKUP(A1,Data!$A$1:$DZU$1000000,2466,FALSE)</f>
        <v>#N/A</v>
      </c>
    </row>
    <row r="146" spans="1:17" x14ac:dyDescent="0.35">
      <c r="A146" s="54" t="e">
        <f>VLOOKUP(A1,Data!$A$1:$DZU$1000000,2467,FALSE)</f>
        <v>#N/A</v>
      </c>
      <c r="B146" t="e">
        <f>VLOOKUP(A1,Data!$A$1:$DZU$1000000,2468,FALSE)</f>
        <v>#N/A</v>
      </c>
      <c r="C146" t="e">
        <f>VLOOKUP(A1,Data!$A$1:$DZU$1000000,2469,FALSE)</f>
        <v>#N/A</v>
      </c>
      <c r="D146" t="e">
        <f>VLOOKUP(A1,Data!$A$1:$DZU$1000000,2470,FALSE)</f>
        <v>#N/A</v>
      </c>
      <c r="E146" t="e">
        <f>VLOOKUP(A1,Data!$A$1:$DZU$1000000,2471,FALSE)</f>
        <v>#N/A</v>
      </c>
      <c r="F146" t="e">
        <f>VLOOKUP(A1,Data!$A$1:$DZU$1000000,2472,FALSE)</f>
        <v>#N/A</v>
      </c>
      <c r="G146" t="e">
        <f>VLOOKUP(A1,Data!$A$1:$DZU$1000000,2473,FALSE)</f>
        <v>#N/A</v>
      </c>
      <c r="H146" t="e">
        <f>VLOOKUP(A1,Data!$A$1:$DZU$1000000,2474,FALSE)</f>
        <v>#N/A</v>
      </c>
      <c r="I146" t="e">
        <f>VLOOKUP(A1,Data!$A$1:$DZU$1000000,2475,FALSE)</f>
        <v>#N/A</v>
      </c>
      <c r="J146" t="e">
        <f>VLOOKUP(A1,Data!$A$1:$DZU$1000000,2476,FALSE)</f>
        <v>#N/A</v>
      </c>
      <c r="K146" t="e">
        <f>VLOOKUP(A1,Data!$A$1:$DZU$1000000,2477,FALSE)</f>
        <v>#N/A</v>
      </c>
      <c r="L146" t="e">
        <f>VLOOKUP(A1,Data!$A$1:$DZU$1000000,2478,FALSE)</f>
        <v>#N/A</v>
      </c>
      <c r="M146" t="e">
        <f>VLOOKUP(A1,Data!$A$1:$DZU$1000000,2479,FALSE)</f>
        <v>#N/A</v>
      </c>
      <c r="N146" t="e">
        <f>VLOOKUP(A1,Data!$A$1:$DZU$1000000,2480,FALSE)</f>
        <v>#N/A</v>
      </c>
      <c r="O146" t="e">
        <f>VLOOKUP(A1,Data!$A$1:$DZU$1000000,2481,FALSE)</f>
        <v>#N/A</v>
      </c>
      <c r="P146" t="e">
        <f>VLOOKUP(A1,Data!$A$1:$DZU$1000000,2482,FALSE)</f>
        <v>#N/A</v>
      </c>
      <c r="Q146" s="5" t="e">
        <f>VLOOKUP(A1,Data!$A$1:$DZU$1000000,2483,FALSE)</f>
        <v>#N/A</v>
      </c>
    </row>
    <row r="147" spans="1:17" x14ac:dyDescent="0.35">
      <c r="A147" s="54" t="e">
        <f>VLOOKUP(A1,Data!$A$1:$DZU$1000000,2484,FALSE)</f>
        <v>#N/A</v>
      </c>
      <c r="B147" t="e">
        <f>VLOOKUP(A1,Data!$A$1:$DZU$1000000,2485,FALSE)</f>
        <v>#N/A</v>
      </c>
      <c r="C147" t="e">
        <f>VLOOKUP(A1,Data!$A$1:$DZU$1000000,2486,FALSE)</f>
        <v>#N/A</v>
      </c>
      <c r="D147" t="e">
        <f>VLOOKUP(A1,Data!$A$1:$DZU$1000000,2487,FALSE)</f>
        <v>#N/A</v>
      </c>
      <c r="E147" t="e">
        <f>VLOOKUP(A1,Data!$A$1:$DZU$1000000,2488,FALSE)</f>
        <v>#N/A</v>
      </c>
      <c r="F147" t="e">
        <f>VLOOKUP(A1,Data!$A$1:$DZU$1000000,2489,FALSE)</f>
        <v>#N/A</v>
      </c>
      <c r="G147" t="e">
        <f>VLOOKUP(A1,Data!$A$1:$DZU$1000000,2490,FALSE)</f>
        <v>#N/A</v>
      </c>
      <c r="H147" t="e">
        <f>VLOOKUP(A1,Data!$A$1:$DZU$1000000,2491,FALSE)</f>
        <v>#N/A</v>
      </c>
      <c r="I147" t="e">
        <f>VLOOKUP(A1,Data!$A$1:$DZU$1000000,2492,FALSE)</f>
        <v>#N/A</v>
      </c>
      <c r="J147" t="e">
        <f>VLOOKUP(A1,Data!$A$1:$DZU$1000000,2493,FALSE)</f>
        <v>#N/A</v>
      </c>
      <c r="K147" t="e">
        <f>VLOOKUP(A1,Data!$A$1:$DZU$1000000,2494,FALSE)</f>
        <v>#N/A</v>
      </c>
      <c r="L147" t="e">
        <f>VLOOKUP(A1,Data!$A$1:$DZU$1000000,2495,FALSE)</f>
        <v>#N/A</v>
      </c>
      <c r="M147" t="e">
        <f>VLOOKUP(A1,Data!$A$1:$DZU$1000000,2496,FALSE)</f>
        <v>#N/A</v>
      </c>
      <c r="N147" t="e">
        <f>VLOOKUP(A1,Data!$A$1:$DZU$1000000,2497,FALSE)</f>
        <v>#N/A</v>
      </c>
      <c r="O147" t="e">
        <f>VLOOKUP(A1,Data!$A$1:$DZU$1000000,2498,FALSE)</f>
        <v>#N/A</v>
      </c>
      <c r="P147" t="e">
        <f>VLOOKUP(A1,Data!$A$1:$DZU$1000000,2499,FALSE)</f>
        <v>#N/A</v>
      </c>
      <c r="Q147" s="5" t="e">
        <f>VLOOKUP(A1,Data!$A$1:$DZU$1000000,2500,FALSE)</f>
        <v>#N/A</v>
      </c>
    </row>
    <row r="148" spans="1:17" x14ac:dyDescent="0.35">
      <c r="A148" s="54" t="e">
        <f>VLOOKUP(A1,Data!$A$1:$DZU$1000000,2501,FALSE)</f>
        <v>#N/A</v>
      </c>
      <c r="B148" t="e">
        <f>VLOOKUP(A1,Data!$A$1:$DZU$1000000,2502,FALSE)</f>
        <v>#N/A</v>
      </c>
      <c r="C148" t="e">
        <f>VLOOKUP(A1,Data!$A$1:$DZU$1000000,2503,FALSE)</f>
        <v>#N/A</v>
      </c>
      <c r="D148" t="e">
        <f>VLOOKUP(A1,Data!$A$1:$DZU$1000000,2504,FALSE)</f>
        <v>#N/A</v>
      </c>
      <c r="E148" t="e">
        <f>VLOOKUP(A1,Data!$A$1:$DZU$1000000,2505,FALSE)</f>
        <v>#N/A</v>
      </c>
      <c r="F148" t="e">
        <f>VLOOKUP(A1,Data!$A$1:$DZU$1000000,2506,FALSE)</f>
        <v>#N/A</v>
      </c>
      <c r="G148" t="e">
        <f>VLOOKUP(A1,Data!$A$1:$DZU$1000000,2507,FALSE)</f>
        <v>#N/A</v>
      </c>
      <c r="H148" t="e">
        <f>VLOOKUP(A1,Data!$A$1:$DZU$1000000,2508,FALSE)</f>
        <v>#N/A</v>
      </c>
      <c r="I148" t="e">
        <f>VLOOKUP(A1,Data!$A$1:$DZU$1000000,2509,FALSE)</f>
        <v>#N/A</v>
      </c>
      <c r="J148" t="e">
        <f>VLOOKUP(A1,Data!$A$1:$DZU$1000000,2510,FALSE)</f>
        <v>#N/A</v>
      </c>
      <c r="K148" t="e">
        <f>VLOOKUP(A1,Data!$A$1:$DZU$1000000,2511,FALSE)</f>
        <v>#N/A</v>
      </c>
      <c r="L148" t="e">
        <f>VLOOKUP(A1,Data!$A$1:$DZU$1000000,2512,FALSE)</f>
        <v>#N/A</v>
      </c>
      <c r="M148" t="e">
        <f>VLOOKUP(A1,Data!$A$1:$DZU$1000000,2513,FALSE)</f>
        <v>#N/A</v>
      </c>
      <c r="N148" t="e">
        <f>VLOOKUP(A1,Data!$A$1:$DZU$1000000,2514,FALSE)</f>
        <v>#N/A</v>
      </c>
      <c r="O148" t="e">
        <f>VLOOKUP(A1,Data!$A$1:$DZU$1000000,2515,FALSE)</f>
        <v>#N/A</v>
      </c>
      <c r="P148" t="e">
        <f>VLOOKUP(A1,Data!$A$1:$DZU$1000000,2516,FALSE)</f>
        <v>#N/A</v>
      </c>
      <c r="Q148" s="5" t="e">
        <f>VLOOKUP(A1,Data!$A$1:$DZU$1000000,2517,FALSE)</f>
        <v>#N/A</v>
      </c>
    </row>
    <row r="149" spans="1:17" x14ac:dyDescent="0.35">
      <c r="A149" s="54" t="e">
        <f>VLOOKUP(A1,Data!$A$1:$DZU$1000000,2518,FALSE)</f>
        <v>#N/A</v>
      </c>
      <c r="B149" t="e">
        <f>VLOOKUP(A1,Data!$A$1:$DZU$1000000,2519,FALSE)</f>
        <v>#N/A</v>
      </c>
      <c r="C149" t="e">
        <f>VLOOKUP(A1,Data!$A$1:$DZU$1000000,2520,FALSE)</f>
        <v>#N/A</v>
      </c>
      <c r="D149" t="e">
        <f>VLOOKUP(A1,Data!$A$1:$DZU$1000000,2521,FALSE)</f>
        <v>#N/A</v>
      </c>
      <c r="E149" t="e">
        <f>VLOOKUP(A1,Data!$A$1:$DZU$1000000,2522,FALSE)</f>
        <v>#N/A</v>
      </c>
      <c r="F149" t="e">
        <f>VLOOKUP(A1,Data!$A$1:$DZU$1000000,2523,FALSE)</f>
        <v>#N/A</v>
      </c>
      <c r="G149" t="e">
        <f>VLOOKUP(A1,Data!$A$1:$DZU$1000000,2524,FALSE)</f>
        <v>#N/A</v>
      </c>
      <c r="H149" t="e">
        <f>VLOOKUP(A1,Data!$A$1:$DZU$1000000,2525,FALSE)</f>
        <v>#N/A</v>
      </c>
      <c r="I149" t="e">
        <f>VLOOKUP(A1,Data!$A$1:$DZU$1000000,2526,FALSE)</f>
        <v>#N/A</v>
      </c>
      <c r="J149" t="e">
        <f>VLOOKUP(A1,Data!$A$1:$DZU$1000000,2527,FALSE)</f>
        <v>#N/A</v>
      </c>
      <c r="K149" t="e">
        <f>VLOOKUP(A1,Data!$A$1:$DZU$1000000,2528,FALSE)</f>
        <v>#N/A</v>
      </c>
      <c r="L149" t="e">
        <f>VLOOKUP(A1,Data!$A$1:$DZU$1000000,2529,FALSE)</f>
        <v>#N/A</v>
      </c>
      <c r="M149" t="e">
        <f>VLOOKUP(A1,Data!$A$1:$DZU$1000000,2530,FALSE)</f>
        <v>#N/A</v>
      </c>
      <c r="N149" t="e">
        <f>VLOOKUP(A1,Data!$A$1:$DZU$1000000,2531,FALSE)</f>
        <v>#N/A</v>
      </c>
      <c r="O149" t="e">
        <f>VLOOKUP(A1,Data!$A$1:$DZU$1000000,2532,FALSE)</f>
        <v>#N/A</v>
      </c>
      <c r="P149" t="e">
        <f>VLOOKUP(A1,Data!$A$1:$DZU$1000000,2533,FALSE)</f>
        <v>#N/A</v>
      </c>
      <c r="Q149" s="5" t="e">
        <f>VLOOKUP(A1,Data!$A$1:$DZU$1000000,2534,FALSE)</f>
        <v>#N/A</v>
      </c>
    </row>
    <row r="150" spans="1:17" x14ac:dyDescent="0.35">
      <c r="A150" s="54" t="e">
        <f>VLOOKUP(A1,Data!$A$1:$DZU$1000000,2535,FALSE)</f>
        <v>#N/A</v>
      </c>
      <c r="B150" t="e">
        <f>VLOOKUP(A1,Data!$A$1:$DZU$1000000,2536,FALSE)</f>
        <v>#N/A</v>
      </c>
      <c r="C150" t="e">
        <f>VLOOKUP(A1,Data!$A$1:$DZU$1000000,2537,FALSE)</f>
        <v>#N/A</v>
      </c>
      <c r="D150" t="e">
        <f>VLOOKUP(A1,Data!$A$1:$DZU$1000000,2538,FALSE)</f>
        <v>#N/A</v>
      </c>
      <c r="E150" t="e">
        <f>VLOOKUP(A1,Data!$A$1:$DZU$1000000,2539,FALSE)</f>
        <v>#N/A</v>
      </c>
      <c r="F150" t="e">
        <f>VLOOKUP(A1,Data!$A$1:$DZU$1000000,2540,FALSE)</f>
        <v>#N/A</v>
      </c>
      <c r="G150" t="e">
        <f>VLOOKUP(A1,Data!$A$1:$DZU$1000000,2541,FALSE)</f>
        <v>#N/A</v>
      </c>
      <c r="H150" t="e">
        <f>VLOOKUP(A1,Data!$A$1:$DZU$1000000,2542,FALSE)</f>
        <v>#N/A</v>
      </c>
      <c r="I150" t="e">
        <f>VLOOKUP(A1,Data!$A$1:$DZU$1000000,2543,FALSE)</f>
        <v>#N/A</v>
      </c>
      <c r="J150" t="e">
        <f>VLOOKUP(A1,Data!$A$1:$DZU$1000000,2544,FALSE)</f>
        <v>#N/A</v>
      </c>
      <c r="K150" t="e">
        <f>VLOOKUP(A1,Data!$A$1:$DZU$1000000,2545,FALSE)</f>
        <v>#N/A</v>
      </c>
      <c r="L150" t="e">
        <f>VLOOKUP(A1,Data!$A$1:$DZU$1000000,2546,FALSE)</f>
        <v>#N/A</v>
      </c>
      <c r="M150" t="e">
        <f>VLOOKUP(A1,Data!$A$1:$DZU$1000000,2547,FALSE)</f>
        <v>#N/A</v>
      </c>
      <c r="N150" t="e">
        <f>VLOOKUP(A1,Data!$A$1:$DZU$1000000,2548,FALSE)</f>
        <v>#N/A</v>
      </c>
      <c r="O150" t="e">
        <f>VLOOKUP(A1,Data!$A$1:$DZU$1000000,2549,FALSE)</f>
        <v>#N/A</v>
      </c>
      <c r="P150" t="e">
        <f>VLOOKUP(A1,Data!$A$1:$DZU$1000000,2550,FALSE)</f>
        <v>#N/A</v>
      </c>
      <c r="Q150" s="5" t="e">
        <f>VLOOKUP(A1,Data!$A$1:$DZU$1000000,2551,FALSE)</f>
        <v>#N/A</v>
      </c>
    </row>
    <row r="151" spans="1:17" x14ac:dyDescent="0.35">
      <c r="A151" s="54" t="e">
        <f>VLOOKUP(A1,Data!$A$1:$DZU$1000000,2552,FALSE)</f>
        <v>#N/A</v>
      </c>
      <c r="B151" t="e">
        <f>VLOOKUP(A1,Data!$A$1:$DZU$1000000,2553,FALSE)</f>
        <v>#N/A</v>
      </c>
      <c r="C151" t="e">
        <f>VLOOKUP(A1,Data!$A$1:$DZU$1000000,2554,FALSE)</f>
        <v>#N/A</v>
      </c>
      <c r="D151" t="e">
        <f>VLOOKUP(A1,Data!$A$1:$DZU$1000000,2555,FALSE)</f>
        <v>#N/A</v>
      </c>
      <c r="E151" t="e">
        <f>VLOOKUP(A1,Data!$A$1:$DZU$1000000,2556,FALSE)</f>
        <v>#N/A</v>
      </c>
      <c r="F151" t="e">
        <f>VLOOKUP(A1,Data!$A$1:$DZU$1000000,2557,FALSE)</f>
        <v>#N/A</v>
      </c>
      <c r="G151" t="e">
        <f>VLOOKUP(A1,Data!$A$1:$DZU$1000000,2558,FALSE)</f>
        <v>#N/A</v>
      </c>
      <c r="H151" t="e">
        <f>VLOOKUP(A1,Data!$A$1:$DZU$1000000,2559,FALSE)</f>
        <v>#N/A</v>
      </c>
      <c r="I151" t="e">
        <f>VLOOKUP(A1,Data!$A$1:$DZU$1000000,2560,FALSE)</f>
        <v>#N/A</v>
      </c>
      <c r="J151" t="e">
        <f>VLOOKUP(A1,Data!$A$1:$DZU$1000000,2561,FALSE)</f>
        <v>#N/A</v>
      </c>
      <c r="K151" t="e">
        <f>VLOOKUP(A1,Data!$A$1:$DZU$1000000,2562,FALSE)</f>
        <v>#N/A</v>
      </c>
      <c r="L151" t="e">
        <f>VLOOKUP(A1,Data!$A$1:$DZU$1000000,2563,FALSE)</f>
        <v>#N/A</v>
      </c>
      <c r="M151" t="e">
        <f>VLOOKUP(A1,Data!$A$1:$DZU$1000000,2564,FALSE)</f>
        <v>#N/A</v>
      </c>
      <c r="N151" t="e">
        <f>VLOOKUP(A1,Data!$A$1:$DZU$1000000,2565,FALSE)</f>
        <v>#N/A</v>
      </c>
      <c r="O151" t="e">
        <f>VLOOKUP(A1,Data!$A$1:$DZU$1000000,2566,FALSE)</f>
        <v>#N/A</v>
      </c>
      <c r="P151" t="e">
        <f>VLOOKUP(A1,Data!$A$1:$DZU$1000000,2567,FALSE)</f>
        <v>#N/A</v>
      </c>
      <c r="Q151" s="5" t="e">
        <f>VLOOKUP(A1,Data!$A$1:$DZU$1000000,2568,FALSE)</f>
        <v>#N/A</v>
      </c>
    </row>
    <row r="152" spans="1:17" x14ac:dyDescent="0.35">
      <c r="A152" s="54" t="e">
        <f>VLOOKUP(A1,Data!$A$1:$DZU$1000000,2569,FALSE)</f>
        <v>#N/A</v>
      </c>
      <c r="B152" t="e">
        <f>VLOOKUP(A1,Data!$A$1:$DZU$1000000,2570,FALSE)</f>
        <v>#N/A</v>
      </c>
      <c r="C152" t="e">
        <f>VLOOKUP(A1,Data!$A$1:$DZU$1000000,2571,FALSE)</f>
        <v>#N/A</v>
      </c>
      <c r="D152" t="e">
        <f>VLOOKUP(A1,Data!$A$1:$DZU$1000000,2572,FALSE)</f>
        <v>#N/A</v>
      </c>
      <c r="E152" t="e">
        <f>VLOOKUP(A1,Data!$A$1:$DZU$1000000,2573,FALSE)</f>
        <v>#N/A</v>
      </c>
      <c r="F152" t="e">
        <f>VLOOKUP(A1,Data!$A$1:$DZU$1000000,2574,FALSE)</f>
        <v>#N/A</v>
      </c>
      <c r="G152" t="e">
        <f>VLOOKUP(A1,Data!$A$1:$DZU$1000000,2575,FALSE)</f>
        <v>#N/A</v>
      </c>
      <c r="H152" t="e">
        <f>VLOOKUP(A1,Data!$A$1:$DZU$1000000,2576,FALSE)</f>
        <v>#N/A</v>
      </c>
      <c r="I152" t="e">
        <f>VLOOKUP(A1,Data!$A$1:$DZU$1000000,2577,FALSE)</f>
        <v>#N/A</v>
      </c>
      <c r="J152" t="e">
        <f>VLOOKUP(A1,Data!$A$1:$DZU$1000000,2578,FALSE)</f>
        <v>#N/A</v>
      </c>
      <c r="K152" t="e">
        <f>VLOOKUP(A1,Data!$A$1:$DZU$1000000,2579,FALSE)</f>
        <v>#N/A</v>
      </c>
      <c r="L152" t="e">
        <f>VLOOKUP(A1,Data!$A$1:$DZU$1000000,2580,FALSE)</f>
        <v>#N/A</v>
      </c>
      <c r="M152" t="e">
        <f>VLOOKUP(A1,Data!$A$1:$DZU$1000000,2581,FALSE)</f>
        <v>#N/A</v>
      </c>
      <c r="N152" t="e">
        <f>VLOOKUP(A1,Data!$A$1:$DZU$1000000,2582,FALSE)</f>
        <v>#N/A</v>
      </c>
      <c r="O152" t="e">
        <f>VLOOKUP(A1,Data!$A$1:$DZU$1000000,2583,FALSE)</f>
        <v>#N/A</v>
      </c>
      <c r="P152" t="e">
        <f>VLOOKUP(A1,Data!$A$1:$DZU$1000000,2584,FALSE)</f>
        <v>#N/A</v>
      </c>
      <c r="Q152" s="5" t="e">
        <f>VLOOKUP(A1,Data!$A$1:$DZU$1000000,2585,FALSE)</f>
        <v>#N/A</v>
      </c>
    </row>
    <row r="153" spans="1:17" x14ac:dyDescent="0.35">
      <c r="A153" s="54" t="e">
        <f>VLOOKUP(A1,Data!$A$1:$DZU$1000000,2586,FALSE)</f>
        <v>#N/A</v>
      </c>
      <c r="B153" t="e">
        <f>VLOOKUP(A1,Data!$A$1:$DZU$1000000,2587,FALSE)</f>
        <v>#N/A</v>
      </c>
      <c r="C153" t="e">
        <f>VLOOKUP(A1,Data!$A$1:$DZU$1000000,2588,FALSE)</f>
        <v>#N/A</v>
      </c>
      <c r="D153" t="e">
        <f>VLOOKUP(A1,Data!$A$1:$DZU$1000000,2589,FALSE)</f>
        <v>#N/A</v>
      </c>
      <c r="E153" t="e">
        <f>VLOOKUP(A1,Data!$A$1:$DZU$1000000,2590,FALSE)</f>
        <v>#N/A</v>
      </c>
      <c r="F153" t="e">
        <f>VLOOKUP(A1,Data!$A$1:$DZU$1000000,2591,FALSE)</f>
        <v>#N/A</v>
      </c>
      <c r="G153" t="e">
        <f>VLOOKUP(A1,Data!$A$1:$DZU$1000000,2592,FALSE)</f>
        <v>#N/A</v>
      </c>
      <c r="H153" t="e">
        <f>VLOOKUP(A1,Data!$A$1:$DZU$1000000,2593,FALSE)</f>
        <v>#N/A</v>
      </c>
      <c r="I153" t="e">
        <f>VLOOKUP(A1,Data!$A$1:$DZU$1000000,2594,FALSE)</f>
        <v>#N/A</v>
      </c>
      <c r="J153" t="e">
        <f>VLOOKUP(A1,Data!$A$1:$DZU$1000000,2595,FALSE)</f>
        <v>#N/A</v>
      </c>
      <c r="K153" t="e">
        <f>VLOOKUP(A1,Data!$A$1:$DZU$1000000,2596,FALSE)</f>
        <v>#N/A</v>
      </c>
      <c r="L153" t="e">
        <f>VLOOKUP(A1,Data!$A$1:$DZU$1000000,2597,FALSE)</f>
        <v>#N/A</v>
      </c>
      <c r="M153" t="e">
        <f>VLOOKUP(A1,Data!$A$1:$DZU$1000000,2598,FALSE)</f>
        <v>#N/A</v>
      </c>
      <c r="N153" t="e">
        <f>VLOOKUP(A1,Data!$A$1:$DZU$1000000,2599,FALSE)</f>
        <v>#N/A</v>
      </c>
      <c r="O153" t="e">
        <f>VLOOKUP(A1,Data!$A$1:$DZU$1000000,2600,FALSE)</f>
        <v>#N/A</v>
      </c>
      <c r="P153" t="e">
        <f>VLOOKUP(A1,Data!$A$1:$DZU$1000000,2601,FALSE)</f>
        <v>#N/A</v>
      </c>
      <c r="Q153" s="5" t="e">
        <f>VLOOKUP(A1,Data!$A$1:$DZU$1000000,2602,FALSE)</f>
        <v>#N/A</v>
      </c>
    </row>
    <row r="154" spans="1:17" x14ac:dyDescent="0.35">
      <c r="A154" s="54" t="e">
        <f>VLOOKUP(A1,Data!$A$1:$DZU$1000000,2603,FALSE)</f>
        <v>#N/A</v>
      </c>
      <c r="B154" t="e">
        <f>VLOOKUP(A1,Data!$A$1:$DZU$1000000,2604,FALSE)</f>
        <v>#N/A</v>
      </c>
      <c r="C154" t="e">
        <f>VLOOKUP(A1,Data!$A$1:$DZU$1000000,2605,FALSE)</f>
        <v>#N/A</v>
      </c>
      <c r="D154" t="e">
        <f>VLOOKUP(A1,Data!$A$1:$DZU$1000000,2606,FALSE)</f>
        <v>#N/A</v>
      </c>
      <c r="E154" t="e">
        <f>VLOOKUP(A1,Data!$A$1:$DZU$1000000,2607,FALSE)</f>
        <v>#N/A</v>
      </c>
      <c r="F154" t="e">
        <f>VLOOKUP(A1,Data!$A$1:$DZU$1000000,2608,FALSE)</f>
        <v>#N/A</v>
      </c>
      <c r="G154" t="e">
        <f>VLOOKUP(A1,Data!$A$1:$DZU$1000000,2609,FALSE)</f>
        <v>#N/A</v>
      </c>
      <c r="H154" t="e">
        <f>VLOOKUP(A1,Data!$A$1:$DZU$1000000,2610,FALSE)</f>
        <v>#N/A</v>
      </c>
      <c r="I154" t="e">
        <f>VLOOKUP(A1,Data!$A$1:$DZU$1000000,2611,FALSE)</f>
        <v>#N/A</v>
      </c>
      <c r="J154" t="e">
        <f>VLOOKUP(A1,Data!$A$1:$DZU$1000000,2612,FALSE)</f>
        <v>#N/A</v>
      </c>
      <c r="K154" t="e">
        <f>VLOOKUP(A1,Data!$A$1:$DZU$1000000,2613,FALSE)</f>
        <v>#N/A</v>
      </c>
      <c r="L154" t="e">
        <f>VLOOKUP(A1,Data!$A$1:$DZU$1000000,2614,FALSE)</f>
        <v>#N/A</v>
      </c>
      <c r="M154" t="e">
        <f>VLOOKUP(A1,Data!$A$1:$DZU$1000000,2615,FALSE)</f>
        <v>#N/A</v>
      </c>
      <c r="N154" t="e">
        <f>VLOOKUP(A1,Data!$A$1:$DZU$1000000,2616,FALSE)</f>
        <v>#N/A</v>
      </c>
      <c r="O154" t="e">
        <f>VLOOKUP(A1,Data!$A$1:$DZU$1000000,2617,FALSE)</f>
        <v>#N/A</v>
      </c>
      <c r="P154" t="e">
        <f>VLOOKUP(A1,Data!$A$1:$DZU$1000000,2618,FALSE)</f>
        <v>#N/A</v>
      </c>
      <c r="Q154" s="5" t="e">
        <f>VLOOKUP(A1,Data!$A$1:$DZU$1000000,2619,FALSE)</f>
        <v>#N/A</v>
      </c>
    </row>
    <row r="155" spans="1:17" x14ac:dyDescent="0.35">
      <c r="A155" s="54" t="e">
        <f>VLOOKUP(A1,Data!$A$1:$DZU$1000000,2620,FALSE)</f>
        <v>#N/A</v>
      </c>
      <c r="B155" t="e">
        <f>VLOOKUP(A1,Data!$A$1:$DZU$1000000,2621,FALSE)</f>
        <v>#N/A</v>
      </c>
      <c r="C155" t="e">
        <f>VLOOKUP(A1,Data!$A$1:$DZU$1000000,2622,FALSE)</f>
        <v>#N/A</v>
      </c>
      <c r="D155" t="e">
        <f>VLOOKUP(A1,Data!$A$1:$DZU$1000000,2623,FALSE)</f>
        <v>#N/A</v>
      </c>
      <c r="E155" t="e">
        <f>VLOOKUP(A1,Data!$A$1:$DZU$1000000,2624,FALSE)</f>
        <v>#N/A</v>
      </c>
      <c r="F155" t="e">
        <f>VLOOKUP(A1,Data!$A$1:$DZU$1000000,2625,FALSE)</f>
        <v>#N/A</v>
      </c>
      <c r="G155" t="e">
        <f>VLOOKUP(A1,Data!$A$1:$DZU$1000000,2626,FALSE)</f>
        <v>#N/A</v>
      </c>
      <c r="H155" t="e">
        <f>VLOOKUP(A1,Data!$A$1:$DZU$1000000,2627,FALSE)</f>
        <v>#N/A</v>
      </c>
      <c r="I155" t="e">
        <f>VLOOKUP(A1,Data!$A$1:$DZU$1000000,2628,FALSE)</f>
        <v>#N/A</v>
      </c>
      <c r="J155" t="e">
        <f>VLOOKUP(A1,Data!$A$1:$DZU$1000000,2629,FALSE)</f>
        <v>#N/A</v>
      </c>
      <c r="K155" t="e">
        <f>VLOOKUP(A1,Data!$A$1:$DZU$1000000,2630,FALSE)</f>
        <v>#N/A</v>
      </c>
      <c r="L155" t="e">
        <f>VLOOKUP(A1,Data!$A$1:$DZU$1000000,2631,FALSE)</f>
        <v>#N/A</v>
      </c>
      <c r="M155" t="e">
        <f>VLOOKUP(A1,Data!$A$1:$DZU$1000000,2632,FALSE)</f>
        <v>#N/A</v>
      </c>
      <c r="N155" t="e">
        <f>VLOOKUP(A1,Data!$A$1:$DZU$1000000,2633,FALSE)</f>
        <v>#N/A</v>
      </c>
      <c r="O155" t="e">
        <f>VLOOKUP(A1,Data!$A$1:$DZU$1000000,2634,FALSE)</f>
        <v>#N/A</v>
      </c>
      <c r="P155" t="e">
        <f>VLOOKUP(A1,Data!$A$1:$DZU$1000000,2635,FALSE)</f>
        <v>#N/A</v>
      </c>
      <c r="Q155" s="5" t="e">
        <f>VLOOKUP(A1,Data!$A$1:$DZU$1000000,2636,FALSE)</f>
        <v>#N/A</v>
      </c>
    </row>
    <row r="156" spans="1:17" x14ac:dyDescent="0.35">
      <c r="A156" s="54" t="e">
        <f>VLOOKUP(A1,Data!$A$1:$DZU$1000000,2637,FALSE)</f>
        <v>#N/A</v>
      </c>
      <c r="B156" t="e">
        <f>VLOOKUP(A1,Data!$A$1:$DZU$1000000,2638,FALSE)</f>
        <v>#N/A</v>
      </c>
      <c r="C156" t="e">
        <f>VLOOKUP(A1,Data!$A$1:$DZU$1000000,2639,FALSE)</f>
        <v>#N/A</v>
      </c>
      <c r="D156" t="e">
        <f>VLOOKUP(A1,Data!$A$1:$DZU$1000000,2640,FALSE)</f>
        <v>#N/A</v>
      </c>
      <c r="E156" t="e">
        <f>VLOOKUP(A1,Data!$A$1:$DZU$1000000,2641,FALSE)</f>
        <v>#N/A</v>
      </c>
      <c r="F156" t="e">
        <f>VLOOKUP(A1,Data!$A$1:$DZU$1000000,2642,FALSE)</f>
        <v>#N/A</v>
      </c>
      <c r="G156" t="e">
        <f>VLOOKUP(A1,Data!$A$1:$DZU$1000000,2643,FALSE)</f>
        <v>#N/A</v>
      </c>
      <c r="H156" t="e">
        <f>VLOOKUP(A1,Data!$A$1:$DZU$1000000,2644,FALSE)</f>
        <v>#N/A</v>
      </c>
      <c r="I156" t="e">
        <f>VLOOKUP(A1,Data!$A$1:$DZU$1000000,2645,FALSE)</f>
        <v>#N/A</v>
      </c>
      <c r="J156" t="e">
        <f>VLOOKUP(A1,Data!$A$1:$DZU$1000000,2646,FALSE)</f>
        <v>#N/A</v>
      </c>
      <c r="K156" t="e">
        <f>VLOOKUP(A1,Data!$A$1:$DZU$1000000,2647,FALSE)</f>
        <v>#N/A</v>
      </c>
      <c r="L156" t="e">
        <f>VLOOKUP(A1,Data!$A$1:$DZU$1000000,2648,FALSE)</f>
        <v>#N/A</v>
      </c>
      <c r="M156" t="e">
        <f>VLOOKUP(A1,Data!$A$1:$DZU$1000000,2649,FALSE)</f>
        <v>#N/A</v>
      </c>
      <c r="N156" t="e">
        <f>VLOOKUP(A1,Data!$A$1:$DZU$1000000,2650,FALSE)</f>
        <v>#N/A</v>
      </c>
      <c r="O156" t="e">
        <f>VLOOKUP(A1,Data!$A$1:$DZU$1000000,2651,FALSE)</f>
        <v>#N/A</v>
      </c>
      <c r="P156" t="e">
        <f>VLOOKUP(A1,Data!$A$1:$DZU$1000000,2652,FALSE)</f>
        <v>#N/A</v>
      </c>
      <c r="Q156" s="5" t="e">
        <f>VLOOKUP(A1,Data!$A$1:$DZU$1000000,2653,FALSE)</f>
        <v>#N/A</v>
      </c>
    </row>
    <row r="157" spans="1:17" x14ac:dyDescent="0.35">
      <c r="A157" s="54" t="e">
        <f>VLOOKUP(A1,Data!$A$1:$DZU$1000000,2654,FALSE)</f>
        <v>#N/A</v>
      </c>
      <c r="B157" t="e">
        <f>VLOOKUP(A1,Data!$A$1:$DZU$1000000,2655,FALSE)</f>
        <v>#N/A</v>
      </c>
      <c r="C157" t="e">
        <f>VLOOKUP(A1,Data!$A$1:$DZU$1000000,2656,FALSE)</f>
        <v>#N/A</v>
      </c>
      <c r="D157" t="e">
        <f>VLOOKUP(A1,Data!$A$1:$DZU$1000000,2657,FALSE)</f>
        <v>#N/A</v>
      </c>
      <c r="E157" t="e">
        <f>VLOOKUP(A1,Data!$A$1:$DZU$1000000,2658,FALSE)</f>
        <v>#N/A</v>
      </c>
      <c r="F157" t="e">
        <f>VLOOKUP(A1,Data!$A$1:$DZU$1000000,2659,FALSE)</f>
        <v>#N/A</v>
      </c>
      <c r="G157" t="e">
        <f>VLOOKUP(A1,Data!$A$1:$DZU$1000000,2660,FALSE)</f>
        <v>#N/A</v>
      </c>
      <c r="H157" t="e">
        <f>VLOOKUP(A1,Data!$A$1:$DZU$1000000,2661,FALSE)</f>
        <v>#N/A</v>
      </c>
      <c r="I157" t="e">
        <f>VLOOKUP(A1,Data!$A$1:$DZU$1000000,2662,FALSE)</f>
        <v>#N/A</v>
      </c>
      <c r="J157" t="e">
        <f>VLOOKUP(A1,Data!$A$1:$DZU$1000000,2663,FALSE)</f>
        <v>#N/A</v>
      </c>
      <c r="K157" t="e">
        <f>VLOOKUP(A1,Data!$A$1:$DZU$1000000,2664,FALSE)</f>
        <v>#N/A</v>
      </c>
      <c r="L157" t="e">
        <f>VLOOKUP(A1,Data!$A$1:$DZU$1000000,2665,FALSE)</f>
        <v>#N/A</v>
      </c>
      <c r="M157" t="e">
        <f>VLOOKUP(A1,Data!$A$1:$DZU$1000000,2666,FALSE)</f>
        <v>#N/A</v>
      </c>
      <c r="N157" t="e">
        <f>VLOOKUP(A1,Data!$A$1:$DZU$1000000,2667,FALSE)</f>
        <v>#N/A</v>
      </c>
      <c r="O157" t="e">
        <f>VLOOKUP(A1,Data!$A$1:$DZU$1000000,2668,FALSE)</f>
        <v>#N/A</v>
      </c>
      <c r="P157" t="e">
        <f>VLOOKUP(A1,Data!$A$1:$DZU$1000000,2669,FALSE)</f>
        <v>#N/A</v>
      </c>
      <c r="Q157" s="5" t="e">
        <f>VLOOKUP(A1,Data!$A$1:$DZU$1000000,2670,FALSE)</f>
        <v>#N/A</v>
      </c>
    </row>
    <row r="158" spans="1:17" x14ac:dyDescent="0.35">
      <c r="A158" s="54" t="e">
        <f>VLOOKUP(A1,Data!$A$1:$DZU$1000000,2671,FALSE)</f>
        <v>#N/A</v>
      </c>
      <c r="B158" t="e">
        <f>VLOOKUP(A1,Data!$A$1:$DZU$1000000,2672,FALSE)</f>
        <v>#N/A</v>
      </c>
      <c r="C158" t="e">
        <f>VLOOKUP(A1,Data!$A$1:$DZU$1000000,2673,FALSE)</f>
        <v>#N/A</v>
      </c>
      <c r="D158" t="e">
        <f>VLOOKUP(A1,Data!$A$1:$DZU$1000000,2674,FALSE)</f>
        <v>#N/A</v>
      </c>
      <c r="E158" t="e">
        <f>VLOOKUP(A1,Data!$A$1:$DZU$1000000,2675,FALSE)</f>
        <v>#N/A</v>
      </c>
      <c r="F158" t="e">
        <f>VLOOKUP(A1,Data!$A$1:$DZU$1000000,2676,FALSE)</f>
        <v>#N/A</v>
      </c>
      <c r="G158" t="e">
        <f>VLOOKUP(A1,Data!$A$1:$DZU$1000000,2677,FALSE)</f>
        <v>#N/A</v>
      </c>
      <c r="H158" t="e">
        <f>VLOOKUP(A1,Data!$A$1:$DZU$1000000,2678,FALSE)</f>
        <v>#N/A</v>
      </c>
      <c r="I158" t="e">
        <f>VLOOKUP(A1,Data!$A$1:$DZU$1000000,2679,FALSE)</f>
        <v>#N/A</v>
      </c>
      <c r="J158" t="e">
        <f>VLOOKUP(A1,Data!$A$1:$DZU$1000000,2680,FALSE)</f>
        <v>#N/A</v>
      </c>
      <c r="K158" t="e">
        <f>VLOOKUP(A1,Data!$A$1:$DZU$1000000,2681,FALSE)</f>
        <v>#N/A</v>
      </c>
      <c r="L158" t="e">
        <f>VLOOKUP(A1,Data!$A$1:$DZU$1000000,2682,FALSE)</f>
        <v>#N/A</v>
      </c>
      <c r="M158" t="e">
        <f>VLOOKUP(A1,Data!$A$1:$DZU$1000000,2683,FALSE)</f>
        <v>#N/A</v>
      </c>
      <c r="N158" t="e">
        <f>VLOOKUP(A1,Data!$A$1:$DZU$1000000,2684,FALSE)</f>
        <v>#N/A</v>
      </c>
      <c r="O158" t="e">
        <f>VLOOKUP(A1,Data!$A$1:$DZU$1000000,2685,FALSE)</f>
        <v>#N/A</v>
      </c>
      <c r="P158" t="e">
        <f>VLOOKUP(A1,Data!$A$1:$DZU$1000000,2686,FALSE)</f>
        <v>#N/A</v>
      </c>
      <c r="Q158" s="5" t="e">
        <f>VLOOKUP(A1,Data!$A$1:$DZU$1000000,2687,FALSE)</f>
        <v>#N/A</v>
      </c>
    </row>
    <row r="159" spans="1:17" x14ac:dyDescent="0.35">
      <c r="A159" s="54" t="e">
        <f>VLOOKUP(A1,Data!$A$1:$DZU$1000000,2688,FALSE)</f>
        <v>#N/A</v>
      </c>
      <c r="B159" t="e">
        <f>VLOOKUP(A1,Data!$A$1:$DZU$1000000,2689,FALSE)</f>
        <v>#N/A</v>
      </c>
      <c r="C159" t="e">
        <f>VLOOKUP(A1,Data!$A$1:$DZU$1000000,2690,FALSE)</f>
        <v>#N/A</v>
      </c>
      <c r="D159" t="e">
        <f>VLOOKUP(A1,Data!$A$1:$DZU$1000000,2691,FALSE)</f>
        <v>#N/A</v>
      </c>
      <c r="E159" t="e">
        <f>VLOOKUP(A1,Data!$A$1:$DZU$1000000,2692,FALSE)</f>
        <v>#N/A</v>
      </c>
      <c r="F159" t="e">
        <f>VLOOKUP(A1,Data!$A$1:$DZU$1000000,2693,FALSE)</f>
        <v>#N/A</v>
      </c>
      <c r="G159" t="e">
        <f>VLOOKUP(A1,Data!$A$1:$DZU$1000000,2694,FALSE)</f>
        <v>#N/A</v>
      </c>
      <c r="H159" t="e">
        <f>VLOOKUP(A1,Data!$A$1:$DZU$1000000,2695,FALSE)</f>
        <v>#N/A</v>
      </c>
      <c r="I159" t="e">
        <f>VLOOKUP(A1,Data!$A$1:$DZU$1000000,2696,FALSE)</f>
        <v>#N/A</v>
      </c>
      <c r="J159" t="e">
        <f>VLOOKUP(A1,Data!$A$1:$DZU$1000000,2697,FALSE)</f>
        <v>#N/A</v>
      </c>
      <c r="K159" t="e">
        <f>VLOOKUP(A1,Data!$A$1:$DZU$1000000,2698,FALSE)</f>
        <v>#N/A</v>
      </c>
      <c r="L159" t="e">
        <f>VLOOKUP(A1,Data!$A$1:$DZU$1000000,2699,FALSE)</f>
        <v>#N/A</v>
      </c>
      <c r="M159" t="e">
        <f>VLOOKUP(A1,Data!$A$1:$DZU$1000000,2700,FALSE)</f>
        <v>#N/A</v>
      </c>
      <c r="N159" t="e">
        <f>VLOOKUP(A1,Data!$A$1:$DZU$1000000,2701,FALSE)</f>
        <v>#N/A</v>
      </c>
      <c r="O159" t="e">
        <f>VLOOKUP(A1,Data!$A$1:$DZU$1000000,2702,FALSE)</f>
        <v>#N/A</v>
      </c>
      <c r="P159" t="e">
        <f>VLOOKUP(A1,Data!$A$1:$DZU$1000000,2703,FALSE)</f>
        <v>#N/A</v>
      </c>
      <c r="Q159" s="5" t="e">
        <f>VLOOKUP(A1,Data!$A$1:$DZU$1000000,2704,FALSE)</f>
        <v>#N/A</v>
      </c>
    </row>
    <row r="160" spans="1:17" x14ac:dyDescent="0.35">
      <c r="A160" s="54" t="e">
        <f>VLOOKUP(A1,Data!$A$1:$DZU$1000000,2705,FALSE)</f>
        <v>#N/A</v>
      </c>
      <c r="B160" t="e">
        <f>VLOOKUP(A1,Data!$A$1:$DZU$1000000,2706,FALSE)</f>
        <v>#N/A</v>
      </c>
      <c r="C160" t="e">
        <f>VLOOKUP(A1,Data!$A$1:$DZU$1000000,2707,FALSE)</f>
        <v>#N/A</v>
      </c>
      <c r="D160" t="e">
        <f>VLOOKUP(A1,Data!$A$1:$DZU$1000000,2708,FALSE)</f>
        <v>#N/A</v>
      </c>
      <c r="E160" t="e">
        <f>VLOOKUP(A1,Data!$A$1:$DZU$1000000,2709,FALSE)</f>
        <v>#N/A</v>
      </c>
      <c r="F160" t="e">
        <f>VLOOKUP(A1,Data!$A$1:$DZU$1000000,2710,FALSE)</f>
        <v>#N/A</v>
      </c>
      <c r="G160" t="e">
        <f>VLOOKUP(A1,Data!$A$1:$DZU$1000000,2711,FALSE)</f>
        <v>#N/A</v>
      </c>
      <c r="H160" t="e">
        <f>VLOOKUP(A1,Data!$A$1:$DZU$1000000,2712,FALSE)</f>
        <v>#N/A</v>
      </c>
      <c r="I160" t="e">
        <f>VLOOKUP(A1,Data!$A$1:$DZU$1000000,2713,FALSE)</f>
        <v>#N/A</v>
      </c>
      <c r="J160" t="e">
        <f>VLOOKUP(A1,Data!$A$1:$DZU$1000000,2714,FALSE)</f>
        <v>#N/A</v>
      </c>
      <c r="K160" t="e">
        <f>VLOOKUP(A1,Data!$A$1:$DZU$1000000,2715,FALSE)</f>
        <v>#N/A</v>
      </c>
      <c r="L160" t="e">
        <f>VLOOKUP(A1,Data!$A$1:$DZU$1000000,2716,FALSE)</f>
        <v>#N/A</v>
      </c>
      <c r="M160" t="e">
        <f>VLOOKUP(A1,Data!$A$1:$DZU$1000000,2717,FALSE)</f>
        <v>#N/A</v>
      </c>
      <c r="N160" t="e">
        <f>VLOOKUP(A1,Data!$A$1:$DZU$1000000,2718,FALSE)</f>
        <v>#N/A</v>
      </c>
      <c r="O160" t="e">
        <f>VLOOKUP(A1,Data!$A$1:$DZU$1000000,2719,FALSE)</f>
        <v>#N/A</v>
      </c>
      <c r="P160" t="e">
        <f>VLOOKUP(A1,Data!$A$1:$DZU$1000000,2720,FALSE)</f>
        <v>#N/A</v>
      </c>
      <c r="Q160" s="5" t="e">
        <f>VLOOKUP(A1,Data!$A$1:$DZU$1000000,2721,FALSE)</f>
        <v>#N/A</v>
      </c>
    </row>
    <row r="161" spans="1:17" x14ac:dyDescent="0.35">
      <c r="A161" s="54" t="e">
        <f>VLOOKUP(A1,Data!$A$1:$DZU$1000000,2722,FALSE)</f>
        <v>#N/A</v>
      </c>
      <c r="B161" t="e">
        <f>VLOOKUP(A1,Data!$A$1:$DZU$1000000,2723,FALSE)</f>
        <v>#N/A</v>
      </c>
      <c r="C161" t="e">
        <f>VLOOKUP(A1,Data!$A$1:$DZU$1000000,2724,FALSE)</f>
        <v>#N/A</v>
      </c>
      <c r="D161" t="e">
        <f>VLOOKUP(A1,Data!$A$1:$DZU$1000000,2725,FALSE)</f>
        <v>#N/A</v>
      </c>
      <c r="E161" t="e">
        <f>VLOOKUP(A1,Data!$A$1:$DZU$1000000,2726,FALSE)</f>
        <v>#N/A</v>
      </c>
      <c r="F161" t="e">
        <f>VLOOKUP(A1,Data!$A$1:$DZU$1000000,2727,FALSE)</f>
        <v>#N/A</v>
      </c>
      <c r="G161" t="e">
        <f>VLOOKUP(A1,Data!$A$1:$DZU$1000000,2728,FALSE)</f>
        <v>#N/A</v>
      </c>
      <c r="H161" t="e">
        <f>VLOOKUP(A1,Data!$A$1:$DZU$1000000,2729,FALSE)</f>
        <v>#N/A</v>
      </c>
      <c r="I161" t="e">
        <f>VLOOKUP(A1,Data!$A$1:$DZU$1000000,2730,FALSE)</f>
        <v>#N/A</v>
      </c>
      <c r="J161" t="e">
        <f>VLOOKUP(A1,Data!$A$1:$DZU$1000000,2731,FALSE)</f>
        <v>#N/A</v>
      </c>
      <c r="K161" t="e">
        <f>VLOOKUP(A1,Data!$A$1:$DZU$1000000,2732,FALSE)</f>
        <v>#N/A</v>
      </c>
      <c r="L161" t="e">
        <f>VLOOKUP(A1,Data!$A$1:$DZU$1000000,2733,FALSE)</f>
        <v>#N/A</v>
      </c>
      <c r="M161" t="e">
        <f>VLOOKUP(A1,Data!$A$1:$DZU$1000000,2734,FALSE)</f>
        <v>#N/A</v>
      </c>
      <c r="N161" t="e">
        <f>VLOOKUP(A1,Data!$A$1:$DZU$1000000,2735,FALSE)</f>
        <v>#N/A</v>
      </c>
      <c r="O161" t="e">
        <f>VLOOKUP(A1,Data!$A$1:$DZU$1000000,2736,FALSE)</f>
        <v>#N/A</v>
      </c>
      <c r="P161" t="e">
        <f>VLOOKUP(A1,Data!$A$1:$DZU$1000000,2737,FALSE)</f>
        <v>#N/A</v>
      </c>
      <c r="Q161" s="5" t="e">
        <f>VLOOKUP(A1,Data!$A$1:$DZU$1000000,2738,FALSE)</f>
        <v>#N/A</v>
      </c>
    </row>
    <row r="162" spans="1:17" x14ac:dyDescent="0.35">
      <c r="A162" s="54" t="e">
        <f>VLOOKUP(A1,Data!$A$1:$DZU$1000000,2739,FALSE)</f>
        <v>#N/A</v>
      </c>
      <c r="B162" t="e">
        <f>VLOOKUP(A1,Data!$A$1:$DZU$1000000,2740,FALSE)</f>
        <v>#N/A</v>
      </c>
      <c r="C162" t="e">
        <f>VLOOKUP(A1,Data!$A$1:$DZU$1000000,2741,FALSE)</f>
        <v>#N/A</v>
      </c>
      <c r="D162" t="e">
        <f>VLOOKUP(A1,Data!$A$1:$DZU$1000000,2742,FALSE)</f>
        <v>#N/A</v>
      </c>
      <c r="E162" t="e">
        <f>VLOOKUP(A1,Data!$A$1:$DZU$1000000,2743,FALSE)</f>
        <v>#N/A</v>
      </c>
      <c r="F162" t="e">
        <f>VLOOKUP(A1,Data!$A$1:$DZU$1000000,2744,FALSE)</f>
        <v>#N/A</v>
      </c>
      <c r="G162" t="e">
        <f>VLOOKUP(A1,Data!$A$1:$DZU$1000000,2745,FALSE)</f>
        <v>#N/A</v>
      </c>
      <c r="H162" t="e">
        <f>VLOOKUP(A1,Data!$A$1:$DZU$1000000,2746,FALSE)</f>
        <v>#N/A</v>
      </c>
      <c r="I162" t="e">
        <f>VLOOKUP(A1,Data!$A$1:$DZU$1000000,2747,FALSE)</f>
        <v>#N/A</v>
      </c>
      <c r="J162" t="e">
        <f>VLOOKUP(A1,Data!$A$1:$DZU$1000000,2748,FALSE)</f>
        <v>#N/A</v>
      </c>
      <c r="K162" t="e">
        <f>VLOOKUP(A1,Data!$A$1:$DZU$1000000,2749,FALSE)</f>
        <v>#N/A</v>
      </c>
      <c r="L162" t="e">
        <f>VLOOKUP(A1,Data!$A$1:$DZU$1000000,2750,FALSE)</f>
        <v>#N/A</v>
      </c>
      <c r="M162" t="e">
        <f>VLOOKUP(A1,Data!$A$1:$DZU$1000000,2751,FALSE)</f>
        <v>#N/A</v>
      </c>
      <c r="N162" t="e">
        <f>VLOOKUP(A1,Data!$A$1:$DZU$1000000,2752,FALSE)</f>
        <v>#N/A</v>
      </c>
      <c r="O162" t="e">
        <f>VLOOKUP(A1,Data!$A$1:$DZU$1000000,2753,FALSE)</f>
        <v>#N/A</v>
      </c>
      <c r="P162" t="e">
        <f>VLOOKUP(A1,Data!$A$1:$DZU$1000000,2754,FALSE)</f>
        <v>#N/A</v>
      </c>
      <c r="Q162" s="5" t="e">
        <f>VLOOKUP(A1,Data!$A$1:$DZU$1000000,2755,FALSE)</f>
        <v>#N/A</v>
      </c>
    </row>
    <row r="163" spans="1:17" x14ac:dyDescent="0.35">
      <c r="A163" s="54" t="e">
        <f>VLOOKUP(A1,Data!$A$1:$DZU$1000000,2756,FALSE)</f>
        <v>#N/A</v>
      </c>
      <c r="B163" t="e">
        <f>VLOOKUP(A1,Data!$A$1:$DZU$1000000,2757,FALSE)</f>
        <v>#N/A</v>
      </c>
      <c r="C163" t="e">
        <f>VLOOKUP(A1,Data!$A$1:$DZU$1000000,2758,FALSE)</f>
        <v>#N/A</v>
      </c>
      <c r="D163" t="e">
        <f>VLOOKUP(A1,Data!$A$1:$DZU$1000000,2759,FALSE)</f>
        <v>#N/A</v>
      </c>
      <c r="E163" t="e">
        <f>VLOOKUP(A1,Data!$A$1:$DZU$1000000,2760,FALSE)</f>
        <v>#N/A</v>
      </c>
      <c r="F163" t="e">
        <f>VLOOKUP(A1,Data!$A$1:$DZU$1000000,2761,FALSE)</f>
        <v>#N/A</v>
      </c>
      <c r="G163" t="e">
        <f>VLOOKUP(A1,Data!$A$1:$DZU$1000000,2762,FALSE)</f>
        <v>#N/A</v>
      </c>
      <c r="H163" t="e">
        <f>VLOOKUP(A1,Data!$A$1:$DZU$1000000,2763,FALSE)</f>
        <v>#N/A</v>
      </c>
      <c r="I163" t="e">
        <f>VLOOKUP(A1,Data!$A$1:$DZU$1000000,2764,FALSE)</f>
        <v>#N/A</v>
      </c>
      <c r="J163" t="e">
        <f>VLOOKUP(A1,Data!$A$1:$DZU$1000000,2765,FALSE)</f>
        <v>#N/A</v>
      </c>
      <c r="K163" t="e">
        <f>VLOOKUP(A1,Data!$A$1:$DZU$1000000,2766,FALSE)</f>
        <v>#N/A</v>
      </c>
      <c r="L163" t="e">
        <f>VLOOKUP(A1,Data!$A$1:$DZU$1000000,2767,FALSE)</f>
        <v>#N/A</v>
      </c>
      <c r="M163" t="e">
        <f>VLOOKUP(A1,Data!$A$1:$DZU$1000000,2768,FALSE)</f>
        <v>#N/A</v>
      </c>
      <c r="N163" t="e">
        <f>VLOOKUP(A1,Data!$A$1:$DZU$1000000,2769,FALSE)</f>
        <v>#N/A</v>
      </c>
      <c r="O163" t="e">
        <f>VLOOKUP(A1,Data!$A$1:$DZU$1000000,2770,FALSE)</f>
        <v>#N/A</v>
      </c>
      <c r="P163" t="e">
        <f>VLOOKUP(A1,Data!$A$1:$DZU$1000000,2771,FALSE)</f>
        <v>#N/A</v>
      </c>
      <c r="Q163" s="5" t="e">
        <f>VLOOKUP(A1,Data!$A$1:$DZU$1000000,2772,FALSE)</f>
        <v>#N/A</v>
      </c>
    </row>
    <row r="164" spans="1:17" x14ac:dyDescent="0.35">
      <c r="A164" s="54" t="e">
        <f>VLOOKUP(A1,Data!$A$1:$DZU$1000000,2773,FALSE)</f>
        <v>#N/A</v>
      </c>
      <c r="B164" t="e">
        <f>VLOOKUP(A1,Data!$A$1:$DZU$1000000,2774,FALSE)</f>
        <v>#N/A</v>
      </c>
      <c r="C164" t="e">
        <f>VLOOKUP(A1,Data!$A$1:$DZU$1000000,2775,FALSE)</f>
        <v>#N/A</v>
      </c>
      <c r="D164" t="e">
        <f>VLOOKUP(A1,Data!$A$1:$DZU$1000000,2776,FALSE)</f>
        <v>#N/A</v>
      </c>
      <c r="E164" t="e">
        <f>VLOOKUP(A1,Data!$A$1:$DZU$1000000,2777,FALSE)</f>
        <v>#N/A</v>
      </c>
      <c r="F164" t="e">
        <f>VLOOKUP(A1,Data!$A$1:$DZU$1000000,2778,FALSE)</f>
        <v>#N/A</v>
      </c>
      <c r="G164" t="e">
        <f>VLOOKUP(A1,Data!$A$1:$DZU$1000000,2779,FALSE)</f>
        <v>#N/A</v>
      </c>
      <c r="H164" t="e">
        <f>VLOOKUP(A1,Data!$A$1:$DZU$1000000,2780,FALSE)</f>
        <v>#N/A</v>
      </c>
      <c r="I164" t="e">
        <f>VLOOKUP(A1,Data!$A$1:$DZU$1000000,2781,FALSE)</f>
        <v>#N/A</v>
      </c>
      <c r="J164" t="e">
        <f>VLOOKUP(A1,Data!$A$1:$DZU$1000000,2782,FALSE)</f>
        <v>#N/A</v>
      </c>
      <c r="K164" t="e">
        <f>VLOOKUP(A1,Data!$A$1:$DZU$1000000,2783,FALSE)</f>
        <v>#N/A</v>
      </c>
      <c r="L164" t="e">
        <f>VLOOKUP(A1,Data!$A$1:$DZU$1000000,2784,FALSE)</f>
        <v>#N/A</v>
      </c>
      <c r="M164" t="e">
        <f>VLOOKUP(A1,Data!$A$1:$DZU$1000000,2785,FALSE)</f>
        <v>#N/A</v>
      </c>
      <c r="N164" t="e">
        <f>VLOOKUP(A1,Data!$A$1:$DZU$1000000,2786,FALSE)</f>
        <v>#N/A</v>
      </c>
      <c r="O164" t="e">
        <f>VLOOKUP(A1,Data!$A$1:$DZU$1000000,2787,FALSE)</f>
        <v>#N/A</v>
      </c>
      <c r="P164" t="e">
        <f>VLOOKUP(A1,Data!$A$1:$DZU$1000000,2788,FALSE)</f>
        <v>#N/A</v>
      </c>
      <c r="Q164" s="5" t="e">
        <f>VLOOKUP(A1,Data!$A$1:$DZU$1000000,2789,FALSE)</f>
        <v>#N/A</v>
      </c>
    </row>
    <row r="165" spans="1:17" x14ac:dyDescent="0.35">
      <c r="A165" s="54" t="e">
        <f>VLOOKUP(A1,Data!$A$1:$DZU$1000000,2790,FALSE)</f>
        <v>#N/A</v>
      </c>
      <c r="B165" t="e">
        <f>VLOOKUP(A1,Data!$A$1:$DZU$1000000,2791,FALSE)</f>
        <v>#N/A</v>
      </c>
      <c r="C165" t="e">
        <f>VLOOKUP(A1,Data!$A$1:$DZU$1000000,2792,FALSE)</f>
        <v>#N/A</v>
      </c>
      <c r="D165" t="e">
        <f>VLOOKUP(A1,Data!$A$1:$DZU$1000000,2793,FALSE)</f>
        <v>#N/A</v>
      </c>
      <c r="E165" t="e">
        <f>VLOOKUP(A1,Data!$A$1:$DZU$1000000,2794,FALSE)</f>
        <v>#N/A</v>
      </c>
      <c r="F165" t="e">
        <f>VLOOKUP(A1,Data!$A$1:$DZU$1000000,2795,FALSE)</f>
        <v>#N/A</v>
      </c>
      <c r="G165" t="e">
        <f>VLOOKUP(A1,Data!$A$1:$DZU$1000000,2796,FALSE)</f>
        <v>#N/A</v>
      </c>
      <c r="H165" t="e">
        <f>VLOOKUP(A1,Data!$A$1:$DZU$1000000,2797,FALSE)</f>
        <v>#N/A</v>
      </c>
      <c r="I165" t="e">
        <f>VLOOKUP(A1,Data!$A$1:$DZU$1000000,2798,FALSE)</f>
        <v>#N/A</v>
      </c>
      <c r="J165" t="e">
        <f>VLOOKUP(A1,Data!$A$1:$DZU$1000000,2799,FALSE)</f>
        <v>#N/A</v>
      </c>
      <c r="K165" t="e">
        <f>VLOOKUP(A1,Data!$A$1:$DZU$1000000,2800,FALSE)</f>
        <v>#N/A</v>
      </c>
      <c r="L165" t="e">
        <f>VLOOKUP(A1,Data!$A$1:$DZU$1000000,2801,FALSE)</f>
        <v>#N/A</v>
      </c>
      <c r="M165" t="e">
        <f>VLOOKUP(A1,Data!$A$1:$DZU$1000000,2802,FALSE)</f>
        <v>#N/A</v>
      </c>
      <c r="N165" t="e">
        <f>VLOOKUP(A1,Data!$A$1:$DZU$1000000,2803,FALSE)</f>
        <v>#N/A</v>
      </c>
      <c r="O165" t="e">
        <f>VLOOKUP(A1,Data!$A$1:$DZU$1000000,2804,FALSE)</f>
        <v>#N/A</v>
      </c>
      <c r="P165" t="e">
        <f>VLOOKUP(A1,Data!$A$1:$DZU$1000000,2805,FALSE)</f>
        <v>#N/A</v>
      </c>
      <c r="Q165" s="5" t="e">
        <f>VLOOKUP(A1,Data!$A$1:$DZU$1000000,2806,FALSE)</f>
        <v>#N/A</v>
      </c>
    </row>
    <row r="166" spans="1:17" x14ac:dyDescent="0.35">
      <c r="A166" s="54" t="e">
        <f>VLOOKUP(A1,Data!$A$1:$DZU$1000000,2807,FALSE)</f>
        <v>#N/A</v>
      </c>
      <c r="B166" t="e">
        <f>VLOOKUP(A1,Data!$A$1:$DZU$1000000,2808,FALSE)</f>
        <v>#N/A</v>
      </c>
      <c r="C166" t="e">
        <f>VLOOKUP(A1,Data!$A$1:$DZU$1000000,2809,FALSE)</f>
        <v>#N/A</v>
      </c>
      <c r="D166" t="e">
        <f>VLOOKUP(A1,Data!$A$1:$DZU$1000000,2810,FALSE)</f>
        <v>#N/A</v>
      </c>
      <c r="E166" t="e">
        <f>VLOOKUP(A1,Data!$A$1:$DZU$1000000,2811,FALSE)</f>
        <v>#N/A</v>
      </c>
      <c r="F166" t="e">
        <f>VLOOKUP(A1,Data!$A$1:$DZU$1000000,2812,FALSE)</f>
        <v>#N/A</v>
      </c>
      <c r="G166" t="e">
        <f>VLOOKUP(A1,Data!$A$1:$DZU$1000000,2813,FALSE)</f>
        <v>#N/A</v>
      </c>
      <c r="H166" t="e">
        <f>VLOOKUP(A1,Data!$A$1:$DZU$1000000,2814,FALSE)</f>
        <v>#N/A</v>
      </c>
      <c r="I166" t="e">
        <f>VLOOKUP(A1,Data!$A$1:$DZU$1000000,2815,FALSE)</f>
        <v>#N/A</v>
      </c>
      <c r="J166" t="e">
        <f>VLOOKUP(A1,Data!$A$1:$DZU$1000000,2816,FALSE)</f>
        <v>#N/A</v>
      </c>
      <c r="K166" t="e">
        <f>VLOOKUP(A1,Data!$A$1:$DZU$1000000,2817,FALSE)</f>
        <v>#N/A</v>
      </c>
      <c r="L166" t="e">
        <f>VLOOKUP(A1,Data!$A$1:$DZU$1000000,2818,FALSE)</f>
        <v>#N/A</v>
      </c>
      <c r="M166" t="e">
        <f>VLOOKUP(A1,Data!$A$1:$DZU$1000000,2819,FALSE)</f>
        <v>#N/A</v>
      </c>
      <c r="N166" t="e">
        <f>VLOOKUP(A1,Data!$A$1:$DZU$1000000,2820,FALSE)</f>
        <v>#N/A</v>
      </c>
      <c r="O166" t="e">
        <f>VLOOKUP(A1,Data!$A$1:$DZU$1000000,2821,FALSE)</f>
        <v>#N/A</v>
      </c>
      <c r="P166" t="e">
        <f>VLOOKUP(A1,Data!$A$1:$DZU$1000000,2822,FALSE)</f>
        <v>#N/A</v>
      </c>
      <c r="Q166" s="5" t="e">
        <f>VLOOKUP(A1,Data!$A$1:$DZU$1000000,2823,FALSE)</f>
        <v>#N/A</v>
      </c>
    </row>
    <row r="167" spans="1:17" x14ac:dyDescent="0.35">
      <c r="A167" s="54" t="e">
        <f>VLOOKUP(A1,Data!$A$1:$DZU$1000000,2824,FALSE)</f>
        <v>#N/A</v>
      </c>
      <c r="B167" t="e">
        <f>VLOOKUP(A1,Data!$A$1:$DZU$1000000,2825,FALSE)</f>
        <v>#N/A</v>
      </c>
      <c r="C167" t="e">
        <f>VLOOKUP(A1,Data!$A$1:$DZU$1000000,2826,FALSE)</f>
        <v>#N/A</v>
      </c>
      <c r="D167" t="e">
        <f>VLOOKUP(A1,Data!$A$1:$DZU$1000000,2827,FALSE)</f>
        <v>#N/A</v>
      </c>
      <c r="E167" t="e">
        <f>VLOOKUP(A1,Data!$A$1:$DZU$1000000,2828,FALSE)</f>
        <v>#N/A</v>
      </c>
      <c r="F167" t="e">
        <f>VLOOKUP(A1,Data!$A$1:$DZU$1000000,2829,FALSE)</f>
        <v>#N/A</v>
      </c>
      <c r="G167" t="e">
        <f>VLOOKUP(A1,Data!$A$1:$DZU$1000000,2830,FALSE)</f>
        <v>#N/A</v>
      </c>
      <c r="H167" t="e">
        <f>VLOOKUP(A1,Data!$A$1:$DZU$1000000,2831,FALSE)</f>
        <v>#N/A</v>
      </c>
      <c r="I167" t="e">
        <f>VLOOKUP(A1,Data!$A$1:$DZU$1000000,2832,FALSE)</f>
        <v>#N/A</v>
      </c>
      <c r="J167" t="e">
        <f>VLOOKUP(A1,Data!$A$1:$DZU$1000000,2833,FALSE)</f>
        <v>#N/A</v>
      </c>
      <c r="K167" t="e">
        <f>VLOOKUP(A1,Data!$A$1:$DZU$1000000,2834,FALSE)</f>
        <v>#N/A</v>
      </c>
      <c r="L167" t="e">
        <f>VLOOKUP(A1,Data!$A$1:$DZU$1000000,2835,FALSE)</f>
        <v>#N/A</v>
      </c>
      <c r="M167" t="e">
        <f>VLOOKUP(A1,Data!$A$1:$DZU$1000000,2836,FALSE)</f>
        <v>#N/A</v>
      </c>
      <c r="N167" t="e">
        <f>VLOOKUP(A1,Data!$A$1:$DZU$1000000,2837,FALSE)</f>
        <v>#N/A</v>
      </c>
      <c r="O167" t="e">
        <f>VLOOKUP(A1,Data!$A$1:$DZU$1000000,2838,FALSE)</f>
        <v>#N/A</v>
      </c>
      <c r="P167" t="e">
        <f>VLOOKUP(A1,Data!$A$1:$DZU$1000000,2839,FALSE)</f>
        <v>#N/A</v>
      </c>
      <c r="Q167" s="5" t="e">
        <f>VLOOKUP(A1,Data!$A$1:$DZU$1000000,2840,FALSE)</f>
        <v>#N/A</v>
      </c>
    </row>
    <row r="168" spans="1:17" x14ac:dyDescent="0.35">
      <c r="A168" s="54" t="e">
        <f>VLOOKUP(A1,Data!$A$1:$DZU$1000000,2841,FALSE)</f>
        <v>#N/A</v>
      </c>
      <c r="B168" t="e">
        <f>VLOOKUP(A1,Data!$A$1:$DZU$1000000,2842,FALSE)</f>
        <v>#N/A</v>
      </c>
      <c r="C168" t="e">
        <f>VLOOKUP(A1,Data!$A$1:$DZU$1000000,2843,FALSE)</f>
        <v>#N/A</v>
      </c>
      <c r="D168" t="e">
        <f>VLOOKUP(A1,Data!$A$1:$DZU$1000000,2844,FALSE)</f>
        <v>#N/A</v>
      </c>
      <c r="E168" t="e">
        <f>VLOOKUP(A1,Data!$A$1:$DZU$1000000,2845,FALSE)</f>
        <v>#N/A</v>
      </c>
      <c r="F168" t="e">
        <f>VLOOKUP(A1,Data!$A$1:$DZU$1000000,2846,FALSE)</f>
        <v>#N/A</v>
      </c>
      <c r="G168" t="e">
        <f>VLOOKUP(A1,Data!$A$1:$DZU$1000000,2847,FALSE)</f>
        <v>#N/A</v>
      </c>
      <c r="H168" t="e">
        <f>VLOOKUP(A1,Data!$A$1:$DZU$1000000,2848,FALSE)</f>
        <v>#N/A</v>
      </c>
      <c r="I168" t="e">
        <f>VLOOKUP(A1,Data!$A$1:$DZU$1000000,2849,FALSE)</f>
        <v>#N/A</v>
      </c>
      <c r="J168" t="e">
        <f>VLOOKUP(A1,Data!$A$1:$DZU$1000000,2850,FALSE)</f>
        <v>#N/A</v>
      </c>
      <c r="K168" t="e">
        <f>VLOOKUP(A1,Data!$A$1:$DZU$1000000,2851,FALSE)</f>
        <v>#N/A</v>
      </c>
      <c r="L168" t="e">
        <f>VLOOKUP(A1,Data!$A$1:$DZU$1000000,2852,FALSE)</f>
        <v>#N/A</v>
      </c>
      <c r="M168" t="e">
        <f>VLOOKUP(A1,Data!$A$1:$DZU$1000000,2853,FALSE)</f>
        <v>#N/A</v>
      </c>
      <c r="N168" t="e">
        <f>VLOOKUP(A1,Data!$A$1:$DZU$1000000,2854,FALSE)</f>
        <v>#N/A</v>
      </c>
      <c r="O168" t="e">
        <f>VLOOKUP(A1,Data!$A$1:$DZU$1000000,2855,FALSE)</f>
        <v>#N/A</v>
      </c>
      <c r="P168" t="e">
        <f>VLOOKUP(A1,Data!$A$1:$DZU$1000000,2856,FALSE)</f>
        <v>#N/A</v>
      </c>
      <c r="Q168" s="5" t="e">
        <f>VLOOKUP(A1,Data!$A$1:$DZU$1000000,2857,FALSE)</f>
        <v>#N/A</v>
      </c>
    </row>
    <row r="169" spans="1:17" x14ac:dyDescent="0.35">
      <c r="A169" s="54" t="e">
        <f>VLOOKUP(A1,Data!$A$1:$DZU$1000000,2858,FALSE)</f>
        <v>#N/A</v>
      </c>
      <c r="B169" t="e">
        <f>VLOOKUP(A1,Data!$A$1:$DZU$1000000,2859,FALSE)</f>
        <v>#N/A</v>
      </c>
      <c r="C169" t="e">
        <f>VLOOKUP(A1,Data!$A$1:$DZU$1000000,2860,FALSE)</f>
        <v>#N/A</v>
      </c>
      <c r="D169" t="e">
        <f>VLOOKUP(A1,Data!$A$1:$DZU$1000000,2861,FALSE)</f>
        <v>#N/A</v>
      </c>
      <c r="E169" t="e">
        <f>VLOOKUP(A1,Data!$A$1:$DZU$1000000,2862,FALSE)</f>
        <v>#N/A</v>
      </c>
      <c r="F169" t="e">
        <f>VLOOKUP(A1,Data!$A$1:$DZU$1000000,2863,FALSE)</f>
        <v>#N/A</v>
      </c>
      <c r="G169" t="e">
        <f>VLOOKUP(A1,Data!$A$1:$DZU$1000000,2864,FALSE)</f>
        <v>#N/A</v>
      </c>
      <c r="H169" t="e">
        <f>VLOOKUP(A1,Data!$A$1:$DZU$1000000,2865,FALSE)</f>
        <v>#N/A</v>
      </c>
      <c r="I169" t="e">
        <f>VLOOKUP(A1,Data!$A$1:$DZU$1000000,2866,FALSE)</f>
        <v>#N/A</v>
      </c>
      <c r="J169" t="e">
        <f>VLOOKUP(A1,Data!$A$1:$DZU$1000000,2867,FALSE)</f>
        <v>#N/A</v>
      </c>
      <c r="K169" t="e">
        <f>VLOOKUP(A1,Data!$A$1:$DZU$1000000,2868,FALSE)</f>
        <v>#N/A</v>
      </c>
      <c r="L169" t="e">
        <f>VLOOKUP(A1,Data!$A$1:$DZU$1000000,2869,FALSE)</f>
        <v>#N/A</v>
      </c>
      <c r="M169" t="e">
        <f>VLOOKUP(A1,Data!$A$1:$DZU$1000000,2870,FALSE)</f>
        <v>#N/A</v>
      </c>
      <c r="N169" t="e">
        <f>VLOOKUP(A1,Data!$A$1:$DZU$1000000,2871,FALSE)</f>
        <v>#N/A</v>
      </c>
      <c r="O169" t="e">
        <f>VLOOKUP(A1,Data!$A$1:$DZU$1000000,2872,FALSE)</f>
        <v>#N/A</v>
      </c>
      <c r="P169" t="e">
        <f>VLOOKUP(A1,Data!$A$1:$DZU$1000000,2873,FALSE)</f>
        <v>#N/A</v>
      </c>
      <c r="Q169" s="5" t="e">
        <f>VLOOKUP(A1,Data!$A$1:$DZU$1000000,2874,FALSE)</f>
        <v>#N/A</v>
      </c>
    </row>
    <row r="170" spans="1:17" x14ac:dyDescent="0.35">
      <c r="A170" s="54" t="e">
        <f>VLOOKUP(A1,Data!$A$1:$DZU$1000000,2875,FALSE)</f>
        <v>#N/A</v>
      </c>
      <c r="B170" t="e">
        <f>VLOOKUP(A1,Data!$A$1:$DZU$1000000,2876,FALSE)</f>
        <v>#N/A</v>
      </c>
      <c r="C170" t="e">
        <f>VLOOKUP(A1,Data!$A$1:$DZU$1000000,2877,FALSE)</f>
        <v>#N/A</v>
      </c>
      <c r="D170" t="e">
        <f>VLOOKUP(A1,Data!$A$1:$DZU$1000000,2878,FALSE)</f>
        <v>#N/A</v>
      </c>
      <c r="E170" t="e">
        <f>VLOOKUP(A1,Data!$A$1:$DZU$1000000,2879,FALSE)</f>
        <v>#N/A</v>
      </c>
      <c r="F170" t="e">
        <f>VLOOKUP(A1,Data!$A$1:$DZU$1000000,2880,FALSE)</f>
        <v>#N/A</v>
      </c>
      <c r="G170" t="e">
        <f>VLOOKUP(A1,Data!$A$1:$DZU$1000000,2881,FALSE)</f>
        <v>#N/A</v>
      </c>
      <c r="H170" t="e">
        <f>VLOOKUP(A1,Data!$A$1:$DZU$1000000,2882,FALSE)</f>
        <v>#N/A</v>
      </c>
      <c r="I170" t="e">
        <f>VLOOKUP(A1,Data!$A$1:$DZU$1000000,2883,FALSE)</f>
        <v>#N/A</v>
      </c>
      <c r="J170" t="e">
        <f>VLOOKUP(A1,Data!$A$1:$DZU$1000000,2884,FALSE)</f>
        <v>#N/A</v>
      </c>
      <c r="K170" t="e">
        <f>VLOOKUP(A1,Data!$A$1:$DZU$1000000,2885,FALSE)</f>
        <v>#N/A</v>
      </c>
      <c r="L170" t="e">
        <f>VLOOKUP(A1,Data!$A$1:$DZU$1000000,2886,FALSE)</f>
        <v>#N/A</v>
      </c>
      <c r="M170" t="e">
        <f>VLOOKUP(A1,Data!$A$1:$DZU$1000000,2887,FALSE)</f>
        <v>#N/A</v>
      </c>
      <c r="N170" t="e">
        <f>VLOOKUP(A1,Data!$A$1:$DZU$1000000,2888,FALSE)</f>
        <v>#N/A</v>
      </c>
      <c r="O170" t="e">
        <f>VLOOKUP(A1,Data!$A$1:$DZU$1000000,2889,FALSE)</f>
        <v>#N/A</v>
      </c>
      <c r="P170" t="e">
        <f>VLOOKUP(A1,Data!$A$1:$DZU$1000000,2890,FALSE)</f>
        <v>#N/A</v>
      </c>
      <c r="Q170" s="5" t="e">
        <f>VLOOKUP(A1,Data!$A$1:$DZU$1000000,2891,FALSE)</f>
        <v>#N/A</v>
      </c>
    </row>
    <row r="171" spans="1:17" x14ac:dyDescent="0.35">
      <c r="A171" s="54" t="e">
        <f>VLOOKUP(A1,Data!$A$1:$DZU$1000000,2892,FALSE)</f>
        <v>#N/A</v>
      </c>
      <c r="B171" t="e">
        <f>VLOOKUP(A1,Data!$A$1:$DZU$1000000,2893,FALSE)</f>
        <v>#N/A</v>
      </c>
      <c r="C171" t="e">
        <f>VLOOKUP(A1,Data!$A$1:$DZU$1000000,2894,FALSE)</f>
        <v>#N/A</v>
      </c>
      <c r="D171" t="e">
        <f>VLOOKUP(A1,Data!$A$1:$DZU$1000000,2895,FALSE)</f>
        <v>#N/A</v>
      </c>
      <c r="E171" t="e">
        <f>VLOOKUP(A1,Data!$A$1:$DZU$1000000,2896,FALSE)</f>
        <v>#N/A</v>
      </c>
      <c r="F171" t="e">
        <f>VLOOKUP(A1,Data!$A$1:$DZU$1000000,2897,FALSE)</f>
        <v>#N/A</v>
      </c>
      <c r="G171" t="e">
        <f>VLOOKUP(A1,Data!$A$1:$DZU$1000000,2898,FALSE)</f>
        <v>#N/A</v>
      </c>
      <c r="H171" t="e">
        <f>VLOOKUP(A1,Data!$A$1:$DZU$1000000,2899,FALSE)</f>
        <v>#N/A</v>
      </c>
      <c r="I171" t="e">
        <f>VLOOKUP(A1,Data!$A$1:$DZU$1000000,2900,FALSE)</f>
        <v>#N/A</v>
      </c>
      <c r="J171" t="e">
        <f>VLOOKUP(A1,Data!$A$1:$DZU$1000000,2901,FALSE)</f>
        <v>#N/A</v>
      </c>
      <c r="K171" t="e">
        <f>VLOOKUP(A1,Data!$A$1:$DZU$1000000,2902,FALSE)</f>
        <v>#N/A</v>
      </c>
      <c r="L171" t="e">
        <f>VLOOKUP(A1,Data!$A$1:$DZU$1000000,2903,FALSE)</f>
        <v>#N/A</v>
      </c>
      <c r="M171" t="e">
        <f>VLOOKUP(A1,Data!$A$1:$DZU$1000000,2904,FALSE)</f>
        <v>#N/A</v>
      </c>
      <c r="N171" t="e">
        <f>VLOOKUP(A1,Data!$A$1:$DZU$1000000,2905,FALSE)</f>
        <v>#N/A</v>
      </c>
      <c r="O171" t="e">
        <f>VLOOKUP(A1,Data!$A$1:$DZU$1000000,2906,FALSE)</f>
        <v>#N/A</v>
      </c>
      <c r="P171" t="e">
        <f>VLOOKUP(A1,Data!$A$1:$DZU$1000000,2907,FALSE)</f>
        <v>#N/A</v>
      </c>
      <c r="Q171" s="5" t="e">
        <f>VLOOKUP(A1,Data!$A$1:$DZU$1000000,2908,FALSE)</f>
        <v>#N/A</v>
      </c>
    </row>
    <row r="172" spans="1:17" x14ac:dyDescent="0.35">
      <c r="A172" s="54" t="e">
        <f>VLOOKUP(A1,Data!$A$1:$DZU$1000000,2909,FALSE)</f>
        <v>#N/A</v>
      </c>
      <c r="B172" t="e">
        <f>VLOOKUP(A1,Data!$A$1:$DZU$1000000,2910,FALSE)</f>
        <v>#N/A</v>
      </c>
      <c r="C172" t="e">
        <f>VLOOKUP(A1,Data!$A$1:$DZU$1000000,2911,FALSE)</f>
        <v>#N/A</v>
      </c>
      <c r="D172" t="e">
        <f>VLOOKUP(A1,Data!$A$1:$DZU$1000000,2912,FALSE)</f>
        <v>#N/A</v>
      </c>
      <c r="E172" t="e">
        <f>VLOOKUP(A1,Data!$A$1:$DZU$1000000,2913,FALSE)</f>
        <v>#N/A</v>
      </c>
      <c r="F172" t="e">
        <f>VLOOKUP(A1,Data!$A$1:$DZU$1000000,2914,FALSE)</f>
        <v>#N/A</v>
      </c>
      <c r="G172" t="e">
        <f>VLOOKUP(A1,Data!$A$1:$DZU$1000000,2915,FALSE)</f>
        <v>#N/A</v>
      </c>
      <c r="H172" t="e">
        <f>VLOOKUP(A1,Data!$A$1:$DZU$1000000,2916,FALSE)</f>
        <v>#N/A</v>
      </c>
      <c r="I172" t="e">
        <f>VLOOKUP(A1,Data!$A$1:$DZU$1000000,2917,FALSE)</f>
        <v>#N/A</v>
      </c>
      <c r="J172" t="e">
        <f>VLOOKUP(A1,Data!$A$1:$DZU$1000000,2918,FALSE)</f>
        <v>#N/A</v>
      </c>
      <c r="K172" t="e">
        <f>VLOOKUP(A1,Data!$A$1:$DZU$1000000,2919,FALSE)</f>
        <v>#N/A</v>
      </c>
      <c r="L172" t="e">
        <f>VLOOKUP(A1,Data!$A$1:$DZU$1000000,2920,FALSE)</f>
        <v>#N/A</v>
      </c>
      <c r="M172" t="e">
        <f>VLOOKUP(A1,Data!$A$1:$DZU$1000000,2921,FALSE)</f>
        <v>#N/A</v>
      </c>
      <c r="N172" t="e">
        <f>VLOOKUP(A1,Data!$A$1:$DZU$1000000,2922,FALSE)</f>
        <v>#N/A</v>
      </c>
      <c r="O172" t="e">
        <f>VLOOKUP(A1,Data!$A$1:$DZU$1000000,2923,FALSE)</f>
        <v>#N/A</v>
      </c>
      <c r="P172" t="e">
        <f>VLOOKUP(A1,Data!$A$1:$DZU$1000000,2924,FALSE)</f>
        <v>#N/A</v>
      </c>
      <c r="Q172" s="5" t="e">
        <f>VLOOKUP(A1,Data!$A$1:$DZU$1000000,2925,FALSE)</f>
        <v>#N/A</v>
      </c>
    </row>
    <row r="173" spans="1:17" x14ac:dyDescent="0.35">
      <c r="A173" s="54" t="e">
        <f>VLOOKUP(A1,Data!$A$1:$DZU$1000000,2926,FALSE)</f>
        <v>#N/A</v>
      </c>
      <c r="B173" t="e">
        <f>VLOOKUP(A1,Data!$A$1:$DZU$1000000,2927,FALSE)</f>
        <v>#N/A</v>
      </c>
      <c r="C173" t="e">
        <f>VLOOKUP(A1,Data!$A$1:$DZU$1000000,2928,FALSE)</f>
        <v>#N/A</v>
      </c>
      <c r="D173" t="e">
        <f>VLOOKUP(A1,Data!$A$1:$DZU$1000000,2929,FALSE)</f>
        <v>#N/A</v>
      </c>
      <c r="E173" t="e">
        <f>VLOOKUP(A1,Data!$A$1:$DZU$1000000,2930,FALSE)</f>
        <v>#N/A</v>
      </c>
      <c r="F173" t="e">
        <f>VLOOKUP(A1,Data!$A$1:$DZU$1000000,2931,FALSE)</f>
        <v>#N/A</v>
      </c>
      <c r="G173" t="e">
        <f>VLOOKUP(A1,Data!$A$1:$DZU$1000000,2932,FALSE)</f>
        <v>#N/A</v>
      </c>
      <c r="H173" t="e">
        <f>VLOOKUP(A1,Data!$A$1:$DZU$1000000,2933,FALSE)</f>
        <v>#N/A</v>
      </c>
      <c r="I173" t="e">
        <f>VLOOKUP(A1,Data!$A$1:$DZU$1000000,2934,FALSE)</f>
        <v>#N/A</v>
      </c>
      <c r="J173" t="e">
        <f>VLOOKUP(A1,Data!$A$1:$DZU$1000000,2935,FALSE)</f>
        <v>#N/A</v>
      </c>
      <c r="K173" t="e">
        <f>VLOOKUP(A1,Data!$A$1:$DZU$1000000,2936,FALSE)</f>
        <v>#N/A</v>
      </c>
      <c r="L173" t="e">
        <f>VLOOKUP(A1,Data!$A$1:$DZU$1000000,2937,FALSE)</f>
        <v>#N/A</v>
      </c>
      <c r="M173" t="e">
        <f>VLOOKUP(A1,Data!$A$1:$DZU$1000000,2938,FALSE)</f>
        <v>#N/A</v>
      </c>
      <c r="N173" t="e">
        <f>VLOOKUP(A1,Data!$A$1:$DZU$1000000,2939,FALSE)</f>
        <v>#N/A</v>
      </c>
      <c r="O173" t="e">
        <f>VLOOKUP(A1,Data!$A$1:$DZU$1000000,2940,FALSE)</f>
        <v>#N/A</v>
      </c>
      <c r="P173" t="e">
        <f>VLOOKUP(A1,Data!$A$1:$DZU$1000000,2941,FALSE)</f>
        <v>#N/A</v>
      </c>
      <c r="Q173" s="5" t="e">
        <f>VLOOKUP(A1,Data!$A$1:$DZU$1000000,2942,FALSE)</f>
        <v>#N/A</v>
      </c>
    </row>
    <row r="174" spans="1:17" x14ac:dyDescent="0.35">
      <c r="A174" s="54" t="e">
        <f>VLOOKUP(A1,Data!$A$1:$DZU$1000000,2943,FALSE)</f>
        <v>#N/A</v>
      </c>
      <c r="B174" t="e">
        <f>VLOOKUP(A1,Data!$A$1:$DZU$1000000,2944,FALSE)</f>
        <v>#N/A</v>
      </c>
      <c r="C174" t="e">
        <f>VLOOKUP(A1,Data!$A$1:$DZU$1000000,2945,FALSE)</f>
        <v>#N/A</v>
      </c>
      <c r="D174" t="e">
        <f>VLOOKUP(A1,Data!$A$1:$DZU$1000000,2946,FALSE)</f>
        <v>#N/A</v>
      </c>
      <c r="E174" t="e">
        <f>VLOOKUP(A1,Data!$A$1:$DZU$1000000,2947,FALSE)</f>
        <v>#N/A</v>
      </c>
      <c r="F174" t="e">
        <f>VLOOKUP(A1,Data!$A$1:$DZU$1000000,2948,FALSE)</f>
        <v>#N/A</v>
      </c>
      <c r="G174" t="e">
        <f>VLOOKUP(A1,Data!$A$1:$DZU$1000000,2949,FALSE)</f>
        <v>#N/A</v>
      </c>
      <c r="H174" t="e">
        <f>VLOOKUP(A1,Data!$A$1:$DZU$1000000,2950,FALSE)</f>
        <v>#N/A</v>
      </c>
      <c r="I174" t="e">
        <f>VLOOKUP(A1,Data!$A$1:$DZU$1000000,2951,FALSE)</f>
        <v>#N/A</v>
      </c>
      <c r="J174" t="e">
        <f>VLOOKUP(A1,Data!$A$1:$DZU$1000000,2952,FALSE)</f>
        <v>#N/A</v>
      </c>
      <c r="K174" t="e">
        <f>VLOOKUP(A1,Data!$A$1:$DZU$1000000,2953,FALSE)</f>
        <v>#N/A</v>
      </c>
      <c r="L174" t="e">
        <f>VLOOKUP(A1,Data!$A$1:$DZU$1000000,2954,FALSE)</f>
        <v>#N/A</v>
      </c>
      <c r="M174" t="e">
        <f>VLOOKUP(A1,Data!$A$1:$DZU$1000000,2955,FALSE)</f>
        <v>#N/A</v>
      </c>
      <c r="N174" t="e">
        <f>VLOOKUP(A1,Data!$A$1:$DZU$1000000,2956,FALSE)</f>
        <v>#N/A</v>
      </c>
      <c r="O174" t="e">
        <f>VLOOKUP(A1,Data!$A$1:$DZU$1000000,2957,FALSE)</f>
        <v>#N/A</v>
      </c>
      <c r="P174" t="e">
        <f>VLOOKUP(A1,Data!$A$1:$DZU$1000000,2958,FALSE)</f>
        <v>#N/A</v>
      </c>
      <c r="Q174" s="5" t="e">
        <f>VLOOKUP(A1,Data!$A$1:$DZU$1000000,2959,FALSE)</f>
        <v>#N/A</v>
      </c>
    </row>
    <row r="175" spans="1:17" x14ac:dyDescent="0.35">
      <c r="A175" s="54" t="e">
        <f>VLOOKUP(A1,Data!$A$1:$DZU$1000000,2960,FALSE)</f>
        <v>#N/A</v>
      </c>
      <c r="B175" t="e">
        <f>VLOOKUP(A1,Data!$A$1:$DZU$1000000,2961,FALSE)</f>
        <v>#N/A</v>
      </c>
      <c r="C175" t="e">
        <f>VLOOKUP(A1,Data!$A$1:$DZU$1000000,2962,FALSE)</f>
        <v>#N/A</v>
      </c>
      <c r="D175" t="e">
        <f>VLOOKUP(A1,Data!$A$1:$DZU$1000000,2963,FALSE)</f>
        <v>#N/A</v>
      </c>
      <c r="E175" t="e">
        <f>VLOOKUP(A1,Data!$A$1:$DZU$1000000,2964,FALSE)</f>
        <v>#N/A</v>
      </c>
      <c r="F175" t="e">
        <f>VLOOKUP(A1,Data!$A$1:$DZU$1000000,2965,FALSE)</f>
        <v>#N/A</v>
      </c>
      <c r="G175" t="e">
        <f>VLOOKUP(A1,Data!$A$1:$DZU$1000000,2966,FALSE)</f>
        <v>#N/A</v>
      </c>
      <c r="H175" t="e">
        <f>VLOOKUP(A1,Data!$A$1:$DZU$1000000,2967,FALSE)</f>
        <v>#N/A</v>
      </c>
      <c r="I175" t="e">
        <f>VLOOKUP(A1,Data!$A$1:$DZU$1000000,2968,FALSE)</f>
        <v>#N/A</v>
      </c>
      <c r="J175" t="e">
        <f>VLOOKUP(A1,Data!$A$1:$DZU$1000000,2969,FALSE)</f>
        <v>#N/A</v>
      </c>
      <c r="K175" t="e">
        <f>VLOOKUP(A1,Data!$A$1:$DZU$1000000,2970,FALSE)</f>
        <v>#N/A</v>
      </c>
      <c r="L175" t="e">
        <f>VLOOKUP(A1,Data!$A$1:$DZU$1000000,2971,FALSE)</f>
        <v>#N/A</v>
      </c>
      <c r="M175" t="e">
        <f>VLOOKUP(A1,Data!$A$1:$DZU$1000000,2972,FALSE)</f>
        <v>#N/A</v>
      </c>
      <c r="N175" t="e">
        <f>VLOOKUP(A1,Data!$A$1:$DZU$1000000,2973,FALSE)</f>
        <v>#N/A</v>
      </c>
      <c r="O175" t="e">
        <f>VLOOKUP(A1,Data!$A$1:$DZU$1000000,2974,FALSE)</f>
        <v>#N/A</v>
      </c>
      <c r="P175" t="e">
        <f>VLOOKUP(A1,Data!$A$1:$DZU$1000000,2975,FALSE)</f>
        <v>#N/A</v>
      </c>
      <c r="Q175" s="5" t="e">
        <f>VLOOKUP(A1,Data!$A$1:$DZU$1000000,2976,FALSE)</f>
        <v>#N/A</v>
      </c>
    </row>
    <row r="176" spans="1:17" x14ac:dyDescent="0.35">
      <c r="A176" s="54" t="e">
        <f>VLOOKUP(A1,Data!$A$1:$DZU$1000000,2977,FALSE)</f>
        <v>#N/A</v>
      </c>
      <c r="B176" t="e">
        <f>VLOOKUP(A1,Data!$A$1:$DZU$1000000,2978,FALSE)</f>
        <v>#N/A</v>
      </c>
      <c r="C176" t="e">
        <f>VLOOKUP(A1,Data!$A$1:$DZU$1000000,2979,FALSE)</f>
        <v>#N/A</v>
      </c>
      <c r="D176" t="e">
        <f>VLOOKUP(A1,Data!$A$1:$DZU$1000000,2980,FALSE)</f>
        <v>#N/A</v>
      </c>
      <c r="E176" t="e">
        <f>VLOOKUP(A1,Data!$A$1:$DZU$1000000,2981,FALSE)</f>
        <v>#N/A</v>
      </c>
      <c r="F176" t="e">
        <f>VLOOKUP(A1,Data!$A$1:$DZU$1000000,2982,FALSE)</f>
        <v>#N/A</v>
      </c>
      <c r="G176" t="e">
        <f>VLOOKUP(A1,Data!$A$1:$DZU$1000000,2983,FALSE)</f>
        <v>#N/A</v>
      </c>
      <c r="H176" t="e">
        <f>VLOOKUP(A1,Data!$A$1:$DZU$1000000,2984,FALSE)</f>
        <v>#N/A</v>
      </c>
      <c r="I176" t="e">
        <f>VLOOKUP(A1,Data!$A$1:$DZU$1000000,2985,FALSE)</f>
        <v>#N/A</v>
      </c>
      <c r="J176" t="e">
        <f>VLOOKUP(A1,Data!$A$1:$DZU$1000000,2986,FALSE)</f>
        <v>#N/A</v>
      </c>
      <c r="K176" t="e">
        <f>VLOOKUP(A1,Data!$A$1:$DZU$1000000,2987,FALSE)</f>
        <v>#N/A</v>
      </c>
      <c r="L176" t="e">
        <f>VLOOKUP(A1,Data!$A$1:$DZU$1000000,2988,FALSE)</f>
        <v>#N/A</v>
      </c>
      <c r="M176" t="e">
        <f>VLOOKUP(A1,Data!$A$1:$DZU$1000000,2989,FALSE)</f>
        <v>#N/A</v>
      </c>
      <c r="N176" t="e">
        <f>VLOOKUP(A1,Data!$A$1:$DZU$1000000,2990,FALSE)</f>
        <v>#N/A</v>
      </c>
      <c r="O176" t="e">
        <f>VLOOKUP(A1,Data!$A$1:$DZU$1000000,2991,FALSE)</f>
        <v>#N/A</v>
      </c>
      <c r="P176" t="e">
        <f>VLOOKUP(A1,Data!$A$1:$DZU$1000000,2992,FALSE)</f>
        <v>#N/A</v>
      </c>
      <c r="Q176" s="5" t="e">
        <f>VLOOKUP(A1,Data!$A$1:$DZU$1000000,2993,FALSE)</f>
        <v>#N/A</v>
      </c>
    </row>
    <row r="177" spans="1:17" x14ac:dyDescent="0.35">
      <c r="A177" s="54" t="e">
        <f>VLOOKUP(A1,Data!$A$1:$DZU$1000000,2994,FALSE)</f>
        <v>#N/A</v>
      </c>
      <c r="B177" t="e">
        <f>VLOOKUP(A1,Data!$A$1:$DZU$1000000,2995,FALSE)</f>
        <v>#N/A</v>
      </c>
      <c r="C177" t="e">
        <f>VLOOKUP(A1,Data!$A$1:$DZU$1000000,2996,FALSE)</f>
        <v>#N/A</v>
      </c>
      <c r="D177" t="e">
        <f>VLOOKUP(A1,Data!$A$1:$DZU$1000000,2997,FALSE)</f>
        <v>#N/A</v>
      </c>
      <c r="E177" t="e">
        <f>VLOOKUP(A1,Data!$A$1:$DZU$1000000,2998,FALSE)</f>
        <v>#N/A</v>
      </c>
      <c r="F177" t="e">
        <f>VLOOKUP(A1,Data!$A$1:$DZU$1000000,2999,FALSE)</f>
        <v>#N/A</v>
      </c>
      <c r="G177" t="e">
        <f>VLOOKUP(A1,Data!$A$1:$DZU$1000000,3000,FALSE)</f>
        <v>#N/A</v>
      </c>
      <c r="H177" t="e">
        <f>VLOOKUP(A1,Data!$A$1:$DZU$1000000,3001,FALSE)</f>
        <v>#N/A</v>
      </c>
      <c r="I177" t="e">
        <f>VLOOKUP(A1,Data!$A$1:$DZU$1000000,3002,FALSE)</f>
        <v>#N/A</v>
      </c>
      <c r="J177" t="e">
        <f>VLOOKUP(A1,Data!$A$1:$DZU$1000000,3003,FALSE)</f>
        <v>#N/A</v>
      </c>
      <c r="K177" t="e">
        <f>VLOOKUP(A1,Data!$A$1:$DZU$1000000,3004,FALSE)</f>
        <v>#N/A</v>
      </c>
      <c r="L177" t="e">
        <f>VLOOKUP(A1,Data!$A$1:$DZU$1000000,3005,FALSE)</f>
        <v>#N/A</v>
      </c>
      <c r="M177" t="e">
        <f>VLOOKUP(A1,Data!$A$1:$DZU$1000000,3006,FALSE)</f>
        <v>#N/A</v>
      </c>
      <c r="N177" t="e">
        <f>VLOOKUP(A1,Data!$A$1:$DZU$1000000,3007,FALSE)</f>
        <v>#N/A</v>
      </c>
      <c r="O177" t="e">
        <f>VLOOKUP(A1,Data!$A$1:$DZU$1000000,3008,FALSE)</f>
        <v>#N/A</v>
      </c>
      <c r="P177" t="e">
        <f>VLOOKUP(A1,Data!$A$1:$DZU$1000000,3009,FALSE)</f>
        <v>#N/A</v>
      </c>
      <c r="Q177" s="5" t="e">
        <f>VLOOKUP(A1,Data!$A$1:$DZU$1000000,3010,FALSE)</f>
        <v>#N/A</v>
      </c>
    </row>
    <row r="178" spans="1:17" x14ac:dyDescent="0.35">
      <c r="A178" s="54" t="e">
        <f>VLOOKUP(A1,Data!$A$1:$DZU$1000000,3011,FALSE)</f>
        <v>#N/A</v>
      </c>
      <c r="B178" t="e">
        <f>VLOOKUP(A1,Data!$A$1:$DZU$1000000,3012,FALSE)</f>
        <v>#N/A</v>
      </c>
      <c r="C178" t="e">
        <f>VLOOKUP(A1,Data!$A$1:$DZU$1000000,3013,FALSE)</f>
        <v>#N/A</v>
      </c>
      <c r="D178" t="e">
        <f>VLOOKUP(A1,Data!$A$1:$DZU$1000000,3014,FALSE)</f>
        <v>#N/A</v>
      </c>
      <c r="E178" t="e">
        <f>VLOOKUP(A1,Data!$A$1:$DZU$1000000,3015,FALSE)</f>
        <v>#N/A</v>
      </c>
      <c r="F178" t="e">
        <f>VLOOKUP(A1,Data!$A$1:$DZU$1000000,3016,FALSE)</f>
        <v>#N/A</v>
      </c>
      <c r="G178" t="e">
        <f>VLOOKUP(A1,Data!$A$1:$DZU$1000000,3017,FALSE)</f>
        <v>#N/A</v>
      </c>
      <c r="H178" t="e">
        <f>VLOOKUP(A1,Data!$A$1:$DZU$1000000,3018,FALSE)</f>
        <v>#N/A</v>
      </c>
      <c r="I178" t="e">
        <f>VLOOKUP(A1,Data!$A$1:$DZU$1000000,3019,FALSE)</f>
        <v>#N/A</v>
      </c>
      <c r="J178" t="e">
        <f>VLOOKUP(A1,Data!$A$1:$DZU$1000000,3020,FALSE)</f>
        <v>#N/A</v>
      </c>
      <c r="K178" t="e">
        <f>VLOOKUP(A1,Data!$A$1:$DZU$1000000,3021,FALSE)</f>
        <v>#N/A</v>
      </c>
      <c r="L178" t="e">
        <f>VLOOKUP(A1,Data!$A$1:$DZU$1000000,3022,FALSE)</f>
        <v>#N/A</v>
      </c>
      <c r="M178" t="e">
        <f>VLOOKUP(A1,Data!$A$1:$DZU$1000000,3023,FALSE)</f>
        <v>#N/A</v>
      </c>
      <c r="N178" t="e">
        <f>VLOOKUP(A1,Data!$A$1:$DZU$1000000,3024,FALSE)</f>
        <v>#N/A</v>
      </c>
      <c r="O178" t="e">
        <f>VLOOKUP(A1,Data!$A$1:$DZU$1000000,3025,FALSE)</f>
        <v>#N/A</v>
      </c>
      <c r="P178" t="e">
        <f>VLOOKUP(A1,Data!$A$1:$DZU$1000000,3026,FALSE)</f>
        <v>#N/A</v>
      </c>
      <c r="Q178" s="5" t="e">
        <f>VLOOKUP(A1,Data!$A$1:$DZU$1000000,3027,FALSE)</f>
        <v>#N/A</v>
      </c>
    </row>
    <row r="179" spans="1:17" x14ac:dyDescent="0.35">
      <c r="A179" s="54" t="e">
        <f>VLOOKUP(A1,Data!$A$1:$DZU$1000000,3028,FALSE)</f>
        <v>#N/A</v>
      </c>
      <c r="B179" t="e">
        <f>VLOOKUP(A1,Data!$A$1:$DZU$1000000,3029,FALSE)</f>
        <v>#N/A</v>
      </c>
      <c r="C179" t="e">
        <f>VLOOKUP(A1,Data!$A$1:$DZU$1000000,3030,FALSE)</f>
        <v>#N/A</v>
      </c>
      <c r="D179" t="e">
        <f>VLOOKUP(A1,Data!$A$1:$DZU$1000000,3031,FALSE)</f>
        <v>#N/A</v>
      </c>
      <c r="E179" t="e">
        <f>VLOOKUP(A1,Data!$A$1:$DZU$1000000,3032,FALSE)</f>
        <v>#N/A</v>
      </c>
      <c r="F179" t="e">
        <f>VLOOKUP(A1,Data!$A$1:$DZU$1000000,3033,FALSE)</f>
        <v>#N/A</v>
      </c>
      <c r="G179" t="e">
        <f>VLOOKUP(A1,Data!$A$1:$DZU$1000000,3034,FALSE)</f>
        <v>#N/A</v>
      </c>
      <c r="H179" t="e">
        <f>VLOOKUP(A1,Data!$A$1:$DZU$1000000,3035,FALSE)</f>
        <v>#N/A</v>
      </c>
      <c r="I179" t="e">
        <f>VLOOKUP(A1,Data!$A$1:$DZU$1000000,3036,FALSE)</f>
        <v>#N/A</v>
      </c>
      <c r="J179" t="e">
        <f>VLOOKUP(A1,Data!$A$1:$DZU$1000000,3037,FALSE)</f>
        <v>#N/A</v>
      </c>
      <c r="K179" t="e">
        <f>VLOOKUP(A1,Data!$A$1:$DZU$1000000,3038,FALSE)</f>
        <v>#N/A</v>
      </c>
      <c r="L179" t="e">
        <f>VLOOKUP(A1,Data!$A$1:$DZU$1000000,3039,FALSE)</f>
        <v>#N/A</v>
      </c>
      <c r="M179" t="e">
        <f>VLOOKUP(A1,Data!$A$1:$DZU$1000000,3040,FALSE)</f>
        <v>#N/A</v>
      </c>
      <c r="N179" t="e">
        <f>VLOOKUP(A1,Data!$A$1:$DZU$1000000,3041,FALSE)</f>
        <v>#N/A</v>
      </c>
      <c r="O179" t="e">
        <f>VLOOKUP(A1,Data!$A$1:$DZU$1000000,3042,FALSE)</f>
        <v>#N/A</v>
      </c>
      <c r="P179" t="e">
        <f>VLOOKUP(A1,Data!$A$1:$DZU$1000000,3043,FALSE)</f>
        <v>#N/A</v>
      </c>
      <c r="Q179" s="5" t="e">
        <f>VLOOKUP(A1,Data!$A$1:$DZU$1000000,3044,FALSE)</f>
        <v>#N/A</v>
      </c>
    </row>
    <row r="180" spans="1:17" x14ac:dyDescent="0.35">
      <c r="A180" s="54" t="e">
        <f>VLOOKUP(A1,Data!$A$1:$DZU$1000000,3045,FALSE)</f>
        <v>#N/A</v>
      </c>
      <c r="B180" t="e">
        <f>VLOOKUP(A1,Data!$A$1:$DZU$1000000,3046,FALSE)</f>
        <v>#N/A</v>
      </c>
      <c r="C180" t="e">
        <f>VLOOKUP(A1,Data!$A$1:$DZU$1000000,3047,FALSE)</f>
        <v>#N/A</v>
      </c>
      <c r="D180" t="e">
        <f>VLOOKUP(A1,Data!$A$1:$DZU$1000000,3048,FALSE)</f>
        <v>#N/A</v>
      </c>
      <c r="E180" t="e">
        <f>VLOOKUP(A1,Data!$A$1:$DZU$1000000,3049,FALSE)</f>
        <v>#N/A</v>
      </c>
      <c r="F180" t="e">
        <f>VLOOKUP(A1,Data!$A$1:$DZU$1000000,3050,FALSE)</f>
        <v>#N/A</v>
      </c>
      <c r="G180" t="e">
        <f>VLOOKUP(A1,Data!$A$1:$DZU$1000000,3051,FALSE)</f>
        <v>#N/A</v>
      </c>
      <c r="H180" t="e">
        <f>VLOOKUP(A1,Data!$A$1:$DZU$1000000,3052,FALSE)</f>
        <v>#N/A</v>
      </c>
      <c r="I180" t="e">
        <f>VLOOKUP(A1,Data!$A$1:$DZU$1000000,3053,FALSE)</f>
        <v>#N/A</v>
      </c>
      <c r="J180" t="e">
        <f>VLOOKUP(A1,Data!$A$1:$DZU$1000000,3054,FALSE)</f>
        <v>#N/A</v>
      </c>
      <c r="K180" t="e">
        <f>VLOOKUP(A1,Data!$A$1:$DZU$1000000,3055,FALSE)</f>
        <v>#N/A</v>
      </c>
      <c r="L180" t="e">
        <f>VLOOKUP(A1,Data!$A$1:$DZU$1000000,3056,FALSE)</f>
        <v>#N/A</v>
      </c>
      <c r="M180" t="e">
        <f>VLOOKUP(A1,Data!$A$1:$DZU$1000000,3057,FALSE)</f>
        <v>#N/A</v>
      </c>
      <c r="N180" t="e">
        <f>VLOOKUP(A1,Data!$A$1:$DZU$1000000,3058,FALSE)</f>
        <v>#N/A</v>
      </c>
      <c r="O180" t="e">
        <f>VLOOKUP(A1,Data!$A$1:$DZU$1000000,3059,FALSE)</f>
        <v>#N/A</v>
      </c>
      <c r="P180" t="e">
        <f>VLOOKUP(A1,Data!$A$1:$DZU$1000000,3060,FALSE)</f>
        <v>#N/A</v>
      </c>
      <c r="Q180" s="5" t="e">
        <f>VLOOKUP(A1,Data!$A$1:$DZU$1000000,3061,FALSE)</f>
        <v>#N/A</v>
      </c>
    </row>
    <row r="181" spans="1:17" x14ac:dyDescent="0.35">
      <c r="A181" s="54" t="e">
        <f>VLOOKUP(A1,Data!$A$1:$DZU$1000000,3062,FALSE)</f>
        <v>#N/A</v>
      </c>
      <c r="B181" t="e">
        <f>VLOOKUP(A1,Data!$A$1:$DZU$1000000,3063,FALSE)</f>
        <v>#N/A</v>
      </c>
      <c r="C181" t="e">
        <f>VLOOKUP(A1,Data!$A$1:$DZU$1000000,3064,FALSE)</f>
        <v>#N/A</v>
      </c>
      <c r="D181" t="e">
        <f>VLOOKUP(A1,Data!$A$1:$DZU$1000000,3065,FALSE)</f>
        <v>#N/A</v>
      </c>
      <c r="E181" t="e">
        <f>VLOOKUP(A1,Data!$A$1:$DZU$1000000,3066,FALSE)</f>
        <v>#N/A</v>
      </c>
      <c r="F181" t="e">
        <f>VLOOKUP(A1,Data!$A$1:$DZU$1000000,3067,FALSE)</f>
        <v>#N/A</v>
      </c>
      <c r="G181" t="e">
        <f>VLOOKUP(A1,Data!$A$1:$DZU$1000000,3068,FALSE)</f>
        <v>#N/A</v>
      </c>
      <c r="H181" t="e">
        <f>VLOOKUP(A1,Data!$A$1:$DZU$1000000,3069,FALSE)</f>
        <v>#N/A</v>
      </c>
      <c r="I181" t="e">
        <f>VLOOKUP(A1,Data!$A$1:$DZU$1000000,3070,FALSE)</f>
        <v>#N/A</v>
      </c>
      <c r="J181" t="e">
        <f>VLOOKUP(A1,Data!$A$1:$DZU$1000000,3071,FALSE)</f>
        <v>#N/A</v>
      </c>
      <c r="K181" t="e">
        <f>VLOOKUP(A1,Data!$A$1:$DZU$1000000,3072,FALSE)</f>
        <v>#N/A</v>
      </c>
      <c r="L181" t="e">
        <f>VLOOKUP(A1,Data!$A$1:$DZU$1000000,3073,FALSE)</f>
        <v>#N/A</v>
      </c>
      <c r="M181" t="e">
        <f>VLOOKUP(A1,Data!$A$1:$DZU$1000000,3074,FALSE)</f>
        <v>#N/A</v>
      </c>
      <c r="N181" t="e">
        <f>VLOOKUP(A1,Data!$A$1:$DZU$1000000,3075,FALSE)</f>
        <v>#N/A</v>
      </c>
      <c r="O181" t="e">
        <f>VLOOKUP(A1,Data!$A$1:$DZU$1000000,3076,FALSE)</f>
        <v>#N/A</v>
      </c>
      <c r="P181" t="e">
        <f>VLOOKUP(A1,Data!$A$1:$DZU$1000000,3077,FALSE)</f>
        <v>#N/A</v>
      </c>
      <c r="Q181" s="5" t="e">
        <f>VLOOKUP(A1,Data!$A$1:$DZU$1000000,3078,FALSE)</f>
        <v>#N/A</v>
      </c>
    </row>
    <row r="182" spans="1:17" x14ac:dyDescent="0.35">
      <c r="A182" s="54" t="e">
        <f>VLOOKUP(A1,Data!$A$1:$DZU$1000000,3079,FALSE)</f>
        <v>#N/A</v>
      </c>
      <c r="B182" t="e">
        <f>VLOOKUP(A1,Data!$A$1:$DZU$1000000,3080,FALSE)</f>
        <v>#N/A</v>
      </c>
      <c r="C182" t="e">
        <f>VLOOKUP(A1,Data!$A$1:$DZU$1000000,3081,FALSE)</f>
        <v>#N/A</v>
      </c>
      <c r="D182" t="e">
        <f>VLOOKUP(A1,Data!$A$1:$DZU$1000000,3082,FALSE)</f>
        <v>#N/A</v>
      </c>
      <c r="E182" t="e">
        <f>VLOOKUP(A1,Data!$A$1:$DZU$1000000,3083,FALSE)</f>
        <v>#N/A</v>
      </c>
      <c r="F182" t="e">
        <f>VLOOKUP(A1,Data!$A$1:$DZU$1000000,3084,FALSE)</f>
        <v>#N/A</v>
      </c>
      <c r="G182" t="e">
        <f>VLOOKUP(A1,Data!$A$1:$DZU$1000000,3085,FALSE)</f>
        <v>#N/A</v>
      </c>
      <c r="H182" t="e">
        <f>VLOOKUP(A1,Data!$A$1:$DZU$1000000,3086,FALSE)</f>
        <v>#N/A</v>
      </c>
      <c r="I182" t="e">
        <f>VLOOKUP(A1,Data!$A$1:$DZU$1000000,3087,FALSE)</f>
        <v>#N/A</v>
      </c>
      <c r="J182" t="e">
        <f>VLOOKUP(A1,Data!$A$1:$DZU$1000000,3088,FALSE)</f>
        <v>#N/A</v>
      </c>
      <c r="K182" t="e">
        <f>VLOOKUP(A1,Data!$A$1:$DZU$1000000,3089,FALSE)</f>
        <v>#N/A</v>
      </c>
      <c r="L182" t="e">
        <f>VLOOKUP(A1,Data!$A$1:$DZU$1000000,3090,FALSE)</f>
        <v>#N/A</v>
      </c>
      <c r="M182" t="e">
        <f>VLOOKUP(A1,Data!$A$1:$DZU$1000000,3091,FALSE)</f>
        <v>#N/A</v>
      </c>
      <c r="N182" t="e">
        <f>VLOOKUP(A1,Data!$A$1:$DZU$1000000,3092,FALSE)</f>
        <v>#N/A</v>
      </c>
      <c r="O182" t="e">
        <f>VLOOKUP(A1,Data!$A$1:$DZU$1000000,3093,FALSE)</f>
        <v>#N/A</v>
      </c>
      <c r="P182" t="e">
        <f>VLOOKUP(A1,Data!$A$1:$DZU$1000000,3094,FALSE)</f>
        <v>#N/A</v>
      </c>
      <c r="Q182" s="5" t="e">
        <f>VLOOKUP(A1,Data!$A$1:$DZU$1000000,3095,FALSE)</f>
        <v>#N/A</v>
      </c>
    </row>
    <row r="183" spans="1:17" x14ac:dyDescent="0.35">
      <c r="A183" s="54" t="e">
        <f>VLOOKUP(A1,Data!$A$1:$DZU$1000000,3096,FALSE)</f>
        <v>#N/A</v>
      </c>
      <c r="B183" t="e">
        <f>VLOOKUP(A1,Data!$A$1:$DZU$1000000,3097,FALSE)</f>
        <v>#N/A</v>
      </c>
      <c r="C183" t="e">
        <f>VLOOKUP(A1,Data!$A$1:$DZU$1000000,3098,FALSE)</f>
        <v>#N/A</v>
      </c>
      <c r="D183" t="e">
        <f>VLOOKUP(A1,Data!$A$1:$DZU$1000000,3099,FALSE)</f>
        <v>#N/A</v>
      </c>
      <c r="E183" t="e">
        <f>VLOOKUP(A1,Data!$A$1:$DZU$1000000,3100,FALSE)</f>
        <v>#N/A</v>
      </c>
      <c r="F183" t="e">
        <f>VLOOKUP(A1,Data!$A$1:$DZU$1000000,3101,FALSE)</f>
        <v>#N/A</v>
      </c>
      <c r="G183" t="e">
        <f>VLOOKUP(A1,Data!$A$1:$DZU$1000000,3102,FALSE)</f>
        <v>#N/A</v>
      </c>
      <c r="H183" t="e">
        <f>VLOOKUP(A1,Data!$A$1:$DZU$1000000,3103,FALSE)</f>
        <v>#N/A</v>
      </c>
      <c r="I183" t="e">
        <f>VLOOKUP(A1,Data!$A$1:$DZU$1000000,3104,FALSE)</f>
        <v>#N/A</v>
      </c>
      <c r="J183" t="e">
        <f>VLOOKUP(A1,Data!$A$1:$DZU$1000000,3105,FALSE)</f>
        <v>#N/A</v>
      </c>
      <c r="K183" t="e">
        <f>VLOOKUP(A1,Data!$A$1:$DZU$1000000,3106,FALSE)</f>
        <v>#N/A</v>
      </c>
      <c r="L183" t="e">
        <f>VLOOKUP(A1,Data!$A$1:$DZU$1000000,3107,FALSE)</f>
        <v>#N/A</v>
      </c>
      <c r="M183" t="e">
        <f>VLOOKUP(A1,Data!$A$1:$DZU$1000000,3108,FALSE)</f>
        <v>#N/A</v>
      </c>
      <c r="N183" t="e">
        <f>VLOOKUP(A1,Data!$A$1:$DZU$1000000,3109,FALSE)</f>
        <v>#N/A</v>
      </c>
      <c r="O183" t="e">
        <f>VLOOKUP(A1,Data!$A$1:$DZU$1000000,3110,FALSE)</f>
        <v>#N/A</v>
      </c>
      <c r="P183" t="e">
        <f>VLOOKUP(A1,Data!$A$1:$DZU$1000000,3111,FALSE)</f>
        <v>#N/A</v>
      </c>
      <c r="Q183" s="5" t="e">
        <f>VLOOKUP(A1,Data!$A$1:$DZU$1000000,3112,FALSE)</f>
        <v>#N/A</v>
      </c>
    </row>
    <row r="184" spans="1:17" x14ac:dyDescent="0.35">
      <c r="A184" s="54" t="e">
        <f>VLOOKUP(A1,Data!$A$1:$DZU$1000000,3113,FALSE)</f>
        <v>#N/A</v>
      </c>
      <c r="B184" t="e">
        <f>VLOOKUP(A1,Data!$A$1:$DZU$1000000,3114,FALSE)</f>
        <v>#N/A</v>
      </c>
      <c r="C184" t="e">
        <f>VLOOKUP(A1,Data!$A$1:$DZU$1000000,3115,FALSE)</f>
        <v>#N/A</v>
      </c>
      <c r="D184" t="e">
        <f>VLOOKUP(A1,Data!$A$1:$DZU$1000000,3116,FALSE)</f>
        <v>#N/A</v>
      </c>
      <c r="E184" t="e">
        <f>VLOOKUP(A1,Data!$A$1:$DZU$1000000,3117,FALSE)</f>
        <v>#N/A</v>
      </c>
      <c r="F184" t="e">
        <f>VLOOKUP(A1,Data!$A$1:$DZU$1000000,3118,FALSE)</f>
        <v>#N/A</v>
      </c>
      <c r="G184" t="e">
        <f>VLOOKUP(A1,Data!$A$1:$DZU$1000000,3119,FALSE)</f>
        <v>#N/A</v>
      </c>
      <c r="H184" t="e">
        <f>VLOOKUP(A1,Data!$A$1:$DZU$1000000,3120,FALSE)</f>
        <v>#N/A</v>
      </c>
      <c r="I184" t="e">
        <f>VLOOKUP(A1,Data!$A$1:$DZU$1000000,3121,FALSE)</f>
        <v>#N/A</v>
      </c>
      <c r="J184" t="e">
        <f>VLOOKUP(A1,Data!$A$1:$DZU$1000000,3122,FALSE)</f>
        <v>#N/A</v>
      </c>
      <c r="K184" t="e">
        <f>VLOOKUP(A1,Data!$A$1:$DZU$1000000,3123,FALSE)</f>
        <v>#N/A</v>
      </c>
      <c r="L184" t="e">
        <f>VLOOKUP(A1,Data!$A$1:$DZU$1000000,3124,FALSE)</f>
        <v>#N/A</v>
      </c>
      <c r="M184" t="e">
        <f>VLOOKUP(A1,Data!$A$1:$DZU$1000000,3125,FALSE)</f>
        <v>#N/A</v>
      </c>
      <c r="N184" t="e">
        <f>VLOOKUP(A1,Data!$A$1:$DZU$1000000,3126,FALSE)</f>
        <v>#N/A</v>
      </c>
      <c r="O184" t="e">
        <f>VLOOKUP(A1,Data!$A$1:$DZU$1000000,3127,FALSE)</f>
        <v>#N/A</v>
      </c>
      <c r="P184" t="e">
        <f>VLOOKUP(A1,Data!$A$1:$DZU$1000000,3128,FALSE)</f>
        <v>#N/A</v>
      </c>
      <c r="Q184" s="5" t="e">
        <f>VLOOKUP(A1,Data!$A$1:$DZU$1000000,3129,FALSE)</f>
        <v>#N/A</v>
      </c>
    </row>
    <row r="185" spans="1:17" x14ac:dyDescent="0.35">
      <c r="A185" s="54" t="e">
        <f>VLOOKUP(A1,Data!$A$1:$DZU$1000000,3130,FALSE)</f>
        <v>#N/A</v>
      </c>
      <c r="B185" t="e">
        <f>VLOOKUP(A1,Data!$A$1:$DZU$1000000,3131,FALSE)</f>
        <v>#N/A</v>
      </c>
      <c r="C185" t="e">
        <f>VLOOKUP(A1,Data!$A$1:$DZU$1000000,3132,FALSE)</f>
        <v>#N/A</v>
      </c>
      <c r="D185" t="e">
        <f>VLOOKUP(A1,Data!$A$1:$DZU$1000000,3133,FALSE)</f>
        <v>#N/A</v>
      </c>
      <c r="E185" t="e">
        <f>VLOOKUP(A1,Data!$A$1:$DZU$1000000,3134,FALSE)</f>
        <v>#N/A</v>
      </c>
      <c r="F185" t="e">
        <f>VLOOKUP(A1,Data!$A$1:$DZU$1000000,3135,FALSE)</f>
        <v>#N/A</v>
      </c>
      <c r="G185" t="e">
        <f>VLOOKUP(A1,Data!$A$1:$DZU$1000000,3136,FALSE)</f>
        <v>#N/A</v>
      </c>
      <c r="H185" t="e">
        <f>VLOOKUP(A1,Data!$A$1:$DZU$1000000,3137,FALSE)</f>
        <v>#N/A</v>
      </c>
      <c r="I185" t="e">
        <f>VLOOKUP(A1,Data!$A$1:$DZU$1000000,3138,FALSE)</f>
        <v>#N/A</v>
      </c>
      <c r="J185" t="e">
        <f>VLOOKUP(A1,Data!$A$1:$DZU$1000000,3139,FALSE)</f>
        <v>#N/A</v>
      </c>
      <c r="K185" t="e">
        <f>VLOOKUP(A1,Data!$A$1:$DZU$1000000,3140,FALSE)</f>
        <v>#N/A</v>
      </c>
      <c r="L185" t="e">
        <f>VLOOKUP(A1,Data!$A$1:$DZU$1000000,3141,FALSE)</f>
        <v>#N/A</v>
      </c>
      <c r="M185" t="e">
        <f>VLOOKUP(A1,Data!$A$1:$DZU$1000000,3142,FALSE)</f>
        <v>#N/A</v>
      </c>
      <c r="N185" t="e">
        <f>VLOOKUP(A1,Data!$A$1:$DZU$1000000,3143,FALSE)</f>
        <v>#N/A</v>
      </c>
      <c r="O185" t="e">
        <f>VLOOKUP(A1,Data!$A$1:$DZU$1000000,3144,FALSE)</f>
        <v>#N/A</v>
      </c>
      <c r="P185" t="e">
        <f>VLOOKUP(A1,Data!$A$1:$DZU$1000000,3145,FALSE)</f>
        <v>#N/A</v>
      </c>
      <c r="Q185" s="5" t="e">
        <f>VLOOKUP(A1,Data!$A$1:$DZU$1000000,3146,FALSE)</f>
        <v>#N/A</v>
      </c>
    </row>
    <row r="186" spans="1:17" x14ac:dyDescent="0.35">
      <c r="A186" s="54" t="e">
        <f>VLOOKUP(A1,Data!$A$1:$DZU$1000000,3147,FALSE)</f>
        <v>#N/A</v>
      </c>
      <c r="B186" t="e">
        <f>VLOOKUP(A1,Data!$A$1:$DZU$1000000,3148,FALSE)</f>
        <v>#N/A</v>
      </c>
      <c r="C186" t="e">
        <f>VLOOKUP(A1,Data!$A$1:$DZU$1000000,3149,FALSE)</f>
        <v>#N/A</v>
      </c>
      <c r="D186" t="e">
        <f>VLOOKUP(A1,Data!$A$1:$DZU$1000000,3150,FALSE)</f>
        <v>#N/A</v>
      </c>
      <c r="E186" t="e">
        <f>VLOOKUP(A1,Data!$A$1:$DZU$1000000,3151,FALSE)</f>
        <v>#N/A</v>
      </c>
      <c r="F186" t="e">
        <f>VLOOKUP(A1,Data!$A$1:$DZU$1000000,3152,FALSE)</f>
        <v>#N/A</v>
      </c>
      <c r="G186" t="e">
        <f>VLOOKUP(A1,Data!$A$1:$DZU$1000000,3153,FALSE)</f>
        <v>#N/A</v>
      </c>
      <c r="H186" t="e">
        <f>VLOOKUP(A1,Data!$A$1:$DZU$1000000,3154,FALSE)</f>
        <v>#N/A</v>
      </c>
      <c r="I186" t="e">
        <f>VLOOKUP(A1,Data!$A$1:$DZU$1000000,3155,FALSE)</f>
        <v>#N/A</v>
      </c>
      <c r="J186" t="e">
        <f>VLOOKUP(A1,Data!$A$1:$DZU$1000000,3156,FALSE)</f>
        <v>#N/A</v>
      </c>
      <c r="K186" t="e">
        <f>VLOOKUP(A1,Data!$A$1:$DZU$1000000,3157,FALSE)</f>
        <v>#N/A</v>
      </c>
      <c r="L186" t="e">
        <f>VLOOKUP(A1,Data!$A$1:$DZU$1000000,3158,FALSE)</f>
        <v>#N/A</v>
      </c>
      <c r="M186" t="e">
        <f>VLOOKUP(A1,Data!$A$1:$DZU$1000000,3159,FALSE)</f>
        <v>#N/A</v>
      </c>
      <c r="N186" t="e">
        <f>VLOOKUP(A1,Data!$A$1:$DZU$1000000,3160,FALSE)</f>
        <v>#N/A</v>
      </c>
      <c r="O186" t="e">
        <f>VLOOKUP(A1,Data!$A$1:$DZU$1000000,3161,FALSE)</f>
        <v>#N/A</v>
      </c>
      <c r="P186" t="e">
        <f>VLOOKUP(A1,Data!$A$1:$DZU$1000000,3162,FALSE)</f>
        <v>#N/A</v>
      </c>
      <c r="Q186" s="5" t="e">
        <f>VLOOKUP(A1,Data!$A$1:$DZU$1000000,3163,FALSE)</f>
        <v>#N/A</v>
      </c>
    </row>
    <row r="187" spans="1:17" x14ac:dyDescent="0.35">
      <c r="A187" s="54" t="e">
        <f>VLOOKUP(A1,Data!$A$1:$DZU$1000000,3164,FALSE)</f>
        <v>#N/A</v>
      </c>
      <c r="B187" t="e">
        <f>VLOOKUP(A1,Data!$A$1:$DZU$1000000,3165,FALSE)</f>
        <v>#N/A</v>
      </c>
      <c r="C187" t="e">
        <f>VLOOKUP(A1,Data!$A$1:$DZU$1000000,3166,FALSE)</f>
        <v>#N/A</v>
      </c>
      <c r="D187" t="e">
        <f>VLOOKUP(A1,Data!$A$1:$DZU$1000000,3167,FALSE)</f>
        <v>#N/A</v>
      </c>
      <c r="E187" t="e">
        <f>VLOOKUP(A1,Data!$A$1:$DZU$1000000,3168,FALSE)</f>
        <v>#N/A</v>
      </c>
      <c r="F187" t="e">
        <f>VLOOKUP(A1,Data!$A$1:$DZU$1000000,3169,FALSE)</f>
        <v>#N/A</v>
      </c>
      <c r="G187" t="e">
        <f>VLOOKUP(A1,Data!$A$1:$DZU$1000000,3170,FALSE)</f>
        <v>#N/A</v>
      </c>
      <c r="H187" t="e">
        <f>VLOOKUP(A1,Data!$A$1:$DZU$1000000,3171,FALSE)</f>
        <v>#N/A</v>
      </c>
      <c r="I187" t="e">
        <f>VLOOKUP(A1,Data!$A$1:$DZU$1000000,3172,FALSE)</f>
        <v>#N/A</v>
      </c>
      <c r="J187" t="e">
        <f>VLOOKUP(A1,Data!$A$1:$DZU$1000000,3173,FALSE)</f>
        <v>#N/A</v>
      </c>
      <c r="K187" t="e">
        <f>VLOOKUP(A1,Data!$A$1:$DZU$1000000,3174,FALSE)</f>
        <v>#N/A</v>
      </c>
      <c r="L187" t="e">
        <f>VLOOKUP(A1,Data!$A$1:$DZU$1000000,3175,FALSE)</f>
        <v>#N/A</v>
      </c>
      <c r="M187" t="e">
        <f>VLOOKUP(A1,Data!$A$1:$DZU$1000000,3176,FALSE)</f>
        <v>#N/A</v>
      </c>
      <c r="N187" t="e">
        <f>VLOOKUP(A1,Data!$A$1:$DZU$1000000,3177,FALSE)</f>
        <v>#N/A</v>
      </c>
      <c r="O187" t="e">
        <f>VLOOKUP(A1,Data!$A$1:$DZU$1000000,3178,FALSE)</f>
        <v>#N/A</v>
      </c>
      <c r="P187" t="e">
        <f>VLOOKUP(A1,Data!$A$1:$DZU$1000000,3179,FALSE)</f>
        <v>#N/A</v>
      </c>
      <c r="Q187" s="5" t="e">
        <f>VLOOKUP(A1,Data!$A$1:$DZU$1000000,3180,FALSE)</f>
        <v>#N/A</v>
      </c>
    </row>
    <row r="188" spans="1:17" x14ac:dyDescent="0.35">
      <c r="A188" s="54" t="e">
        <f>VLOOKUP(A1,Data!$A$1:$DZU$1000000,3181,FALSE)</f>
        <v>#N/A</v>
      </c>
      <c r="B188" t="e">
        <f>VLOOKUP(A1,Data!$A$1:$DZU$1000000,3182,FALSE)</f>
        <v>#N/A</v>
      </c>
      <c r="C188" t="e">
        <f>VLOOKUP(A1,Data!$A$1:$DZU$1000000,3183,FALSE)</f>
        <v>#N/A</v>
      </c>
      <c r="D188" t="e">
        <f>VLOOKUP(A1,Data!$A$1:$DZU$1000000,3184,FALSE)</f>
        <v>#N/A</v>
      </c>
      <c r="E188" t="e">
        <f>VLOOKUP(A1,Data!$A$1:$DZU$1000000,3185,FALSE)</f>
        <v>#N/A</v>
      </c>
      <c r="F188" t="e">
        <f>VLOOKUP(A1,Data!$A$1:$DZU$1000000,3186,FALSE)</f>
        <v>#N/A</v>
      </c>
      <c r="G188" t="e">
        <f>VLOOKUP(A1,Data!$A$1:$DZU$1000000,3187,FALSE)</f>
        <v>#N/A</v>
      </c>
      <c r="H188" t="e">
        <f>VLOOKUP(A1,Data!$A$1:$DZU$1000000,3188,FALSE)</f>
        <v>#N/A</v>
      </c>
      <c r="I188" t="e">
        <f>VLOOKUP(A1,Data!$A$1:$DZU$1000000,3189,FALSE)</f>
        <v>#N/A</v>
      </c>
      <c r="J188" t="e">
        <f>VLOOKUP(A1,Data!$A$1:$DZU$1000000,3190,FALSE)</f>
        <v>#N/A</v>
      </c>
      <c r="K188" t="e">
        <f>VLOOKUP(A1,Data!$A$1:$DZU$1000000,3191,FALSE)</f>
        <v>#N/A</v>
      </c>
      <c r="L188" t="e">
        <f>VLOOKUP(A1,Data!$A$1:$DZU$1000000,3192,FALSE)</f>
        <v>#N/A</v>
      </c>
      <c r="M188" t="e">
        <f>VLOOKUP(A1,Data!$A$1:$DZU$1000000,3193,FALSE)</f>
        <v>#N/A</v>
      </c>
      <c r="N188" t="e">
        <f>VLOOKUP(A1,Data!$A$1:$DZU$1000000,3194,FALSE)</f>
        <v>#N/A</v>
      </c>
      <c r="O188" t="e">
        <f>VLOOKUP(A1,Data!$A$1:$DZU$1000000,3195,FALSE)</f>
        <v>#N/A</v>
      </c>
      <c r="P188" t="e">
        <f>VLOOKUP(A1,Data!$A$1:$DZU$1000000,3196,FALSE)</f>
        <v>#N/A</v>
      </c>
      <c r="Q188" s="5" t="e">
        <f>VLOOKUP(A1,Data!$A$1:$DZU$1000000,3197,FALSE)</f>
        <v>#N/A</v>
      </c>
    </row>
    <row r="189" spans="1:17" x14ac:dyDescent="0.35">
      <c r="A189" s="54" t="e">
        <f>VLOOKUP(A1,Data!$A$1:$DZU$1000000,3198,FALSE)</f>
        <v>#N/A</v>
      </c>
      <c r="B189" t="e">
        <f>VLOOKUP(A1,Data!$A$1:$DZU$1000000,3199,FALSE)</f>
        <v>#N/A</v>
      </c>
      <c r="C189" t="e">
        <f>VLOOKUP(A1,Data!$A$1:$DZU$1000000,3200,FALSE)</f>
        <v>#N/A</v>
      </c>
      <c r="D189" t="e">
        <f>VLOOKUP(A1,Data!$A$1:$DZU$1000000,3201,FALSE)</f>
        <v>#N/A</v>
      </c>
      <c r="E189" t="e">
        <f>VLOOKUP(A1,Data!$A$1:$DZU$1000000,3202,FALSE)</f>
        <v>#N/A</v>
      </c>
      <c r="F189" t="e">
        <f>VLOOKUP(A1,Data!$A$1:$DZU$1000000,3203,FALSE)</f>
        <v>#N/A</v>
      </c>
      <c r="G189" t="e">
        <f>VLOOKUP(A1,Data!$A$1:$DZU$1000000,3204,FALSE)</f>
        <v>#N/A</v>
      </c>
      <c r="H189" t="e">
        <f>VLOOKUP(A1,Data!$A$1:$DZU$1000000,3205,FALSE)</f>
        <v>#N/A</v>
      </c>
      <c r="I189" t="e">
        <f>VLOOKUP(A1,Data!$A$1:$DZU$1000000,3206,FALSE)</f>
        <v>#N/A</v>
      </c>
      <c r="J189" t="e">
        <f>VLOOKUP(A1,Data!$A$1:$DZU$1000000,3207,FALSE)</f>
        <v>#N/A</v>
      </c>
      <c r="K189" t="e">
        <f>VLOOKUP(A1,Data!$A$1:$DZU$1000000,3208,FALSE)</f>
        <v>#N/A</v>
      </c>
      <c r="L189" t="e">
        <f>VLOOKUP(A1,Data!$A$1:$DZU$1000000,3209,FALSE)</f>
        <v>#N/A</v>
      </c>
      <c r="M189" t="e">
        <f>VLOOKUP(A1,Data!$A$1:$DZU$1000000,3210,FALSE)</f>
        <v>#N/A</v>
      </c>
      <c r="N189" t="e">
        <f>VLOOKUP(A1,Data!$A$1:$DZU$1000000,3211,FALSE)</f>
        <v>#N/A</v>
      </c>
      <c r="O189" t="e">
        <f>VLOOKUP(A1,Data!$A$1:$DZU$1000000,3212,FALSE)</f>
        <v>#N/A</v>
      </c>
      <c r="P189" t="e">
        <f>VLOOKUP(A1,Data!$A$1:$DZU$1000000,3213,FALSE)</f>
        <v>#N/A</v>
      </c>
      <c r="Q189" s="5" t="e">
        <f>VLOOKUP(A1,Data!$A$1:$DZU$1000000,3214,FALSE)</f>
        <v>#N/A</v>
      </c>
    </row>
    <row r="190" spans="1:17" x14ac:dyDescent="0.35">
      <c r="A190" s="54" t="e">
        <f>VLOOKUP(A1,Data!$A$1:$DZU$1000000,3215,FALSE)</f>
        <v>#N/A</v>
      </c>
      <c r="B190" t="e">
        <f>VLOOKUP(A1,Data!$A$1:$DZU$1000000,3216,FALSE)</f>
        <v>#N/A</v>
      </c>
      <c r="C190" t="e">
        <f>VLOOKUP(A1,Data!$A$1:$DZU$1000000,3217,FALSE)</f>
        <v>#N/A</v>
      </c>
      <c r="D190" t="e">
        <f>VLOOKUP(A1,Data!$A$1:$DZU$1000000,3218,FALSE)</f>
        <v>#N/A</v>
      </c>
      <c r="E190" t="e">
        <f>VLOOKUP(A1,Data!$A$1:$DZU$1000000,3219,FALSE)</f>
        <v>#N/A</v>
      </c>
      <c r="F190" t="e">
        <f>VLOOKUP(A1,Data!$A$1:$DZU$1000000,3220,FALSE)</f>
        <v>#N/A</v>
      </c>
      <c r="G190" t="e">
        <f>VLOOKUP(A1,Data!$A$1:$DZU$1000000,3221,FALSE)</f>
        <v>#N/A</v>
      </c>
      <c r="H190" t="e">
        <f>VLOOKUP(A1,Data!$A$1:$DZU$1000000,3222,FALSE)</f>
        <v>#N/A</v>
      </c>
      <c r="I190" t="e">
        <f>VLOOKUP(A1,Data!$A$1:$DZU$1000000,3223,FALSE)</f>
        <v>#N/A</v>
      </c>
      <c r="J190" t="e">
        <f>VLOOKUP(A1,Data!$A$1:$DZU$1000000,3224,FALSE)</f>
        <v>#N/A</v>
      </c>
      <c r="K190" t="e">
        <f>VLOOKUP(A1,Data!$A$1:$DZU$1000000,3225,FALSE)</f>
        <v>#N/A</v>
      </c>
      <c r="L190" t="e">
        <f>VLOOKUP(A1,Data!$A$1:$DZU$1000000,3226,FALSE)</f>
        <v>#N/A</v>
      </c>
      <c r="M190" t="e">
        <f>VLOOKUP(A1,Data!$A$1:$DZU$1000000,3227,FALSE)</f>
        <v>#N/A</v>
      </c>
      <c r="N190" t="e">
        <f>VLOOKUP(A1,Data!$A$1:$DZU$1000000,3228,FALSE)</f>
        <v>#N/A</v>
      </c>
      <c r="O190" t="e">
        <f>VLOOKUP(A1,Data!$A$1:$DZU$1000000,3229,FALSE)</f>
        <v>#N/A</v>
      </c>
      <c r="P190" t="e">
        <f>VLOOKUP(A1,Data!$A$1:$DZU$1000000,3230,FALSE)</f>
        <v>#N/A</v>
      </c>
      <c r="Q190" s="5" t="e">
        <f>VLOOKUP(A1,Data!$A$1:$DZU$1000000,3231,FALSE)</f>
        <v>#N/A</v>
      </c>
    </row>
    <row r="191" spans="1:17" x14ac:dyDescent="0.35">
      <c r="A191" s="54" t="e">
        <f>VLOOKUP(A1,Data!$A$1:$DZU$1000000,3232,FALSE)</f>
        <v>#N/A</v>
      </c>
      <c r="B191" t="e">
        <f>VLOOKUP(A1,Data!$A$1:$DZU$1000000,3233,FALSE)</f>
        <v>#N/A</v>
      </c>
      <c r="C191" t="e">
        <f>VLOOKUP(A1,Data!$A$1:$DZU$1000000,3234,FALSE)</f>
        <v>#N/A</v>
      </c>
      <c r="D191" t="e">
        <f>VLOOKUP(A1,Data!$A$1:$DZU$1000000,3235,FALSE)</f>
        <v>#N/A</v>
      </c>
      <c r="E191" t="e">
        <f>VLOOKUP(A1,Data!$A$1:$DZU$1000000,3236,FALSE)</f>
        <v>#N/A</v>
      </c>
      <c r="F191" t="e">
        <f>VLOOKUP(A1,Data!$A$1:$DZU$1000000,3237,FALSE)</f>
        <v>#N/A</v>
      </c>
      <c r="G191" t="e">
        <f>VLOOKUP(A1,Data!$A$1:$DZU$1000000,3238,FALSE)</f>
        <v>#N/A</v>
      </c>
      <c r="H191" t="e">
        <f>VLOOKUP(A1,Data!$A$1:$DZU$1000000,3239,FALSE)</f>
        <v>#N/A</v>
      </c>
      <c r="I191" t="e">
        <f>VLOOKUP(A1,Data!$A$1:$DZU$1000000,3240,FALSE)</f>
        <v>#N/A</v>
      </c>
      <c r="J191" t="e">
        <f>VLOOKUP(A1,Data!$A$1:$DZU$1000000,3241,FALSE)</f>
        <v>#N/A</v>
      </c>
      <c r="K191" t="e">
        <f>VLOOKUP(A1,Data!$A$1:$DZU$1000000,3242,FALSE)</f>
        <v>#N/A</v>
      </c>
      <c r="L191" t="e">
        <f>VLOOKUP(A1,Data!$A$1:$DZU$1000000,3243,FALSE)</f>
        <v>#N/A</v>
      </c>
      <c r="M191" t="e">
        <f>VLOOKUP(A1,Data!$A$1:$DZU$1000000,3244,FALSE)</f>
        <v>#N/A</v>
      </c>
      <c r="N191" t="e">
        <f>VLOOKUP(A1,Data!$A$1:$DZU$1000000,3245,FALSE)</f>
        <v>#N/A</v>
      </c>
      <c r="O191" t="e">
        <f>VLOOKUP(A1,Data!$A$1:$DZU$1000000,3246,FALSE)</f>
        <v>#N/A</v>
      </c>
      <c r="P191" t="e">
        <f>VLOOKUP(A1,Data!$A$1:$DZU$1000000,3247,FALSE)</f>
        <v>#N/A</v>
      </c>
      <c r="Q191" s="5" t="e">
        <f>VLOOKUP(A1,Data!$A$1:$DZU$1000000,3248,FALSE)</f>
        <v>#N/A</v>
      </c>
    </row>
    <row r="192" spans="1:17" x14ac:dyDescent="0.35">
      <c r="A192" s="54" t="e">
        <f>VLOOKUP(A1,Data!$A$1:$DZU$1000000,3249,FALSE)</f>
        <v>#N/A</v>
      </c>
      <c r="B192" t="e">
        <f>VLOOKUP(A1,Data!$A$1:$DZU$1000000,3250,FALSE)</f>
        <v>#N/A</v>
      </c>
      <c r="C192" t="e">
        <f>VLOOKUP(A1,Data!$A$1:$DZU$1000000,3251,FALSE)</f>
        <v>#N/A</v>
      </c>
      <c r="D192" t="e">
        <f>VLOOKUP(A1,Data!$A$1:$DZU$1000000,3252,FALSE)</f>
        <v>#N/A</v>
      </c>
      <c r="E192" t="e">
        <f>VLOOKUP(A1,Data!$A$1:$DZU$1000000,3253,FALSE)</f>
        <v>#N/A</v>
      </c>
      <c r="F192" t="e">
        <f>VLOOKUP(A1,Data!$A$1:$DZU$1000000,3254,FALSE)</f>
        <v>#N/A</v>
      </c>
      <c r="G192" t="e">
        <f>VLOOKUP(A1,Data!$A$1:$DZU$1000000,3255,FALSE)</f>
        <v>#N/A</v>
      </c>
      <c r="H192" t="e">
        <f>VLOOKUP(A1,Data!$A$1:$DZU$1000000,3256,FALSE)</f>
        <v>#N/A</v>
      </c>
      <c r="I192" t="e">
        <f>VLOOKUP(A1,Data!$A$1:$DZU$1000000,3257,FALSE)</f>
        <v>#N/A</v>
      </c>
      <c r="J192" t="e">
        <f>VLOOKUP(A1,Data!$A$1:$DZU$1000000,3258,FALSE)</f>
        <v>#N/A</v>
      </c>
      <c r="K192" t="e">
        <f>VLOOKUP(A1,Data!$A$1:$DZU$1000000,3259,FALSE)</f>
        <v>#N/A</v>
      </c>
      <c r="L192" t="e">
        <f>VLOOKUP(A1,Data!$A$1:$DZU$1000000,3260,FALSE)</f>
        <v>#N/A</v>
      </c>
      <c r="M192" t="e">
        <f>VLOOKUP(A1,Data!$A$1:$DZU$1000000,3261,FALSE)</f>
        <v>#N/A</v>
      </c>
      <c r="N192" t="e">
        <f>VLOOKUP(A1,Data!$A$1:$DZU$1000000,3262,FALSE)</f>
        <v>#N/A</v>
      </c>
      <c r="O192" t="e">
        <f>VLOOKUP(A1,Data!$A$1:$DZU$1000000,3263,FALSE)</f>
        <v>#N/A</v>
      </c>
      <c r="P192" t="e">
        <f>VLOOKUP(A1,Data!$A$1:$DZU$1000000,3264,FALSE)</f>
        <v>#N/A</v>
      </c>
      <c r="Q192" s="5" t="e">
        <f>VLOOKUP(A1,Data!$A$1:$DZU$1000000,3265,FALSE)</f>
        <v>#N/A</v>
      </c>
    </row>
    <row r="193" spans="1:17" x14ac:dyDescent="0.35">
      <c r="A193" s="54" t="e">
        <f>VLOOKUP(A1,Data!$A$1:$DZU$1000000,3266,FALSE)</f>
        <v>#N/A</v>
      </c>
      <c r="B193" t="e">
        <f>VLOOKUP(A1,Data!$A$1:$DZU$1000000,3267,FALSE)</f>
        <v>#N/A</v>
      </c>
      <c r="C193" t="e">
        <f>VLOOKUP(A1,Data!$A$1:$DZU$1000000,3268,FALSE)</f>
        <v>#N/A</v>
      </c>
      <c r="D193" t="e">
        <f>VLOOKUP(A1,Data!$A$1:$DZU$1000000,3269,FALSE)</f>
        <v>#N/A</v>
      </c>
      <c r="E193" t="e">
        <f>VLOOKUP(A1,Data!$A$1:$DZU$1000000,3270,FALSE)</f>
        <v>#N/A</v>
      </c>
      <c r="F193" t="e">
        <f>VLOOKUP(A1,Data!$A$1:$DZU$1000000,3271,FALSE)</f>
        <v>#N/A</v>
      </c>
      <c r="G193" t="e">
        <f>VLOOKUP(A1,Data!$A$1:$DZU$1000000,3272,FALSE)</f>
        <v>#N/A</v>
      </c>
      <c r="H193" t="e">
        <f>VLOOKUP(A1,Data!$A$1:$DZU$1000000,3273,FALSE)</f>
        <v>#N/A</v>
      </c>
      <c r="I193" t="e">
        <f>VLOOKUP(A1,Data!$A$1:$DZU$1000000,3274,FALSE)</f>
        <v>#N/A</v>
      </c>
      <c r="J193" t="e">
        <f>VLOOKUP(A1,Data!$A$1:$DZU$1000000,3275,FALSE)</f>
        <v>#N/A</v>
      </c>
      <c r="K193" t="e">
        <f>VLOOKUP(A1,Data!$A$1:$DZU$1000000,3276,FALSE)</f>
        <v>#N/A</v>
      </c>
      <c r="L193" t="e">
        <f>VLOOKUP(A1,Data!$A$1:$DZU$1000000,3277,FALSE)</f>
        <v>#N/A</v>
      </c>
      <c r="M193" t="e">
        <f>VLOOKUP(A1,Data!$A$1:$DZU$1000000,3278,FALSE)</f>
        <v>#N/A</v>
      </c>
      <c r="N193" t="e">
        <f>VLOOKUP(A1,Data!$A$1:$DZU$1000000,3279,FALSE)</f>
        <v>#N/A</v>
      </c>
      <c r="O193" t="e">
        <f>VLOOKUP(A1,Data!$A$1:$DZU$1000000,3280,FALSE)</f>
        <v>#N/A</v>
      </c>
      <c r="P193" t="e">
        <f>VLOOKUP(A1,Data!$A$1:$DZU$1000000,3281,FALSE)</f>
        <v>#N/A</v>
      </c>
      <c r="Q193" s="5" t="e">
        <f>VLOOKUP(A1,Data!$A$1:$DZU$1000000,3282,FALSE)</f>
        <v>#N/A</v>
      </c>
    </row>
    <row r="194" spans="1:17" x14ac:dyDescent="0.35">
      <c r="A194" s="54" t="e">
        <f>VLOOKUP(A1,Data!$A$1:$DZU$1000000,3283,FALSE)</f>
        <v>#N/A</v>
      </c>
      <c r="B194" t="e">
        <f>VLOOKUP(A1,Data!$A$1:$DZU$1000000,3284,FALSE)</f>
        <v>#N/A</v>
      </c>
      <c r="C194" t="e">
        <f>VLOOKUP(A1,Data!$A$1:$DZU$1000000,3285,FALSE)</f>
        <v>#N/A</v>
      </c>
      <c r="D194" t="e">
        <f>VLOOKUP(A1,Data!$A$1:$DZU$1000000,3286,FALSE)</f>
        <v>#N/A</v>
      </c>
      <c r="E194" t="e">
        <f>VLOOKUP(A1,Data!$A$1:$DZU$1000000,3287,FALSE)</f>
        <v>#N/A</v>
      </c>
      <c r="F194" t="e">
        <f>VLOOKUP(A1,Data!$A$1:$DZU$1000000,3288,FALSE)</f>
        <v>#N/A</v>
      </c>
      <c r="G194" t="e">
        <f>VLOOKUP(A1,Data!$A$1:$DZU$1000000,3289,FALSE)</f>
        <v>#N/A</v>
      </c>
      <c r="H194" t="e">
        <f>VLOOKUP(A1,Data!$A$1:$DZU$1000000,3290,FALSE)</f>
        <v>#N/A</v>
      </c>
      <c r="I194" t="e">
        <f>VLOOKUP(A1,Data!$A$1:$DZU$1000000,3291,FALSE)</f>
        <v>#N/A</v>
      </c>
      <c r="J194" t="e">
        <f>VLOOKUP(A1,Data!$A$1:$DZU$1000000,3292,FALSE)</f>
        <v>#N/A</v>
      </c>
      <c r="K194" t="e">
        <f>VLOOKUP(A1,Data!$A$1:$DZU$1000000,3293,FALSE)</f>
        <v>#N/A</v>
      </c>
      <c r="L194" t="e">
        <f>VLOOKUP(A1,Data!$A$1:$DZU$1000000,3294,FALSE)</f>
        <v>#N/A</v>
      </c>
      <c r="M194" t="e">
        <f>VLOOKUP(A1,Data!$A$1:$DZU$1000000,3295,FALSE)</f>
        <v>#N/A</v>
      </c>
      <c r="N194" t="e">
        <f>VLOOKUP(A1,Data!$A$1:$DZU$1000000,3296,FALSE)</f>
        <v>#N/A</v>
      </c>
      <c r="O194" t="e">
        <f>VLOOKUP(A1,Data!$A$1:$DZU$1000000,3297,FALSE)</f>
        <v>#N/A</v>
      </c>
      <c r="P194" t="e">
        <f>VLOOKUP(A1,Data!$A$1:$DZU$1000000,3298,FALSE)</f>
        <v>#N/A</v>
      </c>
      <c r="Q194" s="5" t="e">
        <f>VLOOKUP(A1,Data!$A$1:$DZU$1000000,3299,FALSE)</f>
        <v>#N/A</v>
      </c>
    </row>
    <row r="195" spans="1:17" x14ac:dyDescent="0.35">
      <c r="A195" s="54" t="e">
        <f>VLOOKUP(A1,Data!$A$1:$DZU$1000000,3300,FALSE)</f>
        <v>#N/A</v>
      </c>
      <c r="B195" t="e">
        <f>VLOOKUP(A1,Data!$A$1:$DZU$1000000,3301,FALSE)</f>
        <v>#N/A</v>
      </c>
      <c r="C195" t="e">
        <f>VLOOKUP(A1,Data!$A$1:$DZU$1000000,3302,FALSE)</f>
        <v>#N/A</v>
      </c>
      <c r="D195" t="e">
        <f>VLOOKUP(A1,Data!$A$1:$DZU$1000000,3303,FALSE)</f>
        <v>#N/A</v>
      </c>
      <c r="E195" t="e">
        <f>VLOOKUP(A1,Data!$A$1:$DZU$1000000,3304,FALSE)</f>
        <v>#N/A</v>
      </c>
      <c r="F195" t="e">
        <f>VLOOKUP(A1,Data!$A$1:$DZU$1000000,3305,FALSE)</f>
        <v>#N/A</v>
      </c>
      <c r="G195" t="e">
        <f>VLOOKUP(A1,Data!$A$1:$DZU$1000000,3306,FALSE)</f>
        <v>#N/A</v>
      </c>
      <c r="H195" t="e">
        <f>VLOOKUP(A1,Data!$A$1:$DZU$1000000,3307,FALSE)</f>
        <v>#N/A</v>
      </c>
      <c r="I195" t="e">
        <f>VLOOKUP(A1,Data!$A$1:$DZU$1000000,3308,FALSE)</f>
        <v>#N/A</v>
      </c>
      <c r="J195" t="e">
        <f>VLOOKUP(A1,Data!$A$1:$DZU$1000000,3309,FALSE)</f>
        <v>#N/A</v>
      </c>
      <c r="K195" t="e">
        <f>VLOOKUP(A1,Data!$A$1:$DZU$1000000,3310,FALSE)</f>
        <v>#N/A</v>
      </c>
      <c r="L195" t="e">
        <f>VLOOKUP(A1,Data!$A$1:$DZU$1000000,3311,FALSE)</f>
        <v>#N/A</v>
      </c>
      <c r="M195" t="e">
        <f>VLOOKUP(A1,Data!$A$1:$DZU$1000000,3312,FALSE)</f>
        <v>#N/A</v>
      </c>
      <c r="N195" t="e">
        <f>VLOOKUP(A1,Data!$A$1:$DZU$1000000,3313,FALSE)</f>
        <v>#N/A</v>
      </c>
      <c r="O195" t="e">
        <f>VLOOKUP(A1,Data!$A$1:$DZU$1000000,3314,FALSE)</f>
        <v>#N/A</v>
      </c>
      <c r="P195" t="e">
        <f>VLOOKUP(A1,Data!$A$1:$DZU$1000000,3315,FALSE)</f>
        <v>#N/A</v>
      </c>
      <c r="Q195" s="5" t="e">
        <f>VLOOKUP(A1,Data!$A$1:$DZU$1000000,3316,FALSE)</f>
        <v>#N/A</v>
      </c>
    </row>
    <row r="196" spans="1:17" x14ac:dyDescent="0.35">
      <c r="A196" s="54" t="e">
        <f>VLOOKUP(A1,Data!$A$1:$DZU$1000000,3317,FALSE)</f>
        <v>#N/A</v>
      </c>
      <c r="B196" t="e">
        <f>VLOOKUP(A1,Data!$A$1:$DZU$1000000,3318,FALSE)</f>
        <v>#N/A</v>
      </c>
      <c r="C196" t="e">
        <f>VLOOKUP(A1,Data!$A$1:$DZU$1000000,3319,FALSE)</f>
        <v>#N/A</v>
      </c>
      <c r="D196" t="e">
        <f>VLOOKUP(A1,Data!$A$1:$DZU$1000000,3320,FALSE)</f>
        <v>#N/A</v>
      </c>
      <c r="E196" t="e">
        <f>VLOOKUP(A1,Data!$A$1:$DZU$1000000,3321,FALSE)</f>
        <v>#N/A</v>
      </c>
      <c r="F196" t="e">
        <f>VLOOKUP(A1,Data!$A$1:$DZU$1000000,3322,FALSE)</f>
        <v>#N/A</v>
      </c>
      <c r="G196" t="e">
        <f>VLOOKUP(A1,Data!$A$1:$DZU$1000000,3323,FALSE)</f>
        <v>#N/A</v>
      </c>
      <c r="H196" t="e">
        <f>VLOOKUP(A1,Data!$A$1:$DZU$1000000,3324,FALSE)</f>
        <v>#N/A</v>
      </c>
      <c r="I196" t="e">
        <f>VLOOKUP(A1,Data!$A$1:$DZU$1000000,3325,FALSE)</f>
        <v>#N/A</v>
      </c>
      <c r="J196" t="e">
        <f>VLOOKUP(A1,Data!$A$1:$DZU$1000000,3326,FALSE)</f>
        <v>#N/A</v>
      </c>
      <c r="K196" t="e">
        <f>VLOOKUP(A1,Data!$A$1:$DZU$1000000,3327,FALSE)</f>
        <v>#N/A</v>
      </c>
      <c r="L196" t="e">
        <f>VLOOKUP(A1,Data!$A$1:$DZU$1000000,3328,FALSE)</f>
        <v>#N/A</v>
      </c>
      <c r="M196" t="e">
        <f>VLOOKUP(A1,Data!$A$1:$DZU$1000000,3329,FALSE)</f>
        <v>#N/A</v>
      </c>
      <c r="N196" t="e">
        <f>VLOOKUP(A1,Data!$A$1:$DZU$1000000,3330,FALSE)</f>
        <v>#N/A</v>
      </c>
      <c r="O196" t="e">
        <f>VLOOKUP(A1,Data!$A$1:$DZU$1000000,3331,FALSE)</f>
        <v>#N/A</v>
      </c>
      <c r="P196" t="e">
        <f>VLOOKUP(A1,Data!$A$1:$DZU$1000000,3332,FALSE)</f>
        <v>#N/A</v>
      </c>
      <c r="Q196" s="5" t="e">
        <f>VLOOKUP(A1,Data!$A$1:$DZU$1000000,3333,FALSE)</f>
        <v>#N/A</v>
      </c>
    </row>
    <row r="197" spans="1:17" x14ac:dyDescent="0.35">
      <c r="A197" s="54" t="e">
        <f>VLOOKUP(A1,Data!$A$1:$DZU$1000000,3334,FALSE)</f>
        <v>#N/A</v>
      </c>
      <c r="B197" t="e">
        <f>VLOOKUP(A1,Data!$A$1:$DZU$1000000,3335,FALSE)</f>
        <v>#N/A</v>
      </c>
      <c r="C197" t="e">
        <f>VLOOKUP(A1,Data!$A$1:$DZU$1000000,3336,FALSE)</f>
        <v>#N/A</v>
      </c>
      <c r="D197" t="e">
        <f>VLOOKUP(A1,Data!$A$1:$DZU$1000000,3337,FALSE)</f>
        <v>#N/A</v>
      </c>
      <c r="E197" t="e">
        <f>VLOOKUP(A1,Data!$A$1:$DZU$1000000,3338,FALSE)</f>
        <v>#N/A</v>
      </c>
      <c r="F197" t="e">
        <f>VLOOKUP(A1,Data!$A$1:$DZU$1000000,3339,FALSE)</f>
        <v>#N/A</v>
      </c>
      <c r="G197" t="e">
        <f>VLOOKUP(A1,Data!$A$1:$DZU$1000000,3340,FALSE)</f>
        <v>#N/A</v>
      </c>
      <c r="H197" t="e">
        <f>VLOOKUP(A1,Data!$A$1:$DZU$1000000,3341,FALSE)</f>
        <v>#N/A</v>
      </c>
      <c r="I197" t="e">
        <f>VLOOKUP(A1,Data!$A$1:$DZU$1000000,3342,FALSE)</f>
        <v>#N/A</v>
      </c>
      <c r="J197" t="e">
        <f>VLOOKUP(A1,Data!$A$1:$DZU$1000000,3343,FALSE)</f>
        <v>#N/A</v>
      </c>
      <c r="K197" t="e">
        <f>VLOOKUP(A1,Data!$A$1:$DZU$1000000,3344,FALSE)</f>
        <v>#N/A</v>
      </c>
      <c r="L197" t="e">
        <f>VLOOKUP(A1,Data!$A$1:$DZU$1000000,3345,FALSE)</f>
        <v>#N/A</v>
      </c>
      <c r="M197" t="e">
        <f>VLOOKUP(A1,Data!$A$1:$DZU$1000000,3346,FALSE)</f>
        <v>#N/A</v>
      </c>
      <c r="N197" t="e">
        <f>VLOOKUP(A1,Data!$A$1:$DZU$1000000,3347,FALSE)</f>
        <v>#N/A</v>
      </c>
      <c r="O197" t="e">
        <f>VLOOKUP(A1,Data!$A$1:$DZU$1000000,3348,FALSE)</f>
        <v>#N/A</v>
      </c>
      <c r="P197" t="e">
        <f>VLOOKUP(A1,Data!$A$1:$DZU$1000000,3349,FALSE)</f>
        <v>#N/A</v>
      </c>
      <c r="Q197" s="5" t="e">
        <f>VLOOKUP(A1,Data!$A$1:$DZU$1000000,3350,FALSE)</f>
        <v>#N/A</v>
      </c>
    </row>
    <row r="198" spans="1:17" x14ac:dyDescent="0.35">
      <c r="A198" s="54" t="e">
        <f>VLOOKUP(A1,Data!$A$1:$DZU$1000000,3351,FALSE)</f>
        <v>#N/A</v>
      </c>
      <c r="B198" t="e">
        <f>VLOOKUP(A1,Data!$A$1:$DZU$1000000,3352,FALSE)</f>
        <v>#N/A</v>
      </c>
      <c r="C198" t="e">
        <f>VLOOKUP(A1,Data!$A$1:$DZU$1000000,3353,FALSE)</f>
        <v>#N/A</v>
      </c>
      <c r="D198" t="e">
        <f>VLOOKUP(A1,Data!$A$1:$DZU$1000000,3354,FALSE)</f>
        <v>#N/A</v>
      </c>
      <c r="E198" t="e">
        <f>VLOOKUP(A1,Data!$A$1:$DZU$1000000,3355,FALSE)</f>
        <v>#N/A</v>
      </c>
      <c r="F198" t="e">
        <f>VLOOKUP(A1,Data!$A$1:$DZU$1000000,3356,FALSE)</f>
        <v>#N/A</v>
      </c>
      <c r="G198" t="e">
        <f>VLOOKUP(A1,Data!$A$1:$DZU$1000000,3357,FALSE)</f>
        <v>#N/A</v>
      </c>
      <c r="H198" t="e">
        <f>VLOOKUP(A1,Data!$A$1:$DZU$1000000,3358,FALSE)</f>
        <v>#N/A</v>
      </c>
      <c r="I198" t="e">
        <f>VLOOKUP(A1,Data!$A$1:$DZU$1000000,3359,FALSE)</f>
        <v>#N/A</v>
      </c>
      <c r="J198" t="e">
        <f>VLOOKUP(A1,Data!$A$1:$DZU$1000000,3360,FALSE)</f>
        <v>#N/A</v>
      </c>
      <c r="K198" t="e">
        <f>VLOOKUP(A1,Data!$A$1:$DZU$1000000,3361,FALSE)</f>
        <v>#N/A</v>
      </c>
      <c r="L198" t="e">
        <f>VLOOKUP(A1,Data!$A$1:$DZU$1000000,3362,FALSE)</f>
        <v>#N/A</v>
      </c>
      <c r="M198" t="e">
        <f>VLOOKUP(A1,Data!$A$1:$DZU$1000000,3363,FALSE)</f>
        <v>#N/A</v>
      </c>
      <c r="N198" t="e">
        <f>VLOOKUP(A1,Data!$A$1:$DZU$1000000,3364,FALSE)</f>
        <v>#N/A</v>
      </c>
      <c r="O198" t="e">
        <f>VLOOKUP(A1,Data!$A$1:$DZU$1000000,3365,FALSE)</f>
        <v>#N/A</v>
      </c>
      <c r="P198" t="e">
        <f>VLOOKUP(A1,Data!$A$1:$DZU$1000000,3366,FALSE)</f>
        <v>#N/A</v>
      </c>
      <c r="Q198" s="5" t="e">
        <f>VLOOKUP(A1,Data!$A$1:$DZU$1000000,3367,FALSE)</f>
        <v>#N/A</v>
      </c>
    </row>
    <row r="199" spans="1:17" x14ac:dyDescent="0.35">
      <c r="A199" s="54" t="e">
        <f>VLOOKUP(A1,Data!$A$1:$DZU$1000000,3368,FALSE)</f>
        <v>#N/A</v>
      </c>
      <c r="B199" t="e">
        <f>VLOOKUP(A1,Data!$A$1:$DZU$1000000,3369,FALSE)</f>
        <v>#N/A</v>
      </c>
      <c r="C199" t="e">
        <f>VLOOKUP(A1,Data!$A$1:$DZU$1000000,3370,FALSE)</f>
        <v>#N/A</v>
      </c>
      <c r="D199" t="e">
        <f>VLOOKUP(A1,Data!$A$1:$DZU$1000000,3371,FALSE)</f>
        <v>#N/A</v>
      </c>
      <c r="E199" t="e">
        <f>VLOOKUP(A1,Data!$A$1:$DZU$1000000,3372,FALSE)</f>
        <v>#N/A</v>
      </c>
      <c r="F199" t="e">
        <f>VLOOKUP(A1,Data!$A$1:$DZU$1000000,3373,FALSE)</f>
        <v>#N/A</v>
      </c>
      <c r="G199" t="e">
        <f>VLOOKUP(A1,Data!$A$1:$DZU$1000000,3374,FALSE)</f>
        <v>#N/A</v>
      </c>
      <c r="H199" t="e">
        <f>VLOOKUP(A1,Data!$A$1:$DZU$1000000,3375,FALSE)</f>
        <v>#N/A</v>
      </c>
      <c r="I199" t="e">
        <f>VLOOKUP(A1,Data!$A$1:$DZU$1000000,3376,FALSE)</f>
        <v>#N/A</v>
      </c>
      <c r="J199" t="e">
        <f>VLOOKUP(A1,Data!$A$1:$DZU$1000000,3377,FALSE)</f>
        <v>#N/A</v>
      </c>
      <c r="K199" t="e">
        <f>VLOOKUP(A1,Data!$A$1:$DZU$1000000,3378,FALSE)</f>
        <v>#N/A</v>
      </c>
      <c r="L199" t="e">
        <f>VLOOKUP(A1,Data!$A$1:$DZU$1000000,3379,FALSE)</f>
        <v>#N/A</v>
      </c>
      <c r="M199" t="e">
        <f>VLOOKUP(A1,Data!$A$1:$DZU$1000000,3380,FALSE)</f>
        <v>#N/A</v>
      </c>
      <c r="N199" t="e">
        <f>VLOOKUP(A1,Data!$A$1:$DZU$1000000,3381,FALSE)</f>
        <v>#N/A</v>
      </c>
      <c r="O199" t="e">
        <f>VLOOKUP(A1,Data!$A$1:$DZU$1000000,3382,FALSE)</f>
        <v>#N/A</v>
      </c>
      <c r="P199" t="e">
        <f>VLOOKUP(A1,Data!$A$1:$DZU$1000000,3383,FALSE)</f>
        <v>#N/A</v>
      </c>
      <c r="Q199" s="5" t="e">
        <f>VLOOKUP(A1,Data!$A$1:$DZU$1000000,3384,FALSE)</f>
        <v>#N/A</v>
      </c>
    </row>
    <row r="200" spans="1:17" x14ac:dyDescent="0.35">
      <c r="A200" s="49" t="e">
        <f>VLOOKUP(A1,Data!$A$1:$DZU$1000000,3385,FALSE)</f>
        <v>#N/A</v>
      </c>
      <c r="B200" s="50" t="e">
        <f>VLOOKUP(A1,Data!$A$1:$DZU$1000000,3386,FALSE)</f>
        <v>#N/A</v>
      </c>
      <c r="C200" s="50" t="e">
        <f>VLOOKUP(A1,Data!$A$1:$DZU$1000000,3387,FALSE)</f>
        <v>#N/A</v>
      </c>
      <c r="D200" s="50" t="e">
        <f>VLOOKUP(A1,Data!$A$1:$DZU$1000000,3388,FALSE)</f>
        <v>#N/A</v>
      </c>
      <c r="E200" s="50" t="e">
        <f>VLOOKUP(A1,Data!$A$1:$DZU$1000000,3389,FALSE)</f>
        <v>#N/A</v>
      </c>
      <c r="F200" s="50" t="e">
        <f>VLOOKUP(A1,Data!$A$1:$DZU$1000000,3390,FALSE)</f>
        <v>#N/A</v>
      </c>
      <c r="G200" s="50" t="e">
        <f>VLOOKUP(A1,Data!$A$1:$DZU$1000000,3391,FALSE)</f>
        <v>#N/A</v>
      </c>
      <c r="H200" s="50" t="e">
        <f>VLOOKUP(A1,Data!$A$1:$DZU$1000000,3392,FALSE)</f>
        <v>#N/A</v>
      </c>
      <c r="I200" s="50" t="e">
        <f>VLOOKUP(A1,Data!$A$1:$DZU$1000000,3393,FALSE)</f>
        <v>#N/A</v>
      </c>
      <c r="J200" s="50" t="e">
        <f>VLOOKUP(A1,Data!$A$1:$DZU$1000000,3394,FALSE)</f>
        <v>#N/A</v>
      </c>
      <c r="K200" s="50" t="e">
        <f>VLOOKUP(A1,Data!$A$1:$DZU$1000000,3395,FALSE)</f>
        <v>#N/A</v>
      </c>
      <c r="L200" s="50" t="e">
        <f>VLOOKUP(A1,Data!$A$1:$DZU$1000000,3396,FALSE)</f>
        <v>#N/A</v>
      </c>
      <c r="M200" s="50" t="e">
        <f>VLOOKUP(A1,Data!$A$1:$DZU$1000000,3397,FALSE)</f>
        <v>#N/A</v>
      </c>
      <c r="N200" s="50" t="e">
        <f>VLOOKUP(A1,Data!$A$1:$DZU$1000000,3398,FALSE)</f>
        <v>#N/A</v>
      </c>
      <c r="O200" s="50" t="e">
        <f>VLOOKUP(A1,Data!$A$1:$DZU$1000000,3399,FALSE)</f>
        <v>#N/A</v>
      </c>
      <c r="P200" s="50" t="e">
        <f>VLOOKUP(A1,Data!$A$1:$DZU$1000000,3400,FALSE)</f>
        <v>#N/A</v>
      </c>
      <c r="Q200" s="51" t="e">
        <f>VLOOKUP(A1,Data!$A$1:$DZU$1000000,3401,FALSE)</f>
        <v>#N/A</v>
      </c>
    </row>
  </sheetData>
  <mergeCells count="44">
    <mergeCell ref="B1:L1"/>
    <mergeCell ref="A45:D45"/>
    <mergeCell ref="E45:H45"/>
    <mergeCell ref="A46:D46"/>
    <mergeCell ref="B47:D47"/>
    <mergeCell ref="F47:H47"/>
    <mergeCell ref="A43:B43"/>
    <mergeCell ref="A29:B29"/>
    <mergeCell ref="A31:D31"/>
    <mergeCell ref="A32:D32"/>
    <mergeCell ref="A33:D33"/>
    <mergeCell ref="A34:D34"/>
    <mergeCell ref="A35:D35"/>
    <mergeCell ref="A36:D36"/>
    <mergeCell ref="A37:D37"/>
    <mergeCell ref="A38:D38"/>
    <mergeCell ref="A39:D39"/>
    <mergeCell ref="A40:D40"/>
    <mergeCell ref="D25:G25"/>
    <mergeCell ref="A12:H12"/>
    <mergeCell ref="A13:H15"/>
    <mergeCell ref="B16:C16"/>
    <mergeCell ref="G16:H16"/>
    <mergeCell ref="B17:C17"/>
    <mergeCell ref="G17:H17"/>
    <mergeCell ref="B19:C19"/>
    <mergeCell ref="G19:H19"/>
    <mergeCell ref="A21:H21"/>
    <mergeCell ref="D23:F23"/>
    <mergeCell ref="D24:G24"/>
    <mergeCell ref="A10:B10"/>
    <mergeCell ref="C10:D10"/>
    <mergeCell ref="F10:H10"/>
    <mergeCell ref="A11:B11"/>
    <mergeCell ref="C11:D11"/>
    <mergeCell ref="F11:H11"/>
    <mergeCell ref="A9:B9"/>
    <mergeCell ref="C9:D9"/>
    <mergeCell ref="F9:H9"/>
    <mergeCell ref="B2:L2"/>
    <mergeCell ref="C3:F3"/>
    <mergeCell ref="B5:H5"/>
    <mergeCell ref="B7:E7"/>
    <mergeCell ref="F7:G7"/>
  </mergeCells>
  <dataValidations count="5">
    <dataValidation allowBlank="1" showErrorMessage="1" sqref="H49 A31:D40 F31:F40 C9:D9 C11:D11" xr:uid="{9C453E87-9CC2-475C-AF93-93E19B31FE5C}"/>
    <dataValidation allowBlank="1" showInputMessage="1" showErrorMessage="1" prompt="Enter a new Subcontractor Change Order Number." sqref="C10:D10" xr:uid="{D2AD42FC-CD94-46A8-8DCF-BC0270B1F22B}"/>
    <dataValidation allowBlank="1" showInputMessage="1" showErrorMessage="1" prompt="Enter previous contract amount." sqref="B19:C19" xr:uid="{5C33C748-07B5-466C-A8FF-514CF2EDC434}"/>
    <dataValidation allowBlank="1" showInputMessage="1" showErrorMessage="1" prompt="This cell must contain a negative number (-100)" sqref="F31:G31 G32:G40" xr:uid="{340BBC5B-B11E-4944-B3F5-A321E83642A8}"/>
    <dataValidation allowBlank="1" showInputMessage="1" showErrorMessage="1" prompt="Enter Owner Change Order Number." sqref="H7" xr:uid="{3886EC5D-840C-41F8-89B9-17EC5A7EE789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5D37DE-4A44-49A0-BEC8-02DEB7AF0CAD}">
          <x14:formula1>
            <xm:f>Contacts!$F$2:$F$2000</xm:f>
          </x14:formula1>
          <xm:sqref>F9:H9</xm:sqref>
        </x14:dataValidation>
        <x14:dataValidation type="list" allowBlank="1" showInputMessage="1" showErrorMessage="1" xr:uid="{E75CB0BB-197F-4995-B652-5B4573E07515}">
          <x14:formula1>
            <xm:f>Data!$A:$A</xm:f>
          </x14:formula1>
          <xm:sqref>B2:L2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1E07-3F41-4FFC-9716-6F76C2259B51}">
  <dimension ref="A1:O9"/>
  <sheetViews>
    <sheetView showZeros="0" workbookViewId="0">
      <selection activeCell="A10" sqref="A10:XFD10"/>
    </sheetView>
  </sheetViews>
  <sheetFormatPr defaultRowHeight="14.5" x14ac:dyDescent="0.35"/>
  <cols>
    <col min="1" max="1" width="18.7265625" customWidth="1"/>
    <col min="2" max="2" width="21.54296875" customWidth="1"/>
    <col min="3" max="3" width="18.7265625" customWidth="1"/>
    <col min="4" max="4" width="20.453125" customWidth="1"/>
    <col min="5" max="5" width="21.81640625" customWidth="1"/>
    <col min="6" max="8" width="18.7265625" customWidth="1"/>
    <col min="9" max="9" width="20.81640625" customWidth="1"/>
    <col min="10" max="10" width="18.7265625" customWidth="1"/>
    <col min="13" max="15" width="10.26953125" customWidth="1"/>
  </cols>
  <sheetData>
    <row r="1" spans="1:15" ht="23" x14ac:dyDescent="0.5">
      <c r="A1" s="97" t="s">
        <v>22</v>
      </c>
      <c r="B1" s="81"/>
      <c r="C1" s="81"/>
      <c r="D1" s="81"/>
      <c r="E1" s="81"/>
      <c r="F1" s="97" t="s">
        <v>84</v>
      </c>
      <c r="G1" s="98"/>
      <c r="H1" s="98"/>
      <c r="I1" s="98"/>
      <c r="J1" s="98"/>
    </row>
    <row r="2" spans="1:15" ht="16" x14ac:dyDescent="0.4">
      <c r="A2" s="60"/>
      <c r="B2" s="61"/>
      <c r="C2" s="7"/>
      <c r="D2" s="7"/>
      <c r="E2" s="62"/>
      <c r="F2" s="62"/>
      <c r="G2" s="62"/>
      <c r="H2" s="62"/>
      <c r="I2" s="62"/>
      <c r="J2" s="4"/>
    </row>
    <row r="3" spans="1:15" ht="20.5" thickBot="1" x14ac:dyDescent="0.45">
      <c r="A3" s="63" t="s">
        <v>85</v>
      </c>
      <c r="B3" s="99" t="str">
        <f>Contacts!F5</f>
        <v xml:space="preserve"> Project Name</v>
      </c>
      <c r="C3" s="100"/>
      <c r="D3" s="101"/>
      <c r="E3" s="102"/>
      <c r="F3" s="103"/>
      <c r="G3" s="64" t="s">
        <v>86</v>
      </c>
      <c r="H3" s="104" t="str">
        <f>Contacts!F6</f>
        <v xml:space="preserve"> A/E / Developer</v>
      </c>
      <c r="I3" s="104"/>
      <c r="J3" s="104"/>
    </row>
    <row r="4" spans="1:15" x14ac:dyDescent="0.35">
      <c r="A4" s="65"/>
      <c r="B4" s="61"/>
      <c r="C4" s="7"/>
      <c r="D4" s="7"/>
      <c r="E4" s="62"/>
      <c r="F4" s="62"/>
      <c r="G4" s="62"/>
      <c r="H4" s="62"/>
      <c r="I4" s="62"/>
      <c r="J4" s="4"/>
    </row>
    <row r="5" spans="1:15" ht="15" thickBot="1" x14ac:dyDescent="0.4">
      <c r="A5" s="63" t="s">
        <v>87</v>
      </c>
      <c r="B5" s="66">
        <f ca="1">TODAY()</f>
        <v>45659</v>
      </c>
      <c r="C5" s="7"/>
      <c r="D5" s="7"/>
      <c r="E5" s="62"/>
      <c r="F5" s="62"/>
      <c r="G5" s="62"/>
      <c r="H5" s="62"/>
      <c r="I5" s="62"/>
      <c r="J5" s="4"/>
    </row>
    <row r="6" spans="1:15" x14ac:dyDescent="0.35">
      <c r="A6" s="65"/>
      <c r="B6" s="61"/>
      <c r="C6" s="7"/>
      <c r="D6" s="7"/>
      <c r="E6" s="62"/>
      <c r="F6" s="62"/>
      <c r="G6" s="62"/>
      <c r="H6" s="62"/>
      <c r="I6" s="62"/>
      <c r="J6" s="4"/>
    </row>
    <row r="9" spans="1:15" x14ac:dyDescent="0.35">
      <c r="A9" t="s">
        <v>6</v>
      </c>
      <c r="B9" t="s">
        <v>3</v>
      </c>
      <c r="C9" t="s">
        <v>5</v>
      </c>
      <c r="D9" t="s">
        <v>4</v>
      </c>
      <c r="E9" t="s">
        <v>9</v>
      </c>
      <c r="F9" t="s">
        <v>10</v>
      </c>
      <c r="G9" t="s">
        <v>11</v>
      </c>
      <c r="H9" t="s">
        <v>12</v>
      </c>
      <c r="I9" t="s">
        <v>13</v>
      </c>
      <c r="J9" t="s">
        <v>27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</row>
  </sheetData>
  <mergeCells count="5">
    <mergeCell ref="A1:E1"/>
    <mergeCell ref="F1:J1"/>
    <mergeCell ref="B3:D3"/>
    <mergeCell ref="E3:F3"/>
    <mergeCell ref="H3:J3"/>
  </mergeCells>
  <phoneticPr fontId="17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2D8A-B978-44F9-A3FF-D81D35B38167}">
  <dimension ref="A1:P1"/>
  <sheetViews>
    <sheetView showZeros="0" workbookViewId="0">
      <selection activeCell="A2" sqref="A2:XFD2"/>
    </sheetView>
  </sheetViews>
  <sheetFormatPr defaultRowHeight="14.5" x14ac:dyDescent="0.35"/>
  <cols>
    <col min="1" max="1" width="8.7265625" style="55"/>
    <col min="5" max="16" width="8.7265625" style="55"/>
  </cols>
  <sheetData>
    <row r="1" spans="1:16" x14ac:dyDescent="0.35">
      <c r="A1" s="56"/>
      <c r="B1" s="57" t="str">
        <f>View_Print!M1</f>
        <v>Update 1</v>
      </c>
      <c r="C1" s="57" t="str">
        <f>View_Print!N1</f>
        <v>Update 2</v>
      </c>
      <c r="D1" s="57" t="str">
        <f>View_Print!O1</f>
        <v>Update 3</v>
      </c>
      <c r="E1" s="58" t="str">
        <f>Input!A1</f>
        <v>Change Order Number:</v>
      </c>
      <c r="F1" s="58" t="str">
        <f>Input!B1</f>
        <v>Owner's Change Order No.</v>
      </c>
      <c r="G1" s="58" t="str">
        <f>Input!C1</f>
        <v>Subcontractor:</v>
      </c>
      <c r="H1" s="58" t="str">
        <f>Input!D1</f>
        <v>Subcontract Number:</v>
      </c>
      <c r="I1" s="58" t="str">
        <f>Input!E1</f>
        <v>Previous Contract</v>
      </c>
      <c r="J1" s="58" t="str">
        <f>Input!F1</f>
        <v>Increase</v>
      </c>
      <c r="K1" s="58" t="str">
        <f>Input!G1</f>
        <v>Decrease</v>
      </c>
      <c r="L1" s="58" t="str">
        <f>Input!H1</f>
        <v>Net Change</v>
      </c>
      <c r="M1" s="58" t="str">
        <f>Input!I1</f>
        <v>Revised Contract</v>
      </c>
      <c r="N1" s="58" t="str">
        <f>Input!J1</f>
        <v>Date:</v>
      </c>
      <c r="O1" s="58" t="str">
        <f>Input!K1</f>
        <v>Log 11</v>
      </c>
      <c r="P1" s="59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BD31-994D-4668-AC97-EC54693753F7}">
  <dimension ref="S1:AB1"/>
  <sheetViews>
    <sheetView showZeros="0" workbookViewId="0">
      <selection activeCell="A2" sqref="A2:XFD2"/>
    </sheetView>
  </sheetViews>
  <sheetFormatPr defaultRowHeight="14.5" x14ac:dyDescent="0.35"/>
  <sheetData>
    <row r="1" spans="19:28" x14ac:dyDescent="0.35">
      <c r="S1" t="str">
        <f>Input!A1</f>
        <v>Change Order Number:</v>
      </c>
      <c r="T1" t="str">
        <f>Input!B1</f>
        <v>Owner's Change Order No.</v>
      </c>
      <c r="U1" t="str">
        <f>Input!C1</f>
        <v>Subcontractor:</v>
      </c>
      <c r="V1" t="str">
        <f>Input!D1</f>
        <v>Subcontract Number:</v>
      </c>
      <c r="W1" t="str">
        <f>Input!E1</f>
        <v>Previous Contract</v>
      </c>
      <c r="X1" t="str">
        <f>Input!F1</f>
        <v>Increase</v>
      </c>
      <c r="Y1" t="str">
        <f>Input!G1</f>
        <v>Decrease</v>
      </c>
      <c r="Z1" t="str">
        <f>Input!H1</f>
        <v>Net Change</v>
      </c>
      <c r="AA1" t="str">
        <f>Input!I1</f>
        <v>Revised Contract</v>
      </c>
      <c r="AB1" t="str">
        <f>Input!J1</f>
        <v>Date: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Contacts</vt:lpstr>
      <vt:lpstr>Sheet1</vt:lpstr>
      <vt:lpstr>Input</vt:lpstr>
      <vt:lpstr>View_Print</vt:lpstr>
      <vt:lpstr>Log</vt:lpstr>
      <vt:lpstr>Update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2024-11-24T18:44:00Z</dcterms:created>
  <dcterms:modified xsi:type="dcterms:W3CDTF">2025-01-02T18:31:04Z</dcterms:modified>
</cp:coreProperties>
</file>