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s" sheetId="1" r:id="rId4"/>
    <sheet state="visible" name="Code Totals" sheetId="2" r:id="rId5"/>
    <sheet state="visible" name="Sheet1" sheetId="3" r:id="rId6"/>
    <sheet state="visible" name="Input" sheetId="4" r:id="rId7"/>
    <sheet state="visible" name="View_Print" sheetId="5" r:id="rId8"/>
    <sheet state="visible" name="Log" sheetId="6" r:id="rId9"/>
    <sheet state="visible" name="Update" sheetId="7" r:id="rId10"/>
    <sheet state="visible" name="Data" sheetId="8" r:id="rId11"/>
  </sheets>
  <definedNames>
    <definedName hidden="1" localSheetId="5" name="_xlnm._FilterDatabase">Log!$A$9:$O$10</definedName>
  </definedNames>
  <calcPr/>
</workbook>
</file>

<file path=xl/sharedStrings.xml><?xml version="1.0" encoding="utf-8"?>
<sst xmlns="http://schemas.openxmlformats.org/spreadsheetml/2006/main" count="52" uniqueCount="34">
  <si>
    <t>Name</t>
  </si>
  <si>
    <t>Emp. No</t>
  </si>
  <si>
    <t>Rate</t>
  </si>
  <si>
    <t>Crafts</t>
  </si>
  <si>
    <t>Cost Codes</t>
  </si>
  <si>
    <t>Moe</t>
  </si>
  <si>
    <t>Carpenter</t>
  </si>
  <si>
    <t>13100   Project Superintendent</t>
  </si>
  <si>
    <t>Cost Code</t>
  </si>
  <si>
    <t>Regular Hours</t>
  </si>
  <si>
    <t>OT Hours</t>
  </si>
  <si>
    <t>DT Hours</t>
  </si>
  <si>
    <t>EMPLOYEE NO.</t>
  </si>
  <si>
    <t>EMPLOYEE NAME</t>
  </si>
  <si>
    <t>Note:</t>
  </si>
  <si>
    <t>PREPAID CHECK #</t>
  </si>
  <si>
    <t>RATE</t>
  </si>
  <si>
    <t>CRAFT</t>
  </si>
  <si>
    <t>BEGINNING DATE</t>
  </si>
  <si>
    <t>COST CODE</t>
  </si>
  <si>
    <t>TOTAL</t>
  </si>
  <si>
    <t>TOTAL HOURS</t>
  </si>
  <si>
    <t>OT</t>
  </si>
  <si>
    <t>DT</t>
  </si>
  <si>
    <t>Regular</t>
  </si>
  <si>
    <t>GROSS</t>
  </si>
  <si>
    <t>Log 11</t>
  </si>
  <si>
    <t>Log 12</t>
  </si>
  <si>
    <t>Update 1</t>
  </si>
  <si>
    <t>Update 2</t>
  </si>
  <si>
    <t>Update 3</t>
  </si>
  <si>
    <t>Time/Cost Log</t>
  </si>
  <si>
    <t>Date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</si>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</sst>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/>
    <font>
      <b/>
      <u/>
      <sz val="16.0"/>
      <color rgb="FFFF0000"/>
    </font>
    <font>
      <b/>
      <sz val="14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1" fillId="0" fontId="1" numFmtId="0" xfId="0" applyBorder="1" applyFont="1"/>
    <xf borderId="2" fillId="0" fontId="4" numFmtId="0" xfId="0" applyBorder="1" applyFont="1"/>
    <xf borderId="3" fillId="0" fontId="4" numFmtId="0" xfId="0" applyBorder="1" applyFont="1"/>
    <xf borderId="0" fillId="0" fontId="1" numFmtId="0" xfId="0" applyAlignment="1" applyFont="1">
      <alignment horizontal="center"/>
    </xf>
    <xf borderId="1" fillId="0" fontId="1" numFmtId="14" xfId="0" applyBorder="1" applyFont="1" applyNumberFormat="1"/>
    <xf borderId="4" fillId="0" fontId="1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4" fillId="0" fontId="1" numFmtId="0" xfId="0" applyBorder="1" applyFont="1"/>
    <xf borderId="10" fillId="0" fontId="1" numFmtId="0" xfId="0" applyBorder="1" applyFont="1"/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readingOrder="0"/>
    </xf>
    <xf borderId="11" fillId="0" fontId="4" numFmtId="0" xfId="0" applyBorder="1" applyFont="1"/>
    <xf borderId="5" fillId="0" fontId="1" numFmtId="0" xfId="0" applyBorder="1" applyFont="1"/>
    <xf borderId="0" fillId="0" fontId="3" numFmtId="0" xfId="0" applyAlignment="1" applyFont="1">
      <alignment horizontal="right" readingOrder="0"/>
    </xf>
    <xf borderId="10" fillId="2" fontId="1" numFmtId="0" xfId="0" applyAlignment="1" applyBorder="1" applyFill="1" applyFont="1">
      <alignment readingOrder="0"/>
    </xf>
    <xf borderId="0" fillId="2" fontId="5" numFmtId="0" xfId="0" applyAlignment="1" applyFont="1">
      <alignment horizontal="center" vertical="center"/>
    </xf>
    <xf borderId="10" fillId="0" fontId="1" numFmtId="14" xfId="0" applyBorder="1" applyFont="1" applyNumberFormat="1"/>
    <xf borderId="0" fillId="2" fontId="1" numFmtId="0" xfId="0" applyFont="1"/>
    <xf borderId="0" fillId="3" fontId="1" numFmtId="0" xfId="0" applyFill="1" applyFont="1"/>
    <xf borderId="0" fillId="0" fontId="1" numFmtId="0" xfId="0" applyFont="1"/>
    <xf borderId="0" fillId="0" fontId="6" numFmtId="0" xfId="0" applyAlignment="1" applyFont="1">
      <alignment readingOrder="0"/>
    </xf>
    <xf borderId="0" fillId="0" fontId="1" numFmtId="14" xfId="0" applyFont="1" applyNumberFormat="1"/>
    <xf borderId="12" fillId="4" fontId="1" numFmtId="0" xfId="0" applyBorder="1" applyFill="1" applyFont="1"/>
    <xf borderId="12" fillId="0" fontId="1" numFmtId="0" xfId="0" applyBorder="1" applyFont="1"/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7.13"/>
    <col customWidth="1" min="3" max="3" width="5.88"/>
    <col customWidth="1" min="5" max="5" width="8.0"/>
    <col customWidth="1" min="6" max="6" width="23.25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H1" s="2" t="str">
        <f>HYPERLINK("https://datamateapp.github.io/About%20Timesheet.html", "About Timesheet")</f>
        <v>About Timesheet</v>
      </c>
    </row>
    <row r="2">
      <c r="A2" s="1" t="s">
        <v>5</v>
      </c>
      <c r="B2" s="3">
        <v>3000.0</v>
      </c>
      <c r="C2" s="4">
        <v>43.68</v>
      </c>
      <c r="E2" s="1" t="s">
        <v>6</v>
      </c>
      <c r="F2" s="1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1.25"/>
    <col customWidth="1" min="3" max="4" width="7.75"/>
  </cols>
  <sheetData>
    <row r="1">
      <c r="A1" s="1" t="s">
        <v>8</v>
      </c>
      <c r="B1" s="1" t="s">
        <v>9</v>
      </c>
      <c r="C1" s="1" t="s">
        <v>10</v>
      </c>
      <c r="D1" s="1" t="s">
        <v>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17" width="3.88"/>
  </cols>
  <sheetData>
    <row r="3">
      <c r="A3" s="5" t="s">
        <v>12</v>
      </c>
      <c r="B3" s="5" t="s">
        <v>13</v>
      </c>
      <c r="H3" s="5" t="s">
        <v>14</v>
      </c>
      <c r="J3" s="6"/>
      <c r="K3" s="7"/>
      <c r="L3" s="7"/>
      <c r="M3" s="7"/>
      <c r="N3" s="7"/>
      <c r="O3" s="7"/>
      <c r="P3" s="7"/>
      <c r="Q3" s="8"/>
    </row>
    <row r="4">
      <c r="A4" s="9" t="str">
        <f>VLOOKUP(B4, Lists!A:B, 2, FALSE)</f>
        <v>#N/A</v>
      </c>
      <c r="B4" s="6"/>
      <c r="C4" s="7"/>
      <c r="D4" s="7"/>
      <c r="E4" s="7"/>
      <c r="F4" s="7"/>
      <c r="G4" s="8"/>
      <c r="J4" s="5" t="s">
        <v>15</v>
      </c>
      <c r="O4" s="6"/>
      <c r="P4" s="7"/>
      <c r="Q4" s="8"/>
    </row>
    <row r="5">
      <c r="A5" s="5" t="s">
        <v>16</v>
      </c>
      <c r="B5" s="5" t="s">
        <v>17</v>
      </c>
      <c r="J5" s="5" t="s">
        <v>18</v>
      </c>
    </row>
    <row r="6">
      <c r="A6" s="9" t="str">
        <f>VLOOKUP(B4, Lists!A:C, 3, FALSE)</f>
        <v>#N/A</v>
      </c>
      <c r="B6" s="6"/>
      <c r="C6" s="7"/>
      <c r="D6" s="7"/>
      <c r="E6" s="7"/>
      <c r="F6" s="7"/>
      <c r="G6" s="8"/>
      <c r="J6" s="10">
        <f>TODAY()</f>
        <v>45747</v>
      </c>
      <c r="K6" s="7"/>
      <c r="L6" s="7"/>
      <c r="M6" s="8"/>
    </row>
    <row r="7">
      <c r="A7" s="11" t="s">
        <v>19</v>
      </c>
      <c r="B7" s="10">
        <f>IF(J6="", "", J6+0)</f>
        <v>45747</v>
      </c>
      <c r="C7" s="8"/>
      <c r="D7" s="10">
        <f>IF(J6="", "", J6+1)</f>
        <v>45748</v>
      </c>
      <c r="E7" s="8"/>
      <c r="F7" s="10">
        <f>IF(J6="", "", J6+2)</f>
        <v>45749</v>
      </c>
      <c r="G7" s="8"/>
      <c r="H7" s="10">
        <f>IF(J6="", "", J6+3)</f>
        <v>45750</v>
      </c>
      <c r="I7" s="8"/>
      <c r="J7" s="10">
        <f>IF(J6="", "", J6+4)</f>
        <v>45751</v>
      </c>
      <c r="K7" s="8"/>
      <c r="L7" s="10">
        <f>IF(J6="", "", J6+5)</f>
        <v>45752</v>
      </c>
      <c r="M7" s="8"/>
      <c r="N7" s="10">
        <f>IF(J6="", "", J6+6)</f>
        <v>45753</v>
      </c>
      <c r="O7" s="8"/>
      <c r="P7" s="12" t="s">
        <v>20</v>
      </c>
      <c r="Q7" s="13"/>
    </row>
    <row r="8">
      <c r="A8" s="14"/>
      <c r="B8" s="6" t="str">
        <f>TEXT(B7, "ddd")</f>
        <v>Mon</v>
      </c>
      <c r="C8" s="8"/>
      <c r="D8" s="6" t="str">
        <f>TEXT(D7, "ddd")</f>
        <v>Tue</v>
      </c>
      <c r="E8" s="8"/>
      <c r="F8" s="6" t="str">
        <f>TEXT(F7, "ddd")</f>
        <v>Wed</v>
      </c>
      <c r="G8" s="8"/>
      <c r="H8" s="6" t="str">
        <f>TEXT(H7, "ddd")</f>
        <v>Thu</v>
      </c>
      <c r="I8" s="8"/>
      <c r="J8" s="6" t="str">
        <f>TEXT(J7, "ddd")</f>
        <v>Fri</v>
      </c>
      <c r="K8" s="8"/>
      <c r="L8" s="6" t="str">
        <f>TEXT(L7, "ddd")</f>
        <v>Sat</v>
      </c>
      <c r="M8" s="8"/>
      <c r="N8" s="6" t="str">
        <f>TEXT(N7, "ddd")</f>
        <v>Sun</v>
      </c>
      <c r="O8" s="8"/>
      <c r="P8" s="15"/>
      <c r="Q8" s="16"/>
    </row>
    <row r="9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>
        <f t="shared" ref="P9:Q9" si="1">SUM(B9+D9+F9+H9+J9+L9+N9)</f>
        <v>0</v>
      </c>
      <c r="Q9" s="18">
        <f t="shared" si="1"/>
        <v>0</v>
      </c>
    </row>
    <row r="10">
      <c r="A10" s="14"/>
      <c r="B10" s="6"/>
      <c r="C10" s="8"/>
      <c r="D10" s="6"/>
      <c r="E10" s="8"/>
      <c r="F10" s="6"/>
      <c r="G10" s="8"/>
      <c r="H10" s="6"/>
      <c r="I10" s="8"/>
      <c r="J10" s="6"/>
      <c r="K10" s="8"/>
      <c r="L10" s="6"/>
      <c r="M10" s="8"/>
      <c r="N10" s="6"/>
      <c r="O10" s="8"/>
      <c r="P10" s="6">
        <f t="shared" ref="P10:P40" si="2">SUM(B10+D10+F10+H10+J10+L10+N10)</f>
        <v>0</v>
      </c>
      <c r="Q10" s="8"/>
    </row>
    <row r="11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>
        <f t="shared" si="2"/>
        <v>0</v>
      </c>
      <c r="Q11" s="18">
        <f>SUM(C11+E11+G11+I11+K11+M11+O11)</f>
        <v>0</v>
      </c>
    </row>
    <row r="12">
      <c r="A12" s="14"/>
      <c r="B12" s="6"/>
      <c r="C12" s="8"/>
      <c r="D12" s="6"/>
      <c r="E12" s="8"/>
      <c r="F12" s="6"/>
      <c r="G12" s="8"/>
      <c r="H12" s="6"/>
      <c r="I12" s="8"/>
      <c r="J12" s="6"/>
      <c r="K12" s="8"/>
      <c r="L12" s="6"/>
      <c r="M12" s="8"/>
      <c r="N12" s="6"/>
      <c r="O12" s="8"/>
      <c r="P12" s="6">
        <f t="shared" si="2"/>
        <v>0</v>
      </c>
      <c r="Q12" s="8"/>
    </row>
    <row r="1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>
        <f t="shared" si="2"/>
        <v>0</v>
      </c>
      <c r="Q13" s="18">
        <f>SUM(C13+E13+G13+I13+K13+M13+O13)</f>
        <v>0</v>
      </c>
    </row>
    <row r="14">
      <c r="A14" s="14"/>
      <c r="B14" s="6"/>
      <c r="C14" s="8"/>
      <c r="D14" s="6"/>
      <c r="E14" s="8"/>
      <c r="F14" s="6"/>
      <c r="G14" s="8"/>
      <c r="H14" s="6"/>
      <c r="I14" s="8"/>
      <c r="J14" s="6"/>
      <c r="K14" s="8"/>
      <c r="L14" s="6"/>
      <c r="M14" s="8"/>
      <c r="N14" s="6"/>
      <c r="O14" s="8"/>
      <c r="P14" s="6">
        <f t="shared" si="2"/>
        <v>0</v>
      </c>
      <c r="Q14" s="8"/>
    </row>
    <row r="1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>
        <f t="shared" si="2"/>
        <v>0</v>
      </c>
      <c r="Q15" s="18">
        <f>SUM(C15+E15+G15+I15+K15+M15+O15)</f>
        <v>0</v>
      </c>
    </row>
    <row r="16">
      <c r="A16" s="14"/>
      <c r="B16" s="6"/>
      <c r="C16" s="8"/>
      <c r="D16" s="6"/>
      <c r="E16" s="8"/>
      <c r="F16" s="6"/>
      <c r="G16" s="8"/>
      <c r="H16" s="6"/>
      <c r="I16" s="8"/>
      <c r="J16" s="6"/>
      <c r="K16" s="8"/>
      <c r="L16" s="6"/>
      <c r="M16" s="8"/>
      <c r="N16" s="6"/>
      <c r="O16" s="8"/>
      <c r="P16" s="6">
        <f t="shared" si="2"/>
        <v>0</v>
      </c>
      <c r="Q16" s="8"/>
    </row>
    <row r="17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>
        <f t="shared" si="2"/>
        <v>0</v>
      </c>
      <c r="Q17" s="18">
        <f>SUM(C17+E17+G17+I17+K17+M17+O17)</f>
        <v>0</v>
      </c>
    </row>
    <row r="18">
      <c r="A18" s="14"/>
      <c r="B18" s="6"/>
      <c r="C18" s="8"/>
      <c r="D18" s="6"/>
      <c r="E18" s="8"/>
      <c r="F18" s="6"/>
      <c r="G18" s="8"/>
      <c r="H18" s="6"/>
      <c r="I18" s="8"/>
      <c r="J18" s="6"/>
      <c r="K18" s="8"/>
      <c r="L18" s="6"/>
      <c r="M18" s="8"/>
      <c r="N18" s="6"/>
      <c r="O18" s="8"/>
      <c r="P18" s="6">
        <f t="shared" si="2"/>
        <v>0</v>
      </c>
      <c r="Q18" s="8"/>
    </row>
    <row r="19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>
        <f t="shared" si="2"/>
        <v>0</v>
      </c>
      <c r="Q19" s="18">
        <f>SUM(C19+E19+G19+I19+K19+M19+O19)</f>
        <v>0</v>
      </c>
    </row>
    <row r="20">
      <c r="A20" s="14"/>
      <c r="B20" s="6"/>
      <c r="C20" s="8"/>
      <c r="D20" s="6"/>
      <c r="E20" s="8"/>
      <c r="F20" s="6"/>
      <c r="G20" s="8"/>
      <c r="H20" s="6"/>
      <c r="I20" s="8"/>
      <c r="J20" s="6"/>
      <c r="K20" s="8"/>
      <c r="L20" s="6"/>
      <c r="M20" s="8"/>
      <c r="N20" s="6"/>
      <c r="O20" s="8"/>
      <c r="P20" s="6">
        <f t="shared" si="2"/>
        <v>0</v>
      </c>
      <c r="Q20" s="8"/>
    </row>
    <row r="21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>
        <f t="shared" si="2"/>
        <v>0</v>
      </c>
      <c r="Q21" s="18">
        <f>SUM(C21+E21+G21+I21+K21+M21+O21)</f>
        <v>0</v>
      </c>
    </row>
    <row r="22">
      <c r="A22" s="14"/>
      <c r="B22" s="6"/>
      <c r="C22" s="8"/>
      <c r="D22" s="6"/>
      <c r="E22" s="8"/>
      <c r="F22" s="6"/>
      <c r="G22" s="8"/>
      <c r="H22" s="6"/>
      <c r="I22" s="8"/>
      <c r="J22" s="6"/>
      <c r="K22" s="8"/>
      <c r="L22" s="6"/>
      <c r="M22" s="8"/>
      <c r="N22" s="6"/>
      <c r="O22" s="8"/>
      <c r="P22" s="6">
        <f t="shared" si="2"/>
        <v>0</v>
      </c>
      <c r="Q22" s="8"/>
    </row>
    <row r="23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>
        <f t="shared" si="2"/>
        <v>0</v>
      </c>
      <c r="Q23" s="18">
        <f>SUM(C23+E23+G23+I23+K23+M23+O23)</f>
        <v>0</v>
      </c>
    </row>
    <row r="24">
      <c r="A24" s="14"/>
      <c r="B24" s="6"/>
      <c r="C24" s="8"/>
      <c r="D24" s="6"/>
      <c r="E24" s="8"/>
      <c r="F24" s="6"/>
      <c r="G24" s="8"/>
      <c r="H24" s="6"/>
      <c r="I24" s="8"/>
      <c r="J24" s="6"/>
      <c r="K24" s="8"/>
      <c r="L24" s="6"/>
      <c r="M24" s="8"/>
      <c r="N24" s="6"/>
      <c r="O24" s="8"/>
      <c r="P24" s="6">
        <f t="shared" si="2"/>
        <v>0</v>
      </c>
      <c r="Q24" s="8"/>
    </row>
    <row r="2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>
        <f t="shared" si="2"/>
        <v>0</v>
      </c>
      <c r="Q25" s="18">
        <f>SUM(C25+E25+G25+I25+K25+M25+O25)</f>
        <v>0</v>
      </c>
    </row>
    <row r="26">
      <c r="A26" s="14"/>
      <c r="B26" s="6"/>
      <c r="C26" s="8"/>
      <c r="D26" s="6"/>
      <c r="E26" s="8"/>
      <c r="F26" s="6"/>
      <c r="G26" s="8"/>
      <c r="H26" s="6"/>
      <c r="I26" s="8"/>
      <c r="J26" s="6"/>
      <c r="K26" s="8"/>
      <c r="L26" s="6"/>
      <c r="M26" s="8"/>
      <c r="N26" s="6"/>
      <c r="O26" s="8"/>
      <c r="P26" s="6">
        <f t="shared" si="2"/>
        <v>0</v>
      </c>
      <c r="Q26" s="8"/>
    </row>
    <row r="27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>
        <f t="shared" si="2"/>
        <v>0</v>
      </c>
      <c r="Q27" s="18">
        <f>SUM(C27+E27+G27+I27+K27+M27+O27)</f>
        <v>0</v>
      </c>
    </row>
    <row r="28">
      <c r="A28" s="14"/>
      <c r="B28" s="6"/>
      <c r="C28" s="8"/>
      <c r="D28" s="6"/>
      <c r="E28" s="8"/>
      <c r="F28" s="6"/>
      <c r="G28" s="8"/>
      <c r="H28" s="6"/>
      <c r="I28" s="8"/>
      <c r="J28" s="6"/>
      <c r="K28" s="8"/>
      <c r="L28" s="6"/>
      <c r="M28" s="8"/>
      <c r="N28" s="6"/>
      <c r="O28" s="8"/>
      <c r="P28" s="6">
        <f t="shared" si="2"/>
        <v>0</v>
      </c>
      <c r="Q28" s="8"/>
    </row>
    <row r="29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>
        <f t="shared" si="2"/>
        <v>0</v>
      </c>
      <c r="Q29" s="18">
        <f>SUM(C29+E29+G29+I29+K29+M29+O29)</f>
        <v>0</v>
      </c>
    </row>
    <row r="30">
      <c r="A30" s="14"/>
      <c r="B30" s="6"/>
      <c r="C30" s="8"/>
      <c r="D30" s="6"/>
      <c r="E30" s="8"/>
      <c r="F30" s="6"/>
      <c r="G30" s="8"/>
      <c r="H30" s="6"/>
      <c r="I30" s="8"/>
      <c r="J30" s="6"/>
      <c r="K30" s="8"/>
      <c r="L30" s="6"/>
      <c r="M30" s="8"/>
      <c r="N30" s="6"/>
      <c r="O30" s="8"/>
      <c r="P30" s="6">
        <f t="shared" si="2"/>
        <v>0</v>
      </c>
      <c r="Q30" s="8"/>
    </row>
    <row r="31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>
        <f t="shared" si="2"/>
        <v>0</v>
      </c>
      <c r="Q31" s="18">
        <f>SUM(C31+E31+G31+I31+K31+M31+O31)</f>
        <v>0</v>
      </c>
    </row>
    <row r="32">
      <c r="A32" s="14"/>
      <c r="B32" s="6"/>
      <c r="C32" s="8"/>
      <c r="D32" s="6"/>
      <c r="E32" s="8"/>
      <c r="F32" s="6"/>
      <c r="G32" s="8"/>
      <c r="H32" s="6"/>
      <c r="I32" s="8"/>
      <c r="J32" s="6"/>
      <c r="K32" s="8"/>
      <c r="L32" s="6"/>
      <c r="M32" s="8"/>
      <c r="N32" s="6"/>
      <c r="O32" s="8"/>
      <c r="P32" s="6">
        <f t="shared" si="2"/>
        <v>0</v>
      </c>
      <c r="Q32" s="8"/>
    </row>
    <row r="33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>
        <f t="shared" si="2"/>
        <v>0</v>
      </c>
      <c r="Q33" s="18">
        <f>SUM(C33+E33+G33+I33+K33+M33+O33)</f>
        <v>0</v>
      </c>
    </row>
    <row r="34">
      <c r="A34" s="14"/>
      <c r="B34" s="6"/>
      <c r="C34" s="8"/>
      <c r="D34" s="6"/>
      <c r="E34" s="8"/>
      <c r="F34" s="6"/>
      <c r="G34" s="8"/>
      <c r="H34" s="6"/>
      <c r="I34" s="8"/>
      <c r="J34" s="6"/>
      <c r="K34" s="8"/>
      <c r="L34" s="6"/>
      <c r="M34" s="8"/>
      <c r="N34" s="6"/>
      <c r="O34" s="8"/>
      <c r="P34" s="6">
        <f t="shared" si="2"/>
        <v>0</v>
      </c>
      <c r="Q34" s="8"/>
    </row>
    <row r="3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>
        <f t="shared" si="2"/>
        <v>0</v>
      </c>
      <c r="Q35" s="18">
        <f>SUM(C35+E35+G35+I35+K35+M35+O35)</f>
        <v>0</v>
      </c>
    </row>
    <row r="36">
      <c r="A36" s="14"/>
      <c r="B36" s="6"/>
      <c r="C36" s="8"/>
      <c r="D36" s="6"/>
      <c r="E36" s="8"/>
      <c r="F36" s="6"/>
      <c r="G36" s="8"/>
      <c r="H36" s="6"/>
      <c r="I36" s="8"/>
      <c r="J36" s="6"/>
      <c r="K36" s="8"/>
      <c r="L36" s="6"/>
      <c r="M36" s="8"/>
      <c r="N36" s="6"/>
      <c r="O36" s="8"/>
      <c r="P36" s="6">
        <f t="shared" si="2"/>
        <v>0</v>
      </c>
      <c r="Q36" s="8"/>
    </row>
    <row r="37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>
        <f t="shared" si="2"/>
        <v>0</v>
      </c>
      <c r="Q37" s="18">
        <f>SUM(C37+E37+G37+I37+K37+M37+O37)</f>
        <v>0</v>
      </c>
    </row>
    <row r="38">
      <c r="A38" s="14"/>
      <c r="B38" s="6"/>
      <c r="C38" s="8"/>
      <c r="D38" s="6"/>
      <c r="E38" s="8"/>
      <c r="F38" s="6"/>
      <c r="G38" s="8"/>
      <c r="H38" s="6"/>
      <c r="I38" s="8"/>
      <c r="J38" s="6"/>
      <c r="K38" s="8"/>
      <c r="L38" s="6"/>
      <c r="M38" s="8"/>
      <c r="N38" s="6"/>
      <c r="O38" s="8"/>
      <c r="P38" s="6">
        <f t="shared" si="2"/>
        <v>0</v>
      </c>
      <c r="Q38" s="8"/>
    </row>
    <row r="39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>
        <f t="shared" si="2"/>
        <v>0</v>
      </c>
      <c r="Q39" s="18">
        <f>SUM(C39+E39+G39+I39+K39+M39+O39)</f>
        <v>0</v>
      </c>
    </row>
    <row r="40">
      <c r="A40" s="14"/>
      <c r="B40" s="6"/>
      <c r="C40" s="8"/>
      <c r="D40" s="6"/>
      <c r="E40" s="8"/>
      <c r="F40" s="6"/>
      <c r="G40" s="8"/>
      <c r="H40" s="6"/>
      <c r="I40" s="8"/>
      <c r="J40" s="6"/>
      <c r="K40" s="8"/>
      <c r="L40" s="6"/>
      <c r="M40" s="8"/>
      <c r="N40" s="6"/>
      <c r="O40" s="8"/>
      <c r="P40" s="6">
        <f t="shared" si="2"/>
        <v>0</v>
      </c>
      <c r="Q40" s="8"/>
    </row>
    <row r="41">
      <c r="A41" s="19" t="s">
        <v>21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20" t="s">
        <v>22</v>
      </c>
      <c r="Q41" s="20" t="s">
        <v>23</v>
      </c>
    </row>
    <row r="42">
      <c r="A42" s="21"/>
      <c r="B42" s="22"/>
      <c r="C42" s="13"/>
      <c r="D42" s="22"/>
      <c r="E42" s="13"/>
      <c r="F42" s="22"/>
      <c r="G42" s="13"/>
      <c r="H42" s="22"/>
      <c r="I42" s="13"/>
      <c r="J42" s="22"/>
      <c r="K42" s="13"/>
      <c r="L42" s="22"/>
      <c r="M42" s="13"/>
      <c r="N42" s="22"/>
      <c r="O42" s="13"/>
      <c r="P42" s="18">
        <f t="shared" ref="P42:Q42" si="3">SUM(P9+P11+P13+P15+P17+P19+P21+P23+P25+P27+P29+P31+P33+P35+P37+P39)</f>
        <v>0</v>
      </c>
      <c r="Q42" s="18">
        <f t="shared" si="3"/>
        <v>0</v>
      </c>
    </row>
    <row r="43">
      <c r="A43" s="14"/>
      <c r="B43" s="15"/>
      <c r="C43" s="16"/>
      <c r="D43" s="15"/>
      <c r="E43" s="16"/>
      <c r="F43" s="15"/>
      <c r="G43" s="16"/>
      <c r="H43" s="15"/>
      <c r="I43" s="16"/>
      <c r="J43" s="15"/>
      <c r="K43" s="16"/>
      <c r="L43" s="15"/>
      <c r="M43" s="16"/>
      <c r="N43" s="15"/>
      <c r="O43" s="16"/>
      <c r="P43" s="6">
        <f>SUM(P10+P12+P14+P16+P18+P20+P22+P24+P26+P28+P30+P32+P34+P36+P38+P40)</f>
        <v>0</v>
      </c>
      <c r="Q43" s="8"/>
    </row>
    <row r="45">
      <c r="A45" s="23" t="s">
        <v>24</v>
      </c>
      <c r="B45" s="9" t="str">
        <f>SUM(P43*A6)</f>
        <v>#N/A</v>
      </c>
      <c r="E45" s="5" t="s">
        <v>22</v>
      </c>
      <c r="F45" s="9" t="str">
        <f>SUM(P42*A6*1.5)</f>
        <v>#N/A</v>
      </c>
      <c r="I45" s="5" t="s">
        <v>23</v>
      </c>
      <c r="J45" s="9" t="str">
        <f>SUM(Q42*A6*2)</f>
        <v>#N/A</v>
      </c>
      <c r="M45" s="5" t="s">
        <v>25</v>
      </c>
      <c r="O45" s="9" t="str">
        <f>SUM(B45+F45+J45)</f>
        <v>#N/A</v>
      </c>
    </row>
  </sheetData>
  <mergeCells count="184">
    <mergeCell ref="J5:M5"/>
    <mergeCell ref="J6:M6"/>
    <mergeCell ref="J7:K7"/>
    <mergeCell ref="L7:M7"/>
    <mergeCell ref="N7:O7"/>
    <mergeCell ref="P7:Q8"/>
    <mergeCell ref="B3:G3"/>
    <mergeCell ref="B4:G4"/>
    <mergeCell ref="H3:I3"/>
    <mergeCell ref="J3:Q3"/>
    <mergeCell ref="J4:M4"/>
    <mergeCell ref="O4:Q4"/>
    <mergeCell ref="B5:G5"/>
    <mergeCell ref="D8:E8"/>
    <mergeCell ref="F8:G8"/>
    <mergeCell ref="J8:K8"/>
    <mergeCell ref="L8:M8"/>
    <mergeCell ref="N8:O8"/>
    <mergeCell ref="B6:G6"/>
    <mergeCell ref="B7:C7"/>
    <mergeCell ref="D7:E7"/>
    <mergeCell ref="F7:G7"/>
    <mergeCell ref="H7:I7"/>
    <mergeCell ref="B8:C8"/>
    <mergeCell ref="H8:I8"/>
    <mergeCell ref="A7:A8"/>
    <mergeCell ref="A9:A10"/>
    <mergeCell ref="B10:C10"/>
    <mergeCell ref="D10:E10"/>
    <mergeCell ref="F10:G10"/>
    <mergeCell ref="H10:I10"/>
    <mergeCell ref="J10:K10"/>
    <mergeCell ref="N14:O14"/>
    <mergeCell ref="P14:Q14"/>
    <mergeCell ref="L10:M10"/>
    <mergeCell ref="N10:O10"/>
    <mergeCell ref="P10:Q10"/>
    <mergeCell ref="L12:M12"/>
    <mergeCell ref="N12:O12"/>
    <mergeCell ref="P12:Q12"/>
    <mergeCell ref="L14:M14"/>
    <mergeCell ref="N34:O34"/>
    <mergeCell ref="P34:Q34"/>
    <mergeCell ref="A33:A34"/>
    <mergeCell ref="B34:C34"/>
    <mergeCell ref="D34:E34"/>
    <mergeCell ref="F34:G34"/>
    <mergeCell ref="H34:I34"/>
    <mergeCell ref="J34:K34"/>
    <mergeCell ref="L34:M34"/>
    <mergeCell ref="N36:O36"/>
    <mergeCell ref="P36:Q36"/>
    <mergeCell ref="A35:A36"/>
    <mergeCell ref="B36:C36"/>
    <mergeCell ref="D36:E36"/>
    <mergeCell ref="F36:G36"/>
    <mergeCell ref="H36:I36"/>
    <mergeCell ref="J36:K36"/>
    <mergeCell ref="L36:M36"/>
    <mergeCell ref="N38:O38"/>
    <mergeCell ref="P38:Q38"/>
    <mergeCell ref="A37:A38"/>
    <mergeCell ref="B38:C38"/>
    <mergeCell ref="D38:E38"/>
    <mergeCell ref="F38:G38"/>
    <mergeCell ref="H38:I38"/>
    <mergeCell ref="J38:K38"/>
    <mergeCell ref="L38:M38"/>
    <mergeCell ref="N40:O40"/>
    <mergeCell ref="P40:Q40"/>
    <mergeCell ref="A39:A40"/>
    <mergeCell ref="B40:C40"/>
    <mergeCell ref="D40:E40"/>
    <mergeCell ref="F40:G40"/>
    <mergeCell ref="H40:I40"/>
    <mergeCell ref="J40:K40"/>
    <mergeCell ref="L40:M40"/>
    <mergeCell ref="N42:O43"/>
    <mergeCell ref="P43:Q43"/>
    <mergeCell ref="A41:A43"/>
    <mergeCell ref="B42:C43"/>
    <mergeCell ref="D42:E43"/>
    <mergeCell ref="F42:G43"/>
    <mergeCell ref="H42:I43"/>
    <mergeCell ref="J42:K43"/>
    <mergeCell ref="L42:M43"/>
    <mergeCell ref="F14:G14"/>
    <mergeCell ref="H14:I14"/>
    <mergeCell ref="A11:A12"/>
    <mergeCell ref="B12:C12"/>
    <mergeCell ref="D12:E12"/>
    <mergeCell ref="F12:G12"/>
    <mergeCell ref="H12:I12"/>
    <mergeCell ref="J12:K12"/>
    <mergeCell ref="A13:A14"/>
    <mergeCell ref="J14:K14"/>
    <mergeCell ref="J16:K16"/>
    <mergeCell ref="L16:M16"/>
    <mergeCell ref="N16:O16"/>
    <mergeCell ref="P16:Q16"/>
    <mergeCell ref="B14:C14"/>
    <mergeCell ref="D14:E14"/>
    <mergeCell ref="A15:A16"/>
    <mergeCell ref="B16:C16"/>
    <mergeCell ref="D16:E16"/>
    <mergeCell ref="F16:G16"/>
    <mergeCell ref="H16:I16"/>
    <mergeCell ref="N18:O18"/>
    <mergeCell ref="P18:Q18"/>
    <mergeCell ref="N20:O20"/>
    <mergeCell ref="P20:Q20"/>
    <mergeCell ref="B45:D45"/>
    <mergeCell ref="F45:H45"/>
    <mergeCell ref="J45:L45"/>
    <mergeCell ref="M45:N45"/>
    <mergeCell ref="O45:Q45"/>
    <mergeCell ref="A17:A18"/>
    <mergeCell ref="B18:C18"/>
    <mergeCell ref="D18:E18"/>
    <mergeCell ref="F18:G18"/>
    <mergeCell ref="H18:I18"/>
    <mergeCell ref="J18:K18"/>
    <mergeCell ref="L18:M18"/>
    <mergeCell ref="A19:A20"/>
    <mergeCell ref="B20:C20"/>
    <mergeCell ref="D20:E20"/>
    <mergeCell ref="F20:G20"/>
    <mergeCell ref="H20:I20"/>
    <mergeCell ref="J20:K20"/>
    <mergeCell ref="L20:M20"/>
    <mergeCell ref="N22:O22"/>
    <mergeCell ref="P22:Q22"/>
    <mergeCell ref="A21:A22"/>
    <mergeCell ref="B22:C22"/>
    <mergeCell ref="D22:E22"/>
    <mergeCell ref="F22:G22"/>
    <mergeCell ref="H22:I22"/>
    <mergeCell ref="J22:K22"/>
    <mergeCell ref="L22:M22"/>
    <mergeCell ref="N24:O24"/>
    <mergeCell ref="P24:Q24"/>
    <mergeCell ref="A23:A24"/>
    <mergeCell ref="B24:C24"/>
    <mergeCell ref="D24:E24"/>
    <mergeCell ref="F24:G24"/>
    <mergeCell ref="H24:I24"/>
    <mergeCell ref="J24:K24"/>
    <mergeCell ref="L24:M24"/>
    <mergeCell ref="N26:O26"/>
    <mergeCell ref="P26:Q26"/>
    <mergeCell ref="A25:A26"/>
    <mergeCell ref="B26:C26"/>
    <mergeCell ref="D26:E26"/>
    <mergeCell ref="F26:G26"/>
    <mergeCell ref="H26:I26"/>
    <mergeCell ref="J26:K26"/>
    <mergeCell ref="L26:M26"/>
    <mergeCell ref="N28:O28"/>
    <mergeCell ref="P28:Q28"/>
    <mergeCell ref="A27:A28"/>
    <mergeCell ref="B28:C28"/>
    <mergeCell ref="D28:E28"/>
    <mergeCell ref="F28:G28"/>
    <mergeCell ref="H28:I28"/>
    <mergeCell ref="J28:K28"/>
    <mergeCell ref="L28:M28"/>
    <mergeCell ref="N30:O30"/>
    <mergeCell ref="P30:Q30"/>
    <mergeCell ref="A29:A30"/>
    <mergeCell ref="B30:C30"/>
    <mergeCell ref="D30:E30"/>
    <mergeCell ref="F30:G30"/>
    <mergeCell ref="H30:I30"/>
    <mergeCell ref="J30:K30"/>
    <mergeCell ref="L30:M30"/>
    <mergeCell ref="N32:O32"/>
    <mergeCell ref="P32:Q32"/>
    <mergeCell ref="A31:A32"/>
    <mergeCell ref="B32:C32"/>
    <mergeCell ref="D32:E32"/>
    <mergeCell ref="F32:G32"/>
    <mergeCell ref="H32:I32"/>
    <mergeCell ref="J32:K32"/>
    <mergeCell ref="L32:M32"/>
  </mergeCells>
  <dataValidations>
    <dataValidation type="list" allowBlank="1" showErrorMessage="1" sqref="B4">
      <formula1>Lists!$A$1:$A$20002</formula1>
    </dataValidation>
    <dataValidation type="list" allowBlank="1" showErrorMessage="1" sqref="B6">
      <formula1>Lists!$E$1:$E$20002</formula1>
    </dataValidation>
    <dataValidation type="list" allowBlank="1" showErrorMessage="1" sqref="A9 A11 A13 A15 A17 A19 A21 A23 A25 A27 A29 A31 A33 A35 A37 A39">
      <formula1>Lists!$F$1:$F$20002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17" width="3.88"/>
  </cols>
  <sheetData>
    <row r="1">
      <c r="A1" s="24" t="str">
        <f t="shared" ref="A1:A2" si="2">J5</f>
        <v>BEGINNING DATE</v>
      </c>
      <c r="B1" s="24" t="str">
        <f t="shared" ref="B1:B2" si="3">B3</f>
        <v>EMPLOYEE NAME</v>
      </c>
      <c r="C1" s="24" t="str">
        <f t="shared" ref="C1:C2" si="4">A5</f>
        <v>RATE</v>
      </c>
      <c r="D1" s="24" t="str">
        <f>A41</f>
        <v>TOTAL HOURS</v>
      </c>
      <c r="E1" s="24" t="str">
        <f t="shared" ref="E1:F1" si="1">P41</f>
        <v>OT</v>
      </c>
      <c r="F1" s="24" t="str">
        <f t="shared" si="1"/>
        <v>DT</v>
      </c>
      <c r="G1" s="24" t="str">
        <f>A45</f>
        <v>Regular</v>
      </c>
      <c r="H1" s="24" t="str">
        <f>E45</f>
        <v>OT</v>
      </c>
      <c r="I1" s="24" t="str">
        <f>I45</f>
        <v>DT</v>
      </c>
      <c r="J1" s="24" t="str">
        <f>M45</f>
        <v>GROSS</v>
      </c>
      <c r="K1" s="24" t="s">
        <v>26</v>
      </c>
      <c r="L1" s="24" t="s">
        <v>27</v>
      </c>
      <c r="M1" s="24" t="s">
        <v>28</v>
      </c>
      <c r="N1" s="24" t="s">
        <v>29</v>
      </c>
      <c r="O1" s="24" t="s">
        <v>30</v>
      </c>
      <c r="P1" s="25" t="str">
        <f>HYPERLINK("https://datamateapp.github.io/help.html", "Help")</f>
        <v>Help</v>
      </c>
    </row>
    <row r="2">
      <c r="A2" s="26">
        <f t="shared" si="2"/>
        <v>45747</v>
      </c>
      <c r="B2" s="18" t="str">
        <f t="shared" si="3"/>
        <v/>
      </c>
      <c r="C2" s="18" t="str">
        <f t="shared" si="4"/>
        <v>#N/A</v>
      </c>
      <c r="D2" s="18">
        <f>P43</f>
        <v>0</v>
      </c>
      <c r="E2" s="18">
        <f t="shared" ref="E2:F2" si="5">P42</f>
        <v>0</v>
      </c>
      <c r="F2" s="18">
        <f t="shared" si="5"/>
        <v>0</v>
      </c>
      <c r="G2" s="18" t="str">
        <f>B45</f>
        <v>#N/A</v>
      </c>
      <c r="H2" s="18" t="str">
        <f>F45</f>
        <v>#N/A</v>
      </c>
      <c r="I2" s="18" t="str">
        <f>J45</f>
        <v>#N/A</v>
      </c>
      <c r="J2" s="18" t="str">
        <f>O45</f>
        <v>#N/A</v>
      </c>
      <c r="K2" s="18"/>
      <c r="L2" s="18"/>
      <c r="M2" s="18"/>
      <c r="N2" s="18"/>
      <c r="O2" s="18"/>
    </row>
    <row r="3">
      <c r="A3" s="5" t="s">
        <v>12</v>
      </c>
      <c r="B3" s="5" t="s">
        <v>13</v>
      </c>
      <c r="H3" s="5" t="s">
        <v>14</v>
      </c>
      <c r="J3" s="6"/>
      <c r="K3" s="7"/>
      <c r="L3" s="7"/>
      <c r="M3" s="7"/>
      <c r="N3" s="7"/>
      <c r="O3" s="7"/>
      <c r="P3" s="7"/>
      <c r="Q3" s="8"/>
    </row>
    <row r="4">
      <c r="A4" s="9" t="str">
        <f>VLOOKUP(B4, Lists!A:B, 2, FALSE)</f>
        <v>#N/A</v>
      </c>
      <c r="B4" s="6"/>
      <c r="C4" s="7"/>
      <c r="D4" s="7"/>
      <c r="E4" s="7"/>
      <c r="F4" s="7"/>
      <c r="G4" s="8"/>
      <c r="J4" s="5" t="s">
        <v>15</v>
      </c>
      <c r="O4" s="6"/>
      <c r="P4" s="7"/>
      <c r="Q4" s="8"/>
    </row>
    <row r="5">
      <c r="A5" s="5" t="s">
        <v>16</v>
      </c>
      <c r="B5" s="5" t="s">
        <v>17</v>
      </c>
      <c r="J5" s="5" t="s">
        <v>18</v>
      </c>
    </row>
    <row r="6">
      <c r="A6" s="9" t="str">
        <f>VLOOKUP(B4, Lists!A:C, 3, FALSE)</f>
        <v>#N/A</v>
      </c>
      <c r="B6" s="6"/>
      <c r="C6" s="7"/>
      <c r="D6" s="7"/>
      <c r="E6" s="7"/>
      <c r="F6" s="7"/>
      <c r="G6" s="8"/>
      <c r="J6" s="10">
        <f>TODAY()</f>
        <v>45747</v>
      </c>
      <c r="K6" s="7"/>
      <c r="L6" s="7"/>
      <c r="M6" s="8"/>
    </row>
    <row r="7">
      <c r="A7" s="11" t="s">
        <v>19</v>
      </c>
      <c r="B7" s="10">
        <f>IF(J6="", "", J6+0)</f>
        <v>45747</v>
      </c>
      <c r="C7" s="8"/>
      <c r="D7" s="10">
        <f>IF(J6="", "", J6+1)</f>
        <v>45748</v>
      </c>
      <c r="E7" s="8"/>
      <c r="F7" s="10">
        <f>IF(J6="", "", J6+2)</f>
        <v>45749</v>
      </c>
      <c r="G7" s="8"/>
      <c r="H7" s="10">
        <f>IF(J6="", "", J6+3)</f>
        <v>45750</v>
      </c>
      <c r="I7" s="8"/>
      <c r="J7" s="10">
        <f>IF(J6="", "", J6+4)</f>
        <v>45751</v>
      </c>
      <c r="K7" s="8"/>
      <c r="L7" s="10">
        <f>IF(J6="", "", J6+5)</f>
        <v>45752</v>
      </c>
      <c r="M7" s="8"/>
      <c r="N7" s="10">
        <f>IF(J6="", "", J6+6)</f>
        <v>45753</v>
      </c>
      <c r="O7" s="8"/>
      <c r="P7" s="12" t="s">
        <v>20</v>
      </c>
      <c r="Q7" s="13"/>
    </row>
    <row r="8">
      <c r="A8" s="14"/>
      <c r="B8" s="6" t="str">
        <f>TEXT(B7, "ddd")</f>
        <v>Mon</v>
      </c>
      <c r="C8" s="8"/>
      <c r="D8" s="6" t="str">
        <f>TEXT(D7, "ddd")</f>
        <v>Tue</v>
      </c>
      <c r="E8" s="8"/>
      <c r="F8" s="6" t="str">
        <f>TEXT(F7, "ddd")</f>
        <v>Wed</v>
      </c>
      <c r="G8" s="8"/>
      <c r="H8" s="6" t="str">
        <f>TEXT(H7, "ddd")</f>
        <v>Thu</v>
      </c>
      <c r="I8" s="8"/>
      <c r="J8" s="6" t="str">
        <f>TEXT(J7, "ddd")</f>
        <v>Fri</v>
      </c>
      <c r="K8" s="8"/>
      <c r="L8" s="6" t="str">
        <f>TEXT(L7, "ddd")</f>
        <v>Sat</v>
      </c>
      <c r="M8" s="8"/>
      <c r="N8" s="6" t="str">
        <f>TEXT(N7, "ddd")</f>
        <v>Sun</v>
      </c>
      <c r="O8" s="8"/>
      <c r="P8" s="15"/>
      <c r="Q8" s="16"/>
    </row>
    <row r="9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>
        <f t="shared" ref="P9:Q9" si="6">SUM(B9+D9+F9+H9+J9+L9+N9)</f>
        <v>0</v>
      </c>
      <c r="Q9" s="18">
        <f t="shared" si="6"/>
        <v>0</v>
      </c>
    </row>
    <row r="10">
      <c r="A10" s="14"/>
      <c r="B10" s="6"/>
      <c r="C10" s="8"/>
      <c r="D10" s="6"/>
      <c r="E10" s="8"/>
      <c r="F10" s="6"/>
      <c r="G10" s="8"/>
      <c r="H10" s="6"/>
      <c r="I10" s="8"/>
      <c r="J10" s="6"/>
      <c r="K10" s="8"/>
      <c r="L10" s="6"/>
      <c r="M10" s="8"/>
      <c r="N10" s="6"/>
      <c r="O10" s="8"/>
      <c r="P10" s="6">
        <f t="shared" ref="P10:P40" si="7">SUM(B10+D10+F10+H10+J10+L10+N10)</f>
        <v>0</v>
      </c>
      <c r="Q10" s="8"/>
    </row>
    <row r="11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>
        <f t="shared" si="7"/>
        <v>0</v>
      </c>
      <c r="Q11" s="18">
        <f>SUM(C11+E11+G11+I11+K11+M11+O11)</f>
        <v>0</v>
      </c>
    </row>
    <row r="12">
      <c r="A12" s="14"/>
      <c r="B12" s="6"/>
      <c r="C12" s="8"/>
      <c r="D12" s="6"/>
      <c r="E12" s="8"/>
      <c r="F12" s="6"/>
      <c r="G12" s="8"/>
      <c r="H12" s="6"/>
      <c r="I12" s="8"/>
      <c r="J12" s="6"/>
      <c r="K12" s="8"/>
      <c r="L12" s="6"/>
      <c r="M12" s="8"/>
      <c r="N12" s="6"/>
      <c r="O12" s="8"/>
      <c r="P12" s="6">
        <f t="shared" si="7"/>
        <v>0</v>
      </c>
      <c r="Q12" s="8"/>
    </row>
    <row r="1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>
        <f t="shared" si="7"/>
        <v>0</v>
      </c>
      <c r="Q13" s="18">
        <f>SUM(C13+E13+G13+I13+K13+M13+O13)</f>
        <v>0</v>
      </c>
    </row>
    <row r="14">
      <c r="A14" s="14"/>
      <c r="B14" s="6"/>
      <c r="C14" s="8"/>
      <c r="D14" s="6"/>
      <c r="E14" s="8"/>
      <c r="F14" s="6"/>
      <c r="G14" s="8"/>
      <c r="H14" s="6"/>
      <c r="I14" s="8"/>
      <c r="J14" s="6"/>
      <c r="K14" s="8"/>
      <c r="L14" s="6"/>
      <c r="M14" s="8"/>
      <c r="N14" s="6"/>
      <c r="O14" s="8"/>
      <c r="P14" s="6">
        <f t="shared" si="7"/>
        <v>0</v>
      </c>
      <c r="Q14" s="8"/>
    </row>
    <row r="1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>
        <f t="shared" si="7"/>
        <v>0</v>
      </c>
      <c r="Q15" s="18">
        <f>SUM(C15+E15+G15+I15+K15+M15+O15)</f>
        <v>0</v>
      </c>
    </row>
    <row r="16">
      <c r="A16" s="14"/>
      <c r="B16" s="6"/>
      <c r="C16" s="8"/>
      <c r="D16" s="6"/>
      <c r="E16" s="8"/>
      <c r="F16" s="6"/>
      <c r="G16" s="8"/>
      <c r="H16" s="6"/>
      <c r="I16" s="8"/>
      <c r="J16" s="6"/>
      <c r="K16" s="8"/>
      <c r="L16" s="6"/>
      <c r="M16" s="8"/>
      <c r="N16" s="6"/>
      <c r="O16" s="8"/>
      <c r="P16" s="6">
        <f t="shared" si="7"/>
        <v>0</v>
      </c>
      <c r="Q16" s="8"/>
    </row>
    <row r="17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>
        <f t="shared" si="7"/>
        <v>0</v>
      </c>
      <c r="Q17" s="18">
        <f>SUM(C17+E17+G17+I17+K17+M17+O17)</f>
        <v>0</v>
      </c>
    </row>
    <row r="18">
      <c r="A18" s="14"/>
      <c r="B18" s="6"/>
      <c r="C18" s="8"/>
      <c r="D18" s="6"/>
      <c r="E18" s="8"/>
      <c r="F18" s="6"/>
      <c r="G18" s="8"/>
      <c r="H18" s="6"/>
      <c r="I18" s="8"/>
      <c r="J18" s="6"/>
      <c r="K18" s="8"/>
      <c r="L18" s="6"/>
      <c r="M18" s="8"/>
      <c r="N18" s="6"/>
      <c r="O18" s="8"/>
      <c r="P18" s="6">
        <f t="shared" si="7"/>
        <v>0</v>
      </c>
      <c r="Q18" s="8"/>
    </row>
    <row r="19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>
        <f t="shared" si="7"/>
        <v>0</v>
      </c>
      <c r="Q19" s="18">
        <f>SUM(C19+E19+G19+I19+K19+M19+O19)</f>
        <v>0</v>
      </c>
    </row>
    <row r="20">
      <c r="A20" s="14"/>
      <c r="B20" s="6"/>
      <c r="C20" s="8"/>
      <c r="D20" s="6"/>
      <c r="E20" s="8"/>
      <c r="F20" s="6"/>
      <c r="G20" s="8"/>
      <c r="H20" s="6"/>
      <c r="I20" s="8"/>
      <c r="J20" s="6"/>
      <c r="K20" s="8"/>
      <c r="L20" s="6"/>
      <c r="M20" s="8"/>
      <c r="N20" s="6"/>
      <c r="O20" s="8"/>
      <c r="P20" s="6">
        <f t="shared" si="7"/>
        <v>0</v>
      </c>
      <c r="Q20" s="8"/>
    </row>
    <row r="21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>
        <f t="shared" si="7"/>
        <v>0</v>
      </c>
      <c r="Q21" s="18">
        <f>SUM(C21+E21+G21+I21+K21+M21+O21)</f>
        <v>0</v>
      </c>
    </row>
    <row r="22">
      <c r="A22" s="14"/>
      <c r="B22" s="6"/>
      <c r="C22" s="8"/>
      <c r="D22" s="6"/>
      <c r="E22" s="8"/>
      <c r="F22" s="6"/>
      <c r="G22" s="8"/>
      <c r="H22" s="6"/>
      <c r="I22" s="8"/>
      <c r="J22" s="6"/>
      <c r="K22" s="8"/>
      <c r="L22" s="6"/>
      <c r="M22" s="8"/>
      <c r="N22" s="6"/>
      <c r="O22" s="8"/>
      <c r="P22" s="6">
        <f t="shared" si="7"/>
        <v>0</v>
      </c>
      <c r="Q22" s="8"/>
    </row>
    <row r="23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>
        <f t="shared" si="7"/>
        <v>0</v>
      </c>
      <c r="Q23" s="18">
        <f>SUM(C23+E23+G23+I23+K23+M23+O23)</f>
        <v>0</v>
      </c>
    </row>
    <row r="24">
      <c r="A24" s="14"/>
      <c r="B24" s="6"/>
      <c r="C24" s="8"/>
      <c r="D24" s="6"/>
      <c r="E24" s="8"/>
      <c r="F24" s="6"/>
      <c r="G24" s="8"/>
      <c r="H24" s="6"/>
      <c r="I24" s="8"/>
      <c r="J24" s="6"/>
      <c r="K24" s="8"/>
      <c r="L24" s="6"/>
      <c r="M24" s="8"/>
      <c r="N24" s="6"/>
      <c r="O24" s="8"/>
      <c r="P24" s="6">
        <f t="shared" si="7"/>
        <v>0</v>
      </c>
      <c r="Q24" s="8"/>
    </row>
    <row r="2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>
        <f t="shared" si="7"/>
        <v>0</v>
      </c>
      <c r="Q25" s="18">
        <f>SUM(C25+E25+G25+I25+K25+M25+O25)</f>
        <v>0</v>
      </c>
    </row>
    <row r="26">
      <c r="A26" s="14"/>
      <c r="B26" s="6"/>
      <c r="C26" s="8"/>
      <c r="D26" s="6"/>
      <c r="E26" s="8"/>
      <c r="F26" s="6"/>
      <c r="G26" s="8"/>
      <c r="H26" s="6"/>
      <c r="I26" s="8"/>
      <c r="J26" s="6"/>
      <c r="K26" s="8"/>
      <c r="L26" s="6"/>
      <c r="M26" s="8"/>
      <c r="N26" s="6"/>
      <c r="O26" s="8"/>
      <c r="P26" s="6">
        <f t="shared" si="7"/>
        <v>0</v>
      </c>
      <c r="Q26" s="8"/>
    </row>
    <row r="27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>
        <f t="shared" si="7"/>
        <v>0</v>
      </c>
      <c r="Q27" s="18">
        <f>SUM(C27+E27+G27+I27+K27+M27+O27)</f>
        <v>0</v>
      </c>
    </row>
    <row r="28">
      <c r="A28" s="14"/>
      <c r="B28" s="6"/>
      <c r="C28" s="8"/>
      <c r="D28" s="6"/>
      <c r="E28" s="8"/>
      <c r="F28" s="6"/>
      <c r="G28" s="8"/>
      <c r="H28" s="6"/>
      <c r="I28" s="8"/>
      <c r="J28" s="6"/>
      <c r="K28" s="8"/>
      <c r="L28" s="6"/>
      <c r="M28" s="8"/>
      <c r="N28" s="6"/>
      <c r="O28" s="8"/>
      <c r="P28" s="6">
        <f t="shared" si="7"/>
        <v>0</v>
      </c>
      <c r="Q28" s="8"/>
    </row>
    <row r="29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>
        <f t="shared" si="7"/>
        <v>0</v>
      </c>
      <c r="Q29" s="18">
        <f>SUM(C29+E29+G29+I29+K29+M29+O29)</f>
        <v>0</v>
      </c>
    </row>
    <row r="30">
      <c r="A30" s="14"/>
      <c r="B30" s="6"/>
      <c r="C30" s="8"/>
      <c r="D30" s="6"/>
      <c r="E30" s="8"/>
      <c r="F30" s="6"/>
      <c r="G30" s="8"/>
      <c r="H30" s="6"/>
      <c r="I30" s="8"/>
      <c r="J30" s="6"/>
      <c r="K30" s="8"/>
      <c r="L30" s="6"/>
      <c r="M30" s="8"/>
      <c r="N30" s="6"/>
      <c r="O30" s="8"/>
      <c r="P30" s="6">
        <f t="shared" si="7"/>
        <v>0</v>
      </c>
      <c r="Q30" s="8"/>
    </row>
    <row r="31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>
        <f t="shared" si="7"/>
        <v>0</v>
      </c>
      <c r="Q31" s="18">
        <f>SUM(C31+E31+G31+I31+K31+M31+O31)</f>
        <v>0</v>
      </c>
    </row>
    <row r="32">
      <c r="A32" s="14"/>
      <c r="B32" s="6"/>
      <c r="C32" s="8"/>
      <c r="D32" s="6"/>
      <c r="E32" s="8"/>
      <c r="F32" s="6"/>
      <c r="G32" s="8"/>
      <c r="H32" s="6"/>
      <c r="I32" s="8"/>
      <c r="J32" s="6"/>
      <c r="K32" s="8"/>
      <c r="L32" s="6"/>
      <c r="M32" s="8"/>
      <c r="N32" s="6"/>
      <c r="O32" s="8"/>
      <c r="P32" s="6">
        <f t="shared" si="7"/>
        <v>0</v>
      </c>
      <c r="Q32" s="8"/>
    </row>
    <row r="33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>
        <f t="shared" si="7"/>
        <v>0</v>
      </c>
      <c r="Q33" s="18">
        <f>SUM(C33+E33+G33+I33+K33+M33+O33)</f>
        <v>0</v>
      </c>
    </row>
    <row r="34">
      <c r="A34" s="14"/>
      <c r="B34" s="6"/>
      <c r="C34" s="8"/>
      <c r="D34" s="6"/>
      <c r="E34" s="8"/>
      <c r="F34" s="6"/>
      <c r="G34" s="8"/>
      <c r="H34" s="6"/>
      <c r="I34" s="8"/>
      <c r="J34" s="6"/>
      <c r="K34" s="8"/>
      <c r="L34" s="6"/>
      <c r="M34" s="8"/>
      <c r="N34" s="6"/>
      <c r="O34" s="8"/>
      <c r="P34" s="6">
        <f t="shared" si="7"/>
        <v>0</v>
      </c>
      <c r="Q34" s="8"/>
    </row>
    <row r="3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>
        <f t="shared" si="7"/>
        <v>0</v>
      </c>
      <c r="Q35" s="18">
        <f>SUM(C35+E35+G35+I35+K35+M35+O35)</f>
        <v>0</v>
      </c>
    </row>
    <row r="36">
      <c r="A36" s="14"/>
      <c r="B36" s="6"/>
      <c r="C36" s="8"/>
      <c r="D36" s="6"/>
      <c r="E36" s="8"/>
      <c r="F36" s="6"/>
      <c r="G36" s="8"/>
      <c r="H36" s="6"/>
      <c r="I36" s="8"/>
      <c r="J36" s="6"/>
      <c r="K36" s="8"/>
      <c r="L36" s="6"/>
      <c r="M36" s="8"/>
      <c r="N36" s="6"/>
      <c r="O36" s="8"/>
      <c r="P36" s="6">
        <f t="shared" si="7"/>
        <v>0</v>
      </c>
      <c r="Q36" s="8"/>
    </row>
    <row r="37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>
        <f t="shared" si="7"/>
        <v>0</v>
      </c>
      <c r="Q37" s="18">
        <f>SUM(C37+E37+G37+I37+K37+M37+O37)</f>
        <v>0</v>
      </c>
    </row>
    <row r="38">
      <c r="A38" s="14"/>
      <c r="B38" s="6"/>
      <c r="C38" s="8"/>
      <c r="D38" s="6"/>
      <c r="E38" s="8"/>
      <c r="F38" s="6"/>
      <c r="G38" s="8"/>
      <c r="H38" s="6"/>
      <c r="I38" s="8"/>
      <c r="J38" s="6"/>
      <c r="K38" s="8"/>
      <c r="L38" s="6"/>
      <c r="M38" s="8"/>
      <c r="N38" s="6"/>
      <c r="O38" s="8"/>
      <c r="P38" s="6">
        <f t="shared" si="7"/>
        <v>0</v>
      </c>
      <c r="Q38" s="8"/>
    </row>
    <row r="39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>
        <f t="shared" si="7"/>
        <v>0</v>
      </c>
      <c r="Q39" s="18">
        <f>SUM(C39+E39+G39+I39+K39+M39+O39)</f>
        <v>0</v>
      </c>
    </row>
    <row r="40">
      <c r="A40" s="14"/>
      <c r="B40" s="6"/>
      <c r="C40" s="8"/>
      <c r="D40" s="6"/>
      <c r="E40" s="8"/>
      <c r="F40" s="6"/>
      <c r="G40" s="8"/>
      <c r="H40" s="6"/>
      <c r="I40" s="8"/>
      <c r="J40" s="6"/>
      <c r="K40" s="8"/>
      <c r="L40" s="6"/>
      <c r="M40" s="8"/>
      <c r="N40" s="6"/>
      <c r="O40" s="8"/>
      <c r="P40" s="6">
        <f t="shared" si="7"/>
        <v>0</v>
      </c>
      <c r="Q40" s="8"/>
    </row>
    <row r="41">
      <c r="A41" s="19" t="s">
        <v>21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20" t="s">
        <v>22</v>
      </c>
      <c r="Q41" s="20" t="s">
        <v>23</v>
      </c>
    </row>
    <row r="42">
      <c r="A42" s="21"/>
      <c r="B42" s="22"/>
      <c r="C42" s="13"/>
      <c r="D42" s="22"/>
      <c r="E42" s="13"/>
      <c r="F42" s="22"/>
      <c r="G42" s="13"/>
      <c r="H42" s="22"/>
      <c r="I42" s="13"/>
      <c r="J42" s="22"/>
      <c r="K42" s="13"/>
      <c r="L42" s="22"/>
      <c r="M42" s="13"/>
      <c r="N42" s="22"/>
      <c r="O42" s="13"/>
      <c r="P42" s="18">
        <f t="shared" ref="P42:Q42" si="8">SUM(P9+P11+P13+P15+P17+P19+P21+P23+P25+P27+P29+P31+P33+P35+P37+P39)</f>
        <v>0</v>
      </c>
      <c r="Q42" s="18">
        <f t="shared" si="8"/>
        <v>0</v>
      </c>
    </row>
    <row r="43">
      <c r="A43" s="14"/>
      <c r="B43" s="15"/>
      <c r="C43" s="16"/>
      <c r="D43" s="15"/>
      <c r="E43" s="16"/>
      <c r="F43" s="15"/>
      <c r="G43" s="16"/>
      <c r="H43" s="15"/>
      <c r="I43" s="16"/>
      <c r="J43" s="15"/>
      <c r="K43" s="16"/>
      <c r="L43" s="15"/>
      <c r="M43" s="16"/>
      <c r="N43" s="15"/>
      <c r="O43" s="16"/>
      <c r="P43" s="6">
        <f>SUM(P10+P12+P14+P16+P18+P20+P22+P24+P26+P28+P30+P32+P34+P36+P38+P40)</f>
        <v>0</v>
      </c>
      <c r="Q43" s="8"/>
    </row>
    <row r="45">
      <c r="A45" s="23" t="s">
        <v>24</v>
      </c>
      <c r="B45" s="9" t="str">
        <f>SUM(P43*A6)</f>
        <v>#N/A</v>
      </c>
      <c r="E45" s="5" t="s">
        <v>22</v>
      </c>
      <c r="F45" s="9" t="str">
        <f>SUM(P42*A6*1.5)</f>
        <v>#N/A</v>
      </c>
      <c r="I45" s="5" t="s">
        <v>23</v>
      </c>
      <c r="J45" s="9" t="str">
        <f>SUM(Q42*A6*2)</f>
        <v>#N/A</v>
      </c>
      <c r="M45" s="5" t="s">
        <v>25</v>
      </c>
      <c r="O45" s="9" t="str">
        <f>SUM(B45+F45+J45)</f>
        <v>#N/A</v>
      </c>
    </row>
  </sheetData>
  <mergeCells count="185">
    <mergeCell ref="A33:A34"/>
    <mergeCell ref="A25:A26"/>
    <mergeCell ref="A27:A28"/>
    <mergeCell ref="A31:A32"/>
    <mergeCell ref="B26:C26"/>
    <mergeCell ref="D26:E26"/>
    <mergeCell ref="F26:G26"/>
    <mergeCell ref="H26:I26"/>
    <mergeCell ref="J26:K26"/>
    <mergeCell ref="L26:M26"/>
    <mergeCell ref="N28:O28"/>
    <mergeCell ref="P28:Q28"/>
    <mergeCell ref="N32:O32"/>
    <mergeCell ref="P32:Q32"/>
    <mergeCell ref="B28:C28"/>
    <mergeCell ref="D28:E28"/>
    <mergeCell ref="B32:C32"/>
    <mergeCell ref="D32:E32"/>
    <mergeCell ref="F32:G32"/>
    <mergeCell ref="H32:I32"/>
    <mergeCell ref="J32:K32"/>
    <mergeCell ref="L32:M32"/>
    <mergeCell ref="F28:G28"/>
    <mergeCell ref="H28:I28"/>
    <mergeCell ref="J30:K30"/>
    <mergeCell ref="L30:M30"/>
    <mergeCell ref="J28:K28"/>
    <mergeCell ref="L28:M28"/>
    <mergeCell ref="N30:O30"/>
    <mergeCell ref="P30:Q30"/>
    <mergeCell ref="D30:E30"/>
    <mergeCell ref="F30:G30"/>
    <mergeCell ref="H30:I30"/>
    <mergeCell ref="A37:A38"/>
    <mergeCell ref="B38:C38"/>
    <mergeCell ref="D38:E38"/>
    <mergeCell ref="F38:G38"/>
    <mergeCell ref="H38:I38"/>
    <mergeCell ref="A39:A40"/>
    <mergeCell ref="B40:C40"/>
    <mergeCell ref="H40:I40"/>
    <mergeCell ref="N42:O43"/>
    <mergeCell ref="P43:Q43"/>
    <mergeCell ref="J42:K43"/>
    <mergeCell ref="L42:M43"/>
    <mergeCell ref="B45:D45"/>
    <mergeCell ref="F45:H45"/>
    <mergeCell ref="J45:L45"/>
    <mergeCell ref="M45:N45"/>
    <mergeCell ref="O45:Q45"/>
    <mergeCell ref="D40:E40"/>
    <mergeCell ref="F40:G40"/>
    <mergeCell ref="A41:A43"/>
    <mergeCell ref="B42:C43"/>
    <mergeCell ref="D42:E43"/>
    <mergeCell ref="F42:G43"/>
    <mergeCell ref="H42:I43"/>
    <mergeCell ref="A13:A14"/>
    <mergeCell ref="A19:A20"/>
    <mergeCell ref="A23:A24"/>
    <mergeCell ref="B24:C24"/>
    <mergeCell ref="A29:A30"/>
    <mergeCell ref="B30:C30"/>
    <mergeCell ref="L8:M8"/>
    <mergeCell ref="N8:O8"/>
    <mergeCell ref="P14:Q14"/>
    <mergeCell ref="L10:M10"/>
    <mergeCell ref="N10:O10"/>
    <mergeCell ref="P10:Q10"/>
    <mergeCell ref="P12:Q12"/>
    <mergeCell ref="F34:G34"/>
    <mergeCell ref="H34:I34"/>
    <mergeCell ref="A35:A36"/>
    <mergeCell ref="B36:C36"/>
    <mergeCell ref="D36:E36"/>
    <mergeCell ref="F36:G36"/>
    <mergeCell ref="H36:I36"/>
    <mergeCell ref="J5:M5"/>
    <mergeCell ref="J4:M4"/>
    <mergeCell ref="J7:K7"/>
    <mergeCell ref="J8:K8"/>
    <mergeCell ref="J10:K10"/>
    <mergeCell ref="P1:Q2"/>
    <mergeCell ref="J6:M6"/>
    <mergeCell ref="L7:M7"/>
    <mergeCell ref="N7:O7"/>
    <mergeCell ref="P7:Q8"/>
    <mergeCell ref="J3:Q3"/>
    <mergeCell ref="O4:Q4"/>
    <mergeCell ref="B7:C7"/>
    <mergeCell ref="D7:E7"/>
    <mergeCell ref="A9:A10"/>
    <mergeCell ref="B10:C10"/>
    <mergeCell ref="D10:E10"/>
    <mergeCell ref="F7:G7"/>
    <mergeCell ref="H7:I7"/>
    <mergeCell ref="F8:G8"/>
    <mergeCell ref="H8:I8"/>
    <mergeCell ref="F10:G10"/>
    <mergeCell ref="H10:I10"/>
    <mergeCell ref="B3:G3"/>
    <mergeCell ref="B4:G4"/>
    <mergeCell ref="H3:I3"/>
    <mergeCell ref="B5:G5"/>
    <mergeCell ref="D8:E8"/>
    <mergeCell ref="B6:G6"/>
    <mergeCell ref="B8:C8"/>
    <mergeCell ref="A7:A8"/>
    <mergeCell ref="J34:K34"/>
    <mergeCell ref="L34:M34"/>
    <mergeCell ref="N36:O36"/>
    <mergeCell ref="P36:Q36"/>
    <mergeCell ref="J36:K36"/>
    <mergeCell ref="L36:M36"/>
    <mergeCell ref="P38:Q38"/>
    <mergeCell ref="N38:O38"/>
    <mergeCell ref="J38:K38"/>
    <mergeCell ref="L38:M38"/>
    <mergeCell ref="N40:O40"/>
    <mergeCell ref="P40:Q40"/>
    <mergeCell ref="J40:K40"/>
    <mergeCell ref="L40:M40"/>
    <mergeCell ref="J14:K14"/>
    <mergeCell ref="J16:K16"/>
    <mergeCell ref="L16:M16"/>
    <mergeCell ref="N16:O16"/>
    <mergeCell ref="L14:M14"/>
    <mergeCell ref="B14:C14"/>
    <mergeCell ref="D14:E14"/>
    <mergeCell ref="A15:A16"/>
    <mergeCell ref="B16:C16"/>
    <mergeCell ref="D16:E16"/>
    <mergeCell ref="F16:G16"/>
    <mergeCell ref="N14:O14"/>
    <mergeCell ref="N18:O18"/>
    <mergeCell ref="A17:A18"/>
    <mergeCell ref="B18:C18"/>
    <mergeCell ref="L12:M12"/>
    <mergeCell ref="N12:O12"/>
    <mergeCell ref="A11:A12"/>
    <mergeCell ref="B12:C12"/>
    <mergeCell ref="D12:E12"/>
    <mergeCell ref="F12:G12"/>
    <mergeCell ref="H12:I12"/>
    <mergeCell ref="J12:K12"/>
    <mergeCell ref="F14:G14"/>
    <mergeCell ref="H14:I14"/>
    <mergeCell ref="D18:E18"/>
    <mergeCell ref="F18:G18"/>
    <mergeCell ref="H18:I18"/>
    <mergeCell ref="J18:K18"/>
    <mergeCell ref="L18:M18"/>
    <mergeCell ref="B20:C20"/>
    <mergeCell ref="D20:E20"/>
    <mergeCell ref="F20:G20"/>
    <mergeCell ref="H20:I20"/>
    <mergeCell ref="J20:K20"/>
    <mergeCell ref="L20:M20"/>
    <mergeCell ref="N22:O22"/>
    <mergeCell ref="P22:Q22"/>
    <mergeCell ref="A21:A22"/>
    <mergeCell ref="B22:C22"/>
    <mergeCell ref="D22:E22"/>
    <mergeCell ref="F22:G22"/>
    <mergeCell ref="H22:I22"/>
    <mergeCell ref="J22:K22"/>
    <mergeCell ref="N24:O24"/>
    <mergeCell ref="N26:O26"/>
    <mergeCell ref="L22:M22"/>
    <mergeCell ref="P24:Q24"/>
    <mergeCell ref="D24:E24"/>
    <mergeCell ref="F24:G24"/>
    <mergeCell ref="H24:I24"/>
    <mergeCell ref="J24:K24"/>
    <mergeCell ref="L24:M24"/>
    <mergeCell ref="P18:Q18"/>
    <mergeCell ref="N20:O20"/>
    <mergeCell ref="P20:Q20"/>
    <mergeCell ref="N34:O34"/>
    <mergeCell ref="P34:Q34"/>
    <mergeCell ref="B34:C34"/>
    <mergeCell ref="D34:E34"/>
    <mergeCell ref="P16:Q16"/>
    <mergeCell ref="H16:I16"/>
    <mergeCell ref="P26:Q26"/>
  </mergeCells>
  <dataValidations>
    <dataValidation type="list" allowBlank="1" showErrorMessage="1" sqref="B4">
      <formula1>Lists!$A$1:$A$20002</formula1>
    </dataValidation>
    <dataValidation type="list" allowBlank="1" showErrorMessage="1" sqref="B6">
      <formula1>Lists!$E$1:$E$20002</formula1>
    </dataValidation>
    <dataValidation type="list" allowBlank="1" showErrorMessage="1" sqref="A9 A11 A13 A15 A17 A19 A21 A23 A25 A27 A29 A31 A33 A35 A37 A39">
      <formula1>Lists!$F$1:$F$20002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7.63"/>
    <col customWidth="1" min="2" max="17" width="3.88"/>
  </cols>
  <sheetData>
    <row r="1">
      <c r="A1" s="27" t="str">
        <f>View_Print!B2</f>
        <v/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 t="str">
        <f>Input!M1</f>
        <v>Update 1</v>
      </c>
      <c r="N1" s="27" t="str">
        <f>Input!N1</f>
        <v>Update 2</v>
      </c>
      <c r="O1" s="27" t="str">
        <f>Input!O1</f>
        <v>Update 3</v>
      </c>
      <c r="P1" s="27"/>
      <c r="Q1" s="27"/>
    </row>
    <row r="2">
      <c r="A2" s="27"/>
      <c r="B2" s="28"/>
      <c r="M2" s="29" t="str">
        <f>VLOOKUP(A1,Update!$A$1:$P$10000,2,FALSE)</f>
        <v>#N/A</v>
      </c>
      <c r="N2" s="29" t="str">
        <f>VLOOKUP(A1,Update!$A$1:$P$10000,3,FALSE)</f>
        <v>#N/A</v>
      </c>
      <c r="O2" s="29" t="str">
        <f>VLOOKUP(A1,Update!$A$1:$P$10000,4,FALSE)</f>
        <v>#N/A</v>
      </c>
      <c r="P2" s="27"/>
      <c r="Q2" s="27"/>
    </row>
    <row r="3">
      <c r="A3" s="5" t="str">
        <f>VLOOKUP(A1,Data!$A$1:$DZU$10000,36,FALSE)</f>
        <v>#N/A</v>
      </c>
      <c r="B3" s="5" t="str">
        <f>VLOOKUP(A1,Data!$A$1:$DZU$10000,37,FALSE)</f>
        <v>#N/A</v>
      </c>
      <c r="H3" s="5" t="str">
        <f>VLOOKUP(A1,Data!$A$1:$DZU$10000,43,FALSE)</f>
        <v>#N/A</v>
      </c>
      <c r="J3" s="6" t="str">
        <f>VLOOKUP(A1,Data!$A$1:$DZU$10000,45,FALSE)</f>
        <v>#N/A</v>
      </c>
      <c r="K3" s="7"/>
      <c r="L3" s="7"/>
      <c r="M3" s="7"/>
      <c r="N3" s="7"/>
      <c r="O3" s="7"/>
      <c r="P3" s="7"/>
      <c r="Q3" s="8"/>
    </row>
    <row r="4">
      <c r="A4" s="9" t="str">
        <f>VLOOKUP(A1,Data!$A$1:$DZU$10000,53,FALSE)</f>
        <v>#N/A</v>
      </c>
      <c r="B4" s="6" t="str">
        <f>VLOOKUP(A1,Data!$A$1:$DZU$10000,54,FALSE)</f>
        <v>#N/A</v>
      </c>
      <c r="C4" s="7"/>
      <c r="D4" s="7"/>
      <c r="E4" s="7"/>
      <c r="F4" s="7"/>
      <c r="G4" s="8"/>
      <c r="H4" s="29" t="str">
        <f>VLOOKUP(A1,Data!$A$1:$DZU$10000,60,FALSE)</f>
        <v>#N/A</v>
      </c>
      <c r="I4" s="29" t="str">
        <f>VLOOKUP(A1,Data!$A$1:$DZU$10000,61,FALSE)</f>
        <v>#N/A</v>
      </c>
      <c r="J4" s="5" t="str">
        <f>VLOOKUP(A1,Data!$A$1:$DZU$10000,62,FALSE)</f>
        <v>#N/A</v>
      </c>
      <c r="N4" s="29" t="str">
        <f>VLOOKUP(A1,Data!$A$1:$DZU$10000,66,FALSE)</f>
        <v>#N/A</v>
      </c>
      <c r="O4" s="6" t="str">
        <f>VLOOKUP(A1,Data!$A$1:$DZU$10000,67,FALSE)</f>
        <v>#N/A</v>
      </c>
      <c r="P4" s="7"/>
      <c r="Q4" s="8"/>
    </row>
    <row r="5">
      <c r="A5" s="5" t="str">
        <f>VLOOKUP(A1,Data!$A$1:$DZU$10000,70,FALSE)</f>
        <v>#N/A</v>
      </c>
      <c r="B5" s="5" t="str">
        <f>VLOOKUP(A1,Data!$A$1:$DZU$10000,71,FALSE)</f>
        <v>#N/A</v>
      </c>
      <c r="H5" s="29" t="str">
        <f>VLOOKUP(A1,Data!$A$1:$DZU$10000,77,FALSE)</f>
        <v>#N/A</v>
      </c>
      <c r="I5" s="29" t="str">
        <f>VLOOKUP(A1,Data!$A$1:$DZU$10000,78,FALSE)</f>
        <v>#N/A</v>
      </c>
      <c r="J5" s="5" t="str">
        <f>VLOOKUP(A1,Data!$A$1:$DZU$10000,79,FALSE)</f>
        <v>#N/A</v>
      </c>
      <c r="N5" s="29" t="str">
        <f>VLOOKUP(A1,Data!$A$1:$DZU$10000,83,FALSE)</f>
        <v>#N/A</v>
      </c>
      <c r="O5" s="29" t="str">
        <f>VLOOKUP(A1,Data!$A$1:$DZU$10000,84,FALSE)</f>
        <v>#N/A</v>
      </c>
      <c r="P5" s="29" t="str">
        <f>VLOOKUP(A1,Data!$A$1:$DZU$10000,85,FALSE)</f>
        <v>#N/A</v>
      </c>
      <c r="Q5" s="29" t="str">
        <f>VLOOKUP(A1,Data!$A$1:$DZU$10000,86,FALSE)</f>
        <v>#N/A</v>
      </c>
    </row>
    <row r="6">
      <c r="A6" s="9" t="str">
        <f>VLOOKUP(A1,Data!$A$1:$DZU$10000,87,FALSE)</f>
        <v>#N/A</v>
      </c>
      <c r="B6" s="6" t="str">
        <f>VLOOKUP(A1,Data!$A$1:$DZU$10000,88,FALSE)</f>
        <v>#N/A</v>
      </c>
      <c r="C6" s="7"/>
      <c r="D6" s="7"/>
      <c r="E6" s="7"/>
      <c r="F6" s="7"/>
      <c r="G6" s="8"/>
      <c r="H6" s="29" t="str">
        <f>VLOOKUP(A1,Data!$A$1:$DZU$10000,94,FALSE)</f>
        <v>#N/A</v>
      </c>
      <c r="I6" s="29" t="str">
        <f>VLOOKUP(A1,Data!$A$1:$DZU$10000,95,FALSE)</f>
        <v>#N/A</v>
      </c>
      <c r="J6" s="6" t="str">
        <f>VLOOKUP(A1,Data!$A$1:$DZU$10000,96,FALSE)</f>
        <v>#N/A</v>
      </c>
      <c r="K6" s="7"/>
      <c r="L6" s="7"/>
      <c r="M6" s="8"/>
      <c r="N6" s="29" t="str">
        <f>VLOOKUP(A1,Data!$A$1:$DZU$10000,100,FALSE)</f>
        <v>#N/A</v>
      </c>
      <c r="O6" s="29" t="str">
        <f>VLOOKUP(A1,Data!$A$1:$DZU$10000,101,FALSE)</f>
        <v>#N/A</v>
      </c>
      <c r="P6" s="29" t="str">
        <f>VLOOKUP(A1,Data!$A$1:$DZU$10000,102,FALSE)</f>
        <v>#N/A</v>
      </c>
      <c r="Q6" s="29" t="str">
        <f>VLOOKUP(A1,Data!$A$1:$DZU$10000,103,FALSE)</f>
        <v>#N/A</v>
      </c>
    </row>
    <row r="7">
      <c r="A7" s="11" t="str">
        <f>VLOOKUP(A1,Data!$A$1:$DZU$10000,104,FALSE)</f>
        <v>#N/A</v>
      </c>
      <c r="B7" s="6" t="str">
        <f>VLOOKUP(A1,Data!$A$1:$DZU$10000,105,FALSE)</f>
        <v>#N/A</v>
      </c>
      <c r="C7" s="8"/>
      <c r="D7" s="6" t="str">
        <f>VLOOKUP(A1,Data!$A$1:$DZU$10000,107,FALSE)</f>
        <v>#N/A</v>
      </c>
      <c r="E7" s="8"/>
      <c r="F7" s="6" t="str">
        <f>VLOOKUP(A1,Data!$A$1:$DZU$10000,109,FALSE)</f>
        <v>#N/A</v>
      </c>
      <c r="G7" s="8"/>
      <c r="H7" s="6" t="str">
        <f>VLOOKUP(A1,Data!$A$1:$DZU$10000,111,FALSE)</f>
        <v>#N/A</v>
      </c>
      <c r="I7" s="8"/>
      <c r="J7" s="6" t="str">
        <f>VLOOKUP(A1,Data!$A$1:$DZU$10000,113,FALSE)</f>
        <v>#N/A</v>
      </c>
      <c r="K7" s="8"/>
      <c r="L7" s="6" t="str">
        <f>VLOOKUP(A1,Data!$A$1:$DZU$10000,115,FALSE)</f>
        <v>#N/A</v>
      </c>
      <c r="M7" s="8"/>
      <c r="N7" s="6" t="str">
        <f>VLOOKUP(A1,Data!$A$1:$DZU$10000,117,FALSE)</f>
        <v>#N/A</v>
      </c>
      <c r="O7" s="8"/>
      <c r="P7" s="12" t="str">
        <f>VLOOKUP(A1,Data!$A$1:$DZU$10000,119,FALSE)</f>
        <v>#N/A</v>
      </c>
      <c r="Q7" s="13"/>
    </row>
    <row r="8">
      <c r="A8" s="14"/>
      <c r="B8" s="6" t="str">
        <f>VLOOKUP(A1,Data!$A$1:$DZU$10000,122,FALSE)</f>
        <v>#N/A</v>
      </c>
      <c r="C8" s="8"/>
      <c r="D8" s="6" t="str">
        <f>VLOOKUP(A1,Data!$A$1:$DZU$10000,124,FALSE)</f>
        <v>#N/A</v>
      </c>
      <c r="E8" s="8"/>
      <c r="F8" s="6" t="str">
        <f>VLOOKUP(A1,Data!$A$1:$DZU$10000,126,FALSE)</f>
        <v>#N/A</v>
      </c>
      <c r="G8" s="8"/>
      <c r="H8" s="6" t="str">
        <f>VLOOKUP(A1,Data!$A$1:$DZU$10000,128,FALSE)</f>
        <v>#N/A</v>
      </c>
      <c r="I8" s="8"/>
      <c r="J8" s="6" t="str">
        <f>VLOOKUP(A1,Data!$A$1:$DZU$10000,130,FALSE)</f>
        <v>#N/A</v>
      </c>
      <c r="K8" s="8"/>
      <c r="L8" s="6" t="str">
        <f>VLOOKUP(A1,Data!$A$1:$DZU$10000,132,FALSE)</f>
        <v>#N/A</v>
      </c>
      <c r="M8" s="8"/>
      <c r="N8" s="6" t="str">
        <f>VLOOKUP(A1,Data!$A$1:$DZU$10000,134,FALSE)</f>
        <v>#N/A</v>
      </c>
      <c r="O8" s="8"/>
      <c r="P8" s="15"/>
      <c r="Q8" s="16"/>
    </row>
    <row r="9">
      <c r="A9" s="17" t="str">
        <f>VLOOKUP(A1,Data!$A$1:$DZU$10000,138,FALSE)</f>
        <v>#N/A</v>
      </c>
      <c r="B9" s="18" t="str">
        <f>VLOOKUP(A1,Data!$A$1:$DZU$10000,139,FALSE)</f>
        <v>#N/A</v>
      </c>
      <c r="C9" s="18" t="str">
        <f>VLOOKUP(A1,Data!$A$1:$DZU$10000,140,FALSE)</f>
        <v>#N/A</v>
      </c>
      <c r="D9" s="18" t="str">
        <f>VLOOKUP(A1,Data!$A$1:$DZU$10000,141,FALSE)</f>
        <v>#N/A</v>
      </c>
      <c r="E9" s="18" t="str">
        <f>VLOOKUP(A1,Data!$A$1:$DZU$10000,142,FALSE)</f>
        <v>#N/A</v>
      </c>
      <c r="F9" s="18" t="str">
        <f>VLOOKUP(A1,Data!$A$1:$DZU$10000,143,FALSE)</f>
        <v>#N/A</v>
      </c>
      <c r="G9" s="18" t="str">
        <f>VLOOKUP(A1,Data!$A$1:$DZU$10000,144,FALSE)</f>
        <v>#N/A</v>
      </c>
      <c r="H9" s="18" t="str">
        <f>VLOOKUP(A1,Data!$A$1:$DZU$10000,145,FALSE)</f>
        <v>#N/A</v>
      </c>
      <c r="I9" s="18" t="str">
        <f>VLOOKUP(A1,Data!$A$1:$DZU$10000,146,FALSE)</f>
        <v>#N/A</v>
      </c>
      <c r="J9" s="18" t="str">
        <f>VLOOKUP(A1,Data!$A$1:$DZU$10000,147,FALSE)</f>
        <v>#N/A</v>
      </c>
      <c r="K9" s="18" t="str">
        <f>VLOOKUP(A1,Data!$A$1:$DZU$10000,148,FALSE)</f>
        <v>#N/A</v>
      </c>
      <c r="L9" s="18" t="str">
        <f>VLOOKUP(A1,Data!$A$1:$DZU$10000,149,FALSE)</f>
        <v>#N/A</v>
      </c>
      <c r="M9" s="18" t="str">
        <f>VLOOKUP(A1,Data!$A$1:$DZU$10000,150,FALSE)</f>
        <v>#N/A</v>
      </c>
      <c r="N9" s="18" t="str">
        <f>VLOOKUP(A1,Data!$A$1:$DZU$10000,151,FALSE)</f>
        <v>#N/A</v>
      </c>
      <c r="O9" s="18" t="str">
        <f>VLOOKUP(A1,Data!$A$1:$DZU$10000,152,FALSE)</f>
        <v>#N/A</v>
      </c>
      <c r="P9" s="18" t="str">
        <f>VLOOKUP(A1,Data!$A$1:$DZU$10000,153,FALSE)</f>
        <v>#N/A</v>
      </c>
      <c r="Q9" s="18" t="str">
        <f>VLOOKUP(A1,Data!$A$1:$DZU$10000,154,FALSE)</f>
        <v>#N/A</v>
      </c>
    </row>
    <row r="10">
      <c r="A10" s="14"/>
      <c r="B10" s="6" t="str">
        <f>VLOOKUP(A1,Data!$A$1:$DZU$10000,156,FALSE)</f>
        <v>#N/A</v>
      </c>
      <c r="C10" s="8"/>
      <c r="D10" s="6" t="str">
        <f>VLOOKUP(A1,Data!$A$1:$DZU$10000,158,FALSE)</f>
        <v>#N/A</v>
      </c>
      <c r="E10" s="8"/>
      <c r="F10" s="6" t="str">
        <f>VLOOKUP(A1,Data!$A$1:$DZU$10000,160,FALSE)</f>
        <v>#N/A</v>
      </c>
      <c r="G10" s="8"/>
      <c r="H10" s="6" t="str">
        <f>VLOOKUP(A1,Data!$A$1:$DZU$10000,162,FALSE)</f>
        <v>#N/A</v>
      </c>
      <c r="I10" s="8"/>
      <c r="J10" s="6" t="str">
        <f>VLOOKUP(A1,Data!$A$1:$DZU$10000,164,FALSE)</f>
        <v>#N/A</v>
      </c>
      <c r="K10" s="8"/>
      <c r="L10" s="6" t="str">
        <f>VLOOKUP(A1,Data!$A$1:$DZU$10000,166,FALSE)</f>
        <v>#N/A</v>
      </c>
      <c r="M10" s="8"/>
      <c r="N10" s="6" t="str">
        <f>VLOOKUP(A1,Data!$A$1:$DZU$10000,168,FALSE)</f>
        <v>#N/A</v>
      </c>
      <c r="O10" s="8"/>
      <c r="P10" s="6" t="str">
        <f>VLOOKUP(A1,Data!$A$1:$DZU$10000,170,FALSE)</f>
        <v>#N/A</v>
      </c>
      <c r="Q10" s="8"/>
    </row>
    <row r="11">
      <c r="A11" s="17" t="str">
        <f>VLOOKUP(A1,Data!$A$1:$DZU$10000,172,FALSE)</f>
        <v>#N/A</v>
      </c>
      <c r="B11" s="18" t="str">
        <f>VLOOKUP(A1,Data!$A$1:$DZU$10000,173,FALSE)</f>
        <v>#N/A</v>
      </c>
      <c r="C11" s="18" t="str">
        <f>VLOOKUP(A1,Data!$A$1:$DZU$10000,174,FALSE)</f>
        <v>#N/A</v>
      </c>
      <c r="D11" s="18" t="str">
        <f>VLOOKUP(A1,Data!$A$1:$DZU$10000,175,FALSE)</f>
        <v>#N/A</v>
      </c>
      <c r="E11" s="18" t="str">
        <f>VLOOKUP(A1,Data!$A$1:$DZU$10000,176,FALSE)</f>
        <v>#N/A</v>
      </c>
      <c r="F11" s="18" t="str">
        <f>VLOOKUP(A1,Data!$A$1:$DZU$10000,177,FALSE)</f>
        <v>#N/A</v>
      </c>
      <c r="G11" s="18" t="str">
        <f>VLOOKUP(A1,Data!$A$1:$DZU$10000,178,FALSE)</f>
        <v>#N/A</v>
      </c>
      <c r="H11" s="18" t="str">
        <f>VLOOKUP(A1,Data!$A$1:$DZU$10000,179,FALSE)</f>
        <v>#N/A</v>
      </c>
      <c r="I11" s="18" t="str">
        <f>VLOOKUP(A1,Data!$A$1:$DZU$10000,180,FALSE)</f>
        <v>#N/A</v>
      </c>
      <c r="J11" s="18" t="str">
        <f>VLOOKUP(A1,Data!$A$1:$DZU$10000,181,FALSE)</f>
        <v>#N/A</v>
      </c>
      <c r="K11" s="18" t="str">
        <f>VLOOKUP(A1,Data!$A$1:$DZU$10000,182,FALSE)</f>
        <v>#N/A</v>
      </c>
      <c r="L11" s="18" t="str">
        <f>VLOOKUP(A1,Data!$A$1:$DZU$10000,183,FALSE)</f>
        <v>#N/A</v>
      </c>
      <c r="M11" s="18" t="str">
        <f>VLOOKUP(A1,Data!$A$1:$DZU$10000,184,FALSE)</f>
        <v>#N/A</v>
      </c>
      <c r="N11" s="18" t="str">
        <f>VLOOKUP(A1,Data!$A$1:$DZU$10000,185,FALSE)</f>
        <v>#N/A</v>
      </c>
      <c r="O11" s="18" t="str">
        <f>VLOOKUP(A1,Data!$A$1:$DZU$10000,186,FALSE)</f>
        <v>#N/A</v>
      </c>
      <c r="P11" s="18" t="str">
        <f>VLOOKUP(A1,Data!$A$1:$DZU$10000,187,FALSE)</f>
        <v>#N/A</v>
      </c>
      <c r="Q11" s="18" t="str">
        <f>VLOOKUP(A1,Data!$A$1:$DZU$10000,188,FALSE)</f>
        <v>#N/A</v>
      </c>
    </row>
    <row r="12">
      <c r="A12" s="14"/>
      <c r="B12" s="6" t="str">
        <f>VLOOKUP(A1,Data!$A$1:$DZU$10000,190,FALSE)</f>
        <v>#N/A</v>
      </c>
      <c r="C12" s="8"/>
      <c r="D12" s="6" t="str">
        <f>VLOOKUP(A1,Data!$A$1:$DZU$10000,192,FALSE)</f>
        <v>#N/A</v>
      </c>
      <c r="E12" s="8"/>
      <c r="F12" s="6" t="str">
        <f>VLOOKUP(A1,Data!$A$1:$DZU$10000,194,FALSE)</f>
        <v>#N/A</v>
      </c>
      <c r="G12" s="8"/>
      <c r="H12" s="6" t="str">
        <f>VLOOKUP(A1,Data!$A$1:$DZU$10000,196,FALSE)</f>
        <v>#N/A</v>
      </c>
      <c r="I12" s="8"/>
      <c r="J12" s="6" t="str">
        <f>VLOOKUP(A1,Data!$A$1:$DZU$10000,198,FALSE)</f>
        <v>#N/A</v>
      </c>
      <c r="K12" s="8"/>
      <c r="L12" s="6" t="str">
        <f>VLOOKUP(A1,Data!$A$1:$DZU$10000,200,FALSE)</f>
        <v>#N/A</v>
      </c>
      <c r="M12" s="8"/>
      <c r="N12" s="6" t="str">
        <f>VLOOKUP(A1,Data!$A$1:$DZU$10000,202,FALSE)</f>
        <v>#N/A</v>
      </c>
      <c r="O12" s="8"/>
      <c r="P12" s="6" t="str">
        <f>VLOOKUP(A1,Data!$A$1:$DZU$10000,204,FALSE)</f>
        <v>#N/A</v>
      </c>
      <c r="Q12" s="8"/>
    </row>
    <row r="13">
      <c r="A13" s="17" t="str">
        <f>VLOOKUP(A1,Data!$A$1:$DZU$10000,206,FALSE)</f>
        <v>#N/A</v>
      </c>
      <c r="B13" s="18" t="str">
        <f>VLOOKUP(A1,Data!$A$1:$DZU$10000,207,FALSE)</f>
        <v>#N/A</v>
      </c>
      <c r="C13" s="18" t="str">
        <f>VLOOKUP(A1,Data!$A$1:$DZU$10000,208,FALSE)</f>
        <v>#N/A</v>
      </c>
      <c r="D13" s="18" t="str">
        <f>VLOOKUP(A1,Data!$A$1:$DZU$10000,209,FALSE)</f>
        <v>#N/A</v>
      </c>
      <c r="E13" s="18" t="str">
        <f>VLOOKUP(A1,Data!$A$1:$DZU$10000,210,FALSE)</f>
        <v>#N/A</v>
      </c>
      <c r="F13" s="18" t="str">
        <f>VLOOKUP(A1,Data!$A$1:$DZU$10000,211,FALSE)</f>
        <v>#N/A</v>
      </c>
      <c r="G13" s="18" t="str">
        <f>VLOOKUP(A1,Data!$A$1:$DZU$10000,212,FALSE)</f>
        <v>#N/A</v>
      </c>
      <c r="H13" s="18" t="str">
        <f>VLOOKUP(A1,Data!$A$1:$DZU$10000,213,FALSE)</f>
        <v>#N/A</v>
      </c>
      <c r="I13" s="18" t="str">
        <f>VLOOKUP(A1,Data!$A$1:$DZU$10000,214,FALSE)</f>
        <v>#N/A</v>
      </c>
      <c r="J13" s="18" t="str">
        <f>VLOOKUP(A1,Data!$A$1:$DZU$10000,215,FALSE)</f>
        <v>#N/A</v>
      </c>
      <c r="K13" s="18" t="str">
        <f>VLOOKUP(A1,Data!$A$1:$DZU$10000,216,FALSE)</f>
        <v>#N/A</v>
      </c>
      <c r="L13" s="18" t="str">
        <f>VLOOKUP(A1,Data!$A$1:$DZU$10000,217,FALSE)</f>
        <v>#N/A</v>
      </c>
      <c r="M13" s="18" t="str">
        <f>VLOOKUP(A1,Data!$A$1:$DZU$10000,218,FALSE)</f>
        <v>#N/A</v>
      </c>
      <c r="N13" s="18" t="str">
        <f>VLOOKUP(A1,Data!$A$1:$DZU$10000,219,FALSE)</f>
        <v>#N/A</v>
      </c>
      <c r="O13" s="18" t="str">
        <f>VLOOKUP(A1,Data!$A$1:$DZU$10000,220,FALSE)</f>
        <v>#N/A</v>
      </c>
      <c r="P13" s="18" t="str">
        <f>VLOOKUP(A1,Data!$A$1:$DZU$10000,221,FALSE)</f>
        <v>#N/A</v>
      </c>
      <c r="Q13" s="18" t="str">
        <f>VLOOKUP(A1,Data!$A$1:$DZU$10000,222,FALSE)</f>
        <v>#N/A</v>
      </c>
    </row>
    <row r="14">
      <c r="A14" s="14"/>
      <c r="B14" s="6" t="str">
        <f>VLOOKUP(A1,Data!$A$1:$DZU$10000,224,FALSE)</f>
        <v>#N/A</v>
      </c>
      <c r="C14" s="8"/>
      <c r="D14" s="6" t="str">
        <f>VLOOKUP(A1,Data!$A$1:$DZU$10000,226,FALSE)</f>
        <v>#N/A</v>
      </c>
      <c r="E14" s="8"/>
      <c r="F14" s="6" t="str">
        <f>VLOOKUP(A1,Data!$A$1:$DZU$10000,228,FALSE)</f>
        <v>#N/A</v>
      </c>
      <c r="G14" s="8"/>
      <c r="H14" s="6" t="str">
        <f>VLOOKUP(A1,Data!$A$1:$DZU$10000,230,FALSE)</f>
        <v>#N/A</v>
      </c>
      <c r="I14" s="8"/>
      <c r="J14" s="6" t="str">
        <f>VLOOKUP(A1,Data!$A$1:$DZU$10000,232,FALSE)</f>
        <v>#N/A</v>
      </c>
      <c r="K14" s="8"/>
      <c r="L14" s="6" t="str">
        <f>VLOOKUP(A1,Data!$A$1:$DZU$10000,234,FALSE)</f>
        <v>#N/A</v>
      </c>
      <c r="M14" s="8"/>
      <c r="N14" s="6" t="str">
        <f>VLOOKUP(A1,Data!$A$1:$DZU$10000,236,FALSE)</f>
        <v>#N/A</v>
      </c>
      <c r="O14" s="8"/>
      <c r="P14" s="6" t="str">
        <f>VLOOKUP(A1,Data!$A$1:$DZU$10000,238,FALSE)</f>
        <v>#N/A</v>
      </c>
      <c r="Q14" s="8"/>
    </row>
    <row r="15">
      <c r="A15" s="17" t="str">
        <f>VLOOKUP(A1,Data!$A$1:$DZU$10000,240,FALSE)</f>
        <v>#N/A</v>
      </c>
      <c r="B15" s="18" t="str">
        <f>VLOOKUP(A1,Data!$A$1:$DZU$10000,241,FALSE)</f>
        <v>#N/A</v>
      </c>
      <c r="C15" s="18" t="str">
        <f>VLOOKUP(A1,Data!$A$1:$DZU$10000,242,FALSE)</f>
        <v>#N/A</v>
      </c>
      <c r="D15" s="18" t="str">
        <f>VLOOKUP(A1,Data!$A$1:$DZU$10000,243,FALSE)</f>
        <v>#N/A</v>
      </c>
      <c r="E15" s="18" t="str">
        <f>VLOOKUP(A1,Data!$A$1:$DZU$10000,244,FALSE)</f>
        <v>#N/A</v>
      </c>
      <c r="F15" s="18" t="str">
        <f>VLOOKUP(A1,Data!$A$1:$DZU$10000,245,FALSE)</f>
        <v>#N/A</v>
      </c>
      <c r="G15" s="18" t="str">
        <f>VLOOKUP(A1,Data!$A$1:$DZU$10000,246,FALSE)</f>
        <v>#N/A</v>
      </c>
      <c r="H15" s="18" t="str">
        <f>VLOOKUP(A1,Data!$A$1:$DZU$10000,247,FALSE)</f>
        <v>#N/A</v>
      </c>
      <c r="I15" s="18" t="str">
        <f>VLOOKUP(A1,Data!$A$1:$DZU$10000,248,FALSE)</f>
        <v>#N/A</v>
      </c>
      <c r="J15" s="18" t="str">
        <f>VLOOKUP(A1,Data!$A$1:$DZU$10000,249,FALSE)</f>
        <v>#N/A</v>
      </c>
      <c r="K15" s="18" t="str">
        <f>VLOOKUP(A1,Data!$A$1:$DZU$10000,250,FALSE)</f>
        <v>#N/A</v>
      </c>
      <c r="L15" s="18" t="str">
        <f>VLOOKUP(A1,Data!$A$1:$DZU$10000,251,FALSE)</f>
        <v>#N/A</v>
      </c>
      <c r="M15" s="18" t="str">
        <f>VLOOKUP(A1,Data!$A$1:$DZU$10000,252,FALSE)</f>
        <v>#N/A</v>
      </c>
      <c r="N15" s="18" t="str">
        <f>VLOOKUP(A1,Data!$A$1:$DZU$10000,253,FALSE)</f>
        <v>#N/A</v>
      </c>
      <c r="O15" s="18" t="str">
        <f>VLOOKUP(A1,Data!$A$1:$DZU$10000,254,FALSE)</f>
        <v>#N/A</v>
      </c>
      <c r="P15" s="18" t="str">
        <f>VLOOKUP(A1,Data!$A$1:$DZU$10000,255,FALSE)</f>
        <v>#N/A</v>
      </c>
      <c r="Q15" s="18" t="str">
        <f>VLOOKUP(A1,Data!$A$1:$DZU$10000,256,FALSE)</f>
        <v>#N/A</v>
      </c>
    </row>
    <row r="16">
      <c r="A16" s="14"/>
      <c r="B16" s="6" t="str">
        <f>VLOOKUP(A1,Data!$A$1:$DZU$10000,258,FALSE)</f>
        <v>#N/A</v>
      </c>
      <c r="C16" s="8"/>
      <c r="D16" s="6" t="str">
        <f>VLOOKUP(A1,Data!$A$1:$DZU$10000,260,FALSE)</f>
        <v>#N/A</v>
      </c>
      <c r="E16" s="8"/>
      <c r="F16" s="6" t="str">
        <f>VLOOKUP(A1,Data!$A$1:$DZU$10000,262,FALSE)</f>
        <v>#N/A</v>
      </c>
      <c r="G16" s="8"/>
      <c r="H16" s="6" t="str">
        <f>VLOOKUP(A1,Data!$A$1:$DZU$10000,264,FALSE)</f>
        <v>#N/A</v>
      </c>
      <c r="I16" s="8"/>
      <c r="J16" s="6" t="str">
        <f>VLOOKUP(A1,Data!$A$1:$DZU$10000,266,FALSE)</f>
        <v>#N/A</v>
      </c>
      <c r="K16" s="8"/>
      <c r="L16" s="6" t="str">
        <f>VLOOKUP(A1,Data!$A$1:$DZU$10000,268,FALSE)</f>
        <v>#N/A</v>
      </c>
      <c r="M16" s="8"/>
      <c r="N16" s="6" t="str">
        <f>VLOOKUP(A1,Data!$A$1:$DZU$10000,270,FALSE)</f>
        <v>#N/A</v>
      </c>
      <c r="O16" s="8"/>
      <c r="P16" s="6" t="str">
        <f>VLOOKUP(A1,Data!$A$1:$DZU$10000,272,FALSE)</f>
        <v>#N/A</v>
      </c>
      <c r="Q16" s="8"/>
    </row>
    <row r="17">
      <c r="A17" s="17" t="str">
        <f>VLOOKUP(A1,Data!$A$1:$DZU$10000,274,FALSE)</f>
        <v>#N/A</v>
      </c>
      <c r="B17" s="18" t="str">
        <f>VLOOKUP(A1,Data!$A$1:$DZU$10000,275,FALSE)</f>
        <v>#N/A</v>
      </c>
      <c r="C17" s="18" t="str">
        <f>VLOOKUP(A1,Data!$A$1:$DZU$10000,276,FALSE)</f>
        <v>#N/A</v>
      </c>
      <c r="D17" s="18" t="str">
        <f>VLOOKUP(A1,Data!$A$1:$DZU$10000,277,FALSE)</f>
        <v>#N/A</v>
      </c>
      <c r="E17" s="18" t="str">
        <f>VLOOKUP(A1,Data!$A$1:$DZU$10000,278,FALSE)</f>
        <v>#N/A</v>
      </c>
      <c r="F17" s="18" t="str">
        <f>VLOOKUP(A1,Data!$A$1:$DZU$10000,279,FALSE)</f>
        <v>#N/A</v>
      </c>
      <c r="G17" s="18" t="str">
        <f>VLOOKUP(A1,Data!$A$1:$DZU$10000,280,FALSE)</f>
        <v>#N/A</v>
      </c>
      <c r="H17" s="18" t="str">
        <f>VLOOKUP(A1,Data!$A$1:$DZU$10000,281,FALSE)</f>
        <v>#N/A</v>
      </c>
      <c r="I17" s="18" t="str">
        <f>VLOOKUP(A1,Data!$A$1:$DZU$10000,282,FALSE)</f>
        <v>#N/A</v>
      </c>
      <c r="J17" s="18" t="str">
        <f>VLOOKUP(A1,Data!$A$1:$DZU$10000,283,FALSE)</f>
        <v>#N/A</v>
      </c>
      <c r="K17" s="18" t="str">
        <f>VLOOKUP(A1,Data!$A$1:$DZU$10000,284,FALSE)</f>
        <v>#N/A</v>
      </c>
      <c r="L17" s="18" t="str">
        <f>VLOOKUP(A1,Data!$A$1:$DZU$10000,285,FALSE)</f>
        <v>#N/A</v>
      </c>
      <c r="M17" s="18" t="str">
        <f>VLOOKUP(A1,Data!$A$1:$DZU$10000,286,FALSE)</f>
        <v>#N/A</v>
      </c>
      <c r="N17" s="18" t="str">
        <f>VLOOKUP(A1,Data!$A$1:$DZU$10000,287,FALSE)</f>
        <v>#N/A</v>
      </c>
      <c r="O17" s="18" t="str">
        <f>VLOOKUP(A1,Data!$A$1:$DZU$10000,288,FALSE)</f>
        <v>#N/A</v>
      </c>
      <c r="P17" s="18" t="str">
        <f>VLOOKUP(A1,Data!$A$1:$DZU$10000,289,FALSE)</f>
        <v>#N/A</v>
      </c>
      <c r="Q17" s="18" t="str">
        <f>VLOOKUP(A1,Data!$A$1:$DZU$10000,290,FALSE)</f>
        <v>#N/A</v>
      </c>
    </row>
    <row r="18">
      <c r="A18" s="14"/>
      <c r="B18" s="6" t="str">
        <f>VLOOKUP(A1,Data!$A$1:$DZU$10000,292,FALSE)</f>
        <v>#N/A</v>
      </c>
      <c r="C18" s="8"/>
      <c r="D18" s="6" t="str">
        <f>VLOOKUP(A1,Data!$A$1:$DZU$10000,294,FALSE)</f>
        <v>#N/A</v>
      </c>
      <c r="E18" s="8"/>
      <c r="F18" s="6" t="str">
        <f>VLOOKUP(A1,Data!$A$1:$DZU$10000,296,FALSE)</f>
        <v>#N/A</v>
      </c>
      <c r="G18" s="8"/>
      <c r="H18" s="6" t="str">
        <f>VLOOKUP(A1,Data!$A$1:$DZU$10000,298,FALSE)</f>
        <v>#N/A</v>
      </c>
      <c r="I18" s="8"/>
      <c r="J18" s="6" t="str">
        <f>VLOOKUP(A1,Data!$A$1:$DZU$10000,300,FALSE)</f>
        <v>#N/A</v>
      </c>
      <c r="K18" s="8"/>
      <c r="L18" s="6" t="str">
        <f>VLOOKUP(A1,Data!$A$1:$DZU$10000,302,FALSE)</f>
        <v>#N/A</v>
      </c>
      <c r="M18" s="8"/>
      <c r="N18" s="6" t="str">
        <f>VLOOKUP(A1,Data!$A$1:$DZU$10000,304,FALSE)</f>
        <v>#N/A</v>
      </c>
      <c r="O18" s="8"/>
      <c r="P18" s="6" t="str">
        <f>VLOOKUP(A1,Data!$A$1:$DZU$10000,306,FALSE)</f>
        <v>#N/A</v>
      </c>
      <c r="Q18" s="8"/>
    </row>
    <row r="19">
      <c r="A19" s="17" t="str">
        <f>VLOOKUP(A1,Data!$A$1:$DZU$10000,308,FALSE)</f>
        <v>#N/A</v>
      </c>
      <c r="B19" s="18" t="str">
        <f>VLOOKUP(A1,Data!$A$1:$DZU$10000,309,FALSE)</f>
        <v>#N/A</v>
      </c>
      <c r="C19" s="18" t="str">
        <f>VLOOKUP(A1,Data!$A$1:$DZU$10000,310,FALSE)</f>
        <v>#N/A</v>
      </c>
      <c r="D19" s="18" t="str">
        <f>VLOOKUP(A1,Data!$A$1:$DZU$10000,311,FALSE)</f>
        <v>#N/A</v>
      </c>
      <c r="E19" s="18" t="str">
        <f>VLOOKUP(A1,Data!$A$1:$DZU$10000,312,FALSE)</f>
        <v>#N/A</v>
      </c>
      <c r="F19" s="18" t="str">
        <f>VLOOKUP(A1,Data!$A$1:$DZU$10000,313,FALSE)</f>
        <v>#N/A</v>
      </c>
      <c r="G19" s="18" t="str">
        <f>VLOOKUP(A1,Data!$A$1:$DZU$10000,314,FALSE)</f>
        <v>#N/A</v>
      </c>
      <c r="H19" s="18" t="str">
        <f>VLOOKUP(A1,Data!$A$1:$DZU$10000,315,FALSE)</f>
        <v>#N/A</v>
      </c>
      <c r="I19" s="18" t="str">
        <f>VLOOKUP(A1,Data!$A$1:$DZU$10000,316,FALSE)</f>
        <v>#N/A</v>
      </c>
      <c r="J19" s="18" t="str">
        <f>VLOOKUP(A1,Data!$A$1:$DZU$10000,317,FALSE)</f>
        <v>#N/A</v>
      </c>
      <c r="K19" s="18" t="str">
        <f>VLOOKUP(A1,Data!$A$1:$DZU$10000,318,FALSE)</f>
        <v>#N/A</v>
      </c>
      <c r="L19" s="18" t="str">
        <f>VLOOKUP(A1,Data!$A$1:$DZU$10000,319,FALSE)</f>
        <v>#N/A</v>
      </c>
      <c r="M19" s="18" t="str">
        <f>VLOOKUP(A1,Data!$A$1:$DZU$10000,320,FALSE)</f>
        <v>#N/A</v>
      </c>
      <c r="N19" s="18" t="str">
        <f>VLOOKUP(A1,Data!$A$1:$DZU$10000,321,FALSE)</f>
        <v>#N/A</v>
      </c>
      <c r="O19" s="18" t="str">
        <f>VLOOKUP(A1,Data!$A$1:$DZU$10000,322,FALSE)</f>
        <v>#N/A</v>
      </c>
      <c r="P19" s="18" t="str">
        <f>VLOOKUP(A1,Data!$A$1:$DZU$10000,323,FALSE)</f>
        <v>#N/A</v>
      </c>
      <c r="Q19" s="18" t="str">
        <f>VLOOKUP(A1,Data!$A$1:$DZU$10000,324,FALSE)</f>
        <v>#N/A</v>
      </c>
    </row>
    <row r="20">
      <c r="A20" s="14"/>
      <c r="B20" s="6" t="str">
        <f>VLOOKUP(A1,Data!$A$1:$DZU$10000,326,FALSE)</f>
        <v>#N/A</v>
      </c>
      <c r="C20" s="8"/>
      <c r="D20" s="6" t="str">
        <f>VLOOKUP(A1,Data!$A$1:$DZU$10000,328,FALSE)</f>
        <v>#N/A</v>
      </c>
      <c r="E20" s="8"/>
      <c r="F20" s="6" t="str">
        <f>VLOOKUP(A1,Data!$A$1:$DZU$10000,330,FALSE)</f>
        <v>#N/A</v>
      </c>
      <c r="G20" s="8"/>
      <c r="H20" s="6" t="str">
        <f>VLOOKUP(A1,Data!$A$1:$DZU$10000,332,FALSE)</f>
        <v>#N/A</v>
      </c>
      <c r="I20" s="8"/>
      <c r="J20" s="6" t="str">
        <f>VLOOKUP(A1,Data!$A$1:$DZU$10000,334,FALSE)</f>
        <v>#N/A</v>
      </c>
      <c r="K20" s="8"/>
      <c r="L20" s="6" t="str">
        <f>VLOOKUP(A1,Data!$A$1:$DZU$10000,336,FALSE)</f>
        <v>#N/A</v>
      </c>
      <c r="M20" s="8"/>
      <c r="N20" s="6" t="str">
        <f>VLOOKUP(A1,Data!$A$1:$DZU$10000,338,FALSE)</f>
        <v>#N/A</v>
      </c>
      <c r="O20" s="8"/>
      <c r="P20" s="6" t="str">
        <f>VLOOKUP(A1,Data!$A$1:$DZU$10000,340,FALSE)</f>
        <v>#N/A</v>
      </c>
      <c r="Q20" s="8"/>
    </row>
    <row r="21">
      <c r="A21" s="17" t="str">
        <f>VLOOKUP(A1,Data!$A$1:$DZU$10000,342,FALSE)</f>
        <v>#N/A</v>
      </c>
      <c r="B21" s="18" t="str">
        <f>VLOOKUP(A1,Data!$A$1:$DZU$10000,343,FALSE)</f>
        <v>#N/A</v>
      </c>
      <c r="C21" s="18" t="str">
        <f>VLOOKUP(A1,Data!$A$1:$DZU$10000,344,FALSE)</f>
        <v>#N/A</v>
      </c>
      <c r="D21" s="18" t="str">
        <f>VLOOKUP(A1,Data!$A$1:$DZU$10000,345,FALSE)</f>
        <v>#N/A</v>
      </c>
      <c r="E21" s="18" t="str">
        <f>VLOOKUP(A1,Data!$A$1:$DZU$10000,346,FALSE)</f>
        <v>#N/A</v>
      </c>
      <c r="F21" s="18" t="str">
        <f>VLOOKUP(A1,Data!$A$1:$DZU$10000,347,FALSE)</f>
        <v>#N/A</v>
      </c>
      <c r="G21" s="18" t="str">
        <f>VLOOKUP(A1,Data!$A$1:$DZU$10000,348,FALSE)</f>
        <v>#N/A</v>
      </c>
      <c r="H21" s="18" t="str">
        <f>VLOOKUP(A1,Data!$A$1:$DZU$10000,349,FALSE)</f>
        <v>#N/A</v>
      </c>
      <c r="I21" s="18" t="str">
        <f>VLOOKUP(A1,Data!$A$1:$DZU$10000,350,FALSE)</f>
        <v>#N/A</v>
      </c>
      <c r="J21" s="18" t="str">
        <f>VLOOKUP(A1,Data!$A$1:$DZU$10000,351,FALSE)</f>
        <v>#N/A</v>
      </c>
      <c r="K21" s="18" t="str">
        <f>VLOOKUP(A1,Data!$A$1:$DZU$10000,352,FALSE)</f>
        <v>#N/A</v>
      </c>
      <c r="L21" s="18" t="str">
        <f>VLOOKUP(A1,Data!$A$1:$DZU$10000,353,FALSE)</f>
        <v>#N/A</v>
      </c>
      <c r="M21" s="18" t="str">
        <f>VLOOKUP(A1,Data!$A$1:$DZU$10000,354,FALSE)</f>
        <v>#N/A</v>
      </c>
      <c r="N21" s="18" t="str">
        <f>VLOOKUP(A1,Data!$A$1:$DZU$10000,355,FALSE)</f>
        <v>#N/A</v>
      </c>
      <c r="O21" s="18" t="str">
        <f>VLOOKUP(A1,Data!$A$1:$DZU$10000,356,FALSE)</f>
        <v>#N/A</v>
      </c>
      <c r="P21" s="18" t="str">
        <f>VLOOKUP(A1,Data!$A$1:$DZU$10000,357,FALSE)</f>
        <v>#N/A</v>
      </c>
      <c r="Q21" s="18" t="str">
        <f>VLOOKUP(A1,Data!$A$1:$DZU$10000,358,FALSE)</f>
        <v>#N/A</v>
      </c>
    </row>
    <row r="22">
      <c r="A22" s="14"/>
      <c r="B22" s="6" t="str">
        <f>VLOOKUP(A1,Data!$A$1:$DZU$10000,360,FALSE)</f>
        <v>#N/A</v>
      </c>
      <c r="C22" s="8"/>
      <c r="D22" s="6" t="str">
        <f>VLOOKUP(A1,Data!$A$1:$DZU$10000,362,FALSE)</f>
        <v>#N/A</v>
      </c>
      <c r="E22" s="8"/>
      <c r="F22" s="6" t="str">
        <f>VLOOKUP(A1,Data!$A$1:$DZU$10000,364,FALSE)</f>
        <v>#N/A</v>
      </c>
      <c r="G22" s="8"/>
      <c r="H22" s="6" t="str">
        <f>VLOOKUP(A1,Data!$A$1:$DZU$10000,366,FALSE)</f>
        <v>#N/A</v>
      </c>
      <c r="I22" s="8"/>
      <c r="J22" s="6" t="str">
        <f>VLOOKUP(A1,Data!$A$1:$DZU$10000,368,FALSE)</f>
        <v>#N/A</v>
      </c>
      <c r="K22" s="8"/>
      <c r="L22" s="6" t="str">
        <f>VLOOKUP(A1,Data!$A$1:$DZU$10000,370,FALSE)</f>
        <v>#N/A</v>
      </c>
      <c r="M22" s="8"/>
      <c r="N22" s="6" t="str">
        <f>VLOOKUP(A1,Data!$A$1:$DZU$10000,372,FALSE)</f>
        <v>#N/A</v>
      </c>
      <c r="O22" s="8"/>
      <c r="P22" s="6" t="str">
        <f>VLOOKUP(A1,Data!$A$1:$DZU$10000,374,FALSE)</f>
        <v>#N/A</v>
      </c>
      <c r="Q22" s="8"/>
    </row>
    <row r="23">
      <c r="A23" s="17" t="str">
        <f>VLOOKUP(A1,Data!$A$1:$DZU$10000,376,FALSE)</f>
        <v>#N/A</v>
      </c>
      <c r="B23" s="18" t="str">
        <f>VLOOKUP(A1,Data!$A$1:$DZU$10000,377,FALSE)</f>
        <v>#N/A</v>
      </c>
      <c r="C23" s="18" t="str">
        <f>VLOOKUP(A1,Data!$A$1:$DZU$10000,378,FALSE)</f>
        <v>#N/A</v>
      </c>
      <c r="D23" s="18" t="str">
        <f>VLOOKUP(A1,Data!$A$1:$DZU$10000,379,FALSE)</f>
        <v>#N/A</v>
      </c>
      <c r="E23" s="18" t="str">
        <f>VLOOKUP(A1,Data!$A$1:$DZU$10000,380,FALSE)</f>
        <v>#N/A</v>
      </c>
      <c r="F23" s="18" t="str">
        <f>VLOOKUP(A1,Data!$A$1:$DZU$10000,381,FALSE)</f>
        <v>#N/A</v>
      </c>
      <c r="G23" s="18" t="str">
        <f>VLOOKUP(A1,Data!$A$1:$DZU$10000,382,FALSE)</f>
        <v>#N/A</v>
      </c>
      <c r="H23" s="18" t="str">
        <f>VLOOKUP(A1,Data!$A$1:$DZU$10000,383,FALSE)</f>
        <v>#N/A</v>
      </c>
      <c r="I23" s="18" t="str">
        <f>VLOOKUP(A1,Data!$A$1:$DZU$10000,384,FALSE)</f>
        <v>#N/A</v>
      </c>
      <c r="J23" s="18" t="str">
        <f>VLOOKUP(A1,Data!$A$1:$DZU$10000,385,FALSE)</f>
        <v>#N/A</v>
      </c>
      <c r="K23" s="18" t="str">
        <f>VLOOKUP(A1,Data!$A$1:$DZU$10000,386,FALSE)</f>
        <v>#N/A</v>
      </c>
      <c r="L23" s="18" t="str">
        <f>VLOOKUP(A1,Data!$A$1:$DZU$10000,387,FALSE)</f>
        <v>#N/A</v>
      </c>
      <c r="M23" s="18" t="str">
        <f>VLOOKUP(A1,Data!$A$1:$DZU$10000,388,FALSE)</f>
        <v>#N/A</v>
      </c>
      <c r="N23" s="18" t="str">
        <f>VLOOKUP(A1,Data!$A$1:$DZU$10000,389,FALSE)</f>
        <v>#N/A</v>
      </c>
      <c r="O23" s="18" t="str">
        <f>VLOOKUP(A1,Data!$A$1:$DZU$10000,390,FALSE)</f>
        <v>#N/A</v>
      </c>
      <c r="P23" s="18" t="str">
        <f>VLOOKUP(A1,Data!$A$1:$DZU$10000,391,FALSE)</f>
        <v>#N/A</v>
      </c>
      <c r="Q23" s="18" t="str">
        <f>VLOOKUP(A1,Data!$A$1:$DZU$10000,392,FALSE)</f>
        <v>#N/A</v>
      </c>
    </row>
    <row r="24">
      <c r="A24" s="14"/>
      <c r="B24" s="6" t="str">
        <f>VLOOKUP(A1,Data!$A$1:$DZU$10000,394,FALSE)</f>
        <v>#N/A</v>
      </c>
      <c r="C24" s="8"/>
      <c r="D24" s="6" t="str">
        <f>VLOOKUP(A1,Data!$A$1:$DZU$10000,396,FALSE)</f>
        <v>#N/A</v>
      </c>
      <c r="E24" s="8"/>
      <c r="F24" s="6" t="str">
        <f>VLOOKUP(A1,Data!$A$1:$DZU$10000,398,FALSE)</f>
        <v>#N/A</v>
      </c>
      <c r="G24" s="8"/>
      <c r="H24" s="6" t="str">
        <f>VLOOKUP(A1,Data!$A$1:$DZU$10000,400,FALSE)</f>
        <v>#N/A</v>
      </c>
      <c r="I24" s="8"/>
      <c r="J24" s="6" t="str">
        <f>VLOOKUP(A1,Data!$A$1:$DZU$10000,402,FALSE)</f>
        <v>#N/A</v>
      </c>
      <c r="K24" s="8"/>
      <c r="L24" s="6" t="str">
        <f>VLOOKUP(A1,Data!$A$1:$DZU$10000,404,FALSE)</f>
        <v>#N/A</v>
      </c>
      <c r="M24" s="8"/>
      <c r="N24" s="6" t="str">
        <f>VLOOKUP(A1,Data!$A$1:$DZU$10000,406,FALSE)</f>
        <v>#N/A</v>
      </c>
      <c r="O24" s="8"/>
      <c r="P24" s="6" t="str">
        <f>VLOOKUP(A1,Data!$A$1:$DZU$10000,408,FALSE)</f>
        <v>#N/A</v>
      </c>
      <c r="Q24" s="8"/>
    </row>
    <row r="25">
      <c r="A25" s="17" t="str">
        <f>VLOOKUP(A1,Data!$A$1:$DZU$10000,410,FALSE)</f>
        <v>#N/A</v>
      </c>
      <c r="B25" s="18" t="str">
        <f>VLOOKUP(A1,Data!$A$1:$DZU$10000,411,FALSE)</f>
        <v>#N/A</v>
      </c>
      <c r="C25" s="18" t="str">
        <f>VLOOKUP(A1,Data!$A$1:$DZU$10000,412,FALSE)</f>
        <v>#N/A</v>
      </c>
      <c r="D25" s="18" t="str">
        <f>VLOOKUP(A1,Data!$A$1:$DZU$10000,413,FALSE)</f>
        <v>#N/A</v>
      </c>
      <c r="E25" s="18" t="str">
        <f>VLOOKUP(A1,Data!$A$1:$DZU$10000,414,FALSE)</f>
        <v>#N/A</v>
      </c>
      <c r="F25" s="18" t="str">
        <f>VLOOKUP(A1,Data!$A$1:$DZU$10000,415,FALSE)</f>
        <v>#N/A</v>
      </c>
      <c r="G25" s="18" t="str">
        <f>VLOOKUP(A1,Data!$A$1:$DZU$10000,416,FALSE)</f>
        <v>#N/A</v>
      </c>
      <c r="H25" s="18" t="str">
        <f>VLOOKUP(A1,Data!$A$1:$DZU$10000,417,FALSE)</f>
        <v>#N/A</v>
      </c>
      <c r="I25" s="18" t="str">
        <f>VLOOKUP(A1,Data!$A$1:$DZU$10000,418,FALSE)</f>
        <v>#N/A</v>
      </c>
      <c r="J25" s="18" t="str">
        <f>VLOOKUP(A1,Data!$A$1:$DZU$10000,419,FALSE)</f>
        <v>#N/A</v>
      </c>
      <c r="K25" s="18" t="str">
        <f>VLOOKUP(A1,Data!$A$1:$DZU$10000,420,FALSE)</f>
        <v>#N/A</v>
      </c>
      <c r="L25" s="18" t="str">
        <f>VLOOKUP(A1,Data!$A$1:$DZU$10000,421,FALSE)</f>
        <v>#N/A</v>
      </c>
      <c r="M25" s="18" t="str">
        <f>VLOOKUP(A1,Data!$A$1:$DZU$10000,422,FALSE)</f>
        <v>#N/A</v>
      </c>
      <c r="N25" s="18" t="str">
        <f>VLOOKUP(A1,Data!$A$1:$DZU$10000,423,FALSE)</f>
        <v>#N/A</v>
      </c>
      <c r="O25" s="18" t="str">
        <f>VLOOKUP(A1,Data!$A$1:$DZU$10000,424,FALSE)</f>
        <v>#N/A</v>
      </c>
      <c r="P25" s="18" t="str">
        <f>VLOOKUP(A1,Data!$A$1:$DZU$10000,425,FALSE)</f>
        <v>#N/A</v>
      </c>
      <c r="Q25" s="18" t="str">
        <f>VLOOKUP(A1,Data!$A$1:$DZU$10000,426,FALSE)</f>
        <v>#N/A</v>
      </c>
    </row>
    <row r="26">
      <c r="A26" s="14"/>
      <c r="B26" s="6" t="str">
        <f>VLOOKUP(A1,Data!$A$1:$DZU$10000,428,FALSE)</f>
        <v>#N/A</v>
      </c>
      <c r="C26" s="8"/>
      <c r="D26" s="6" t="str">
        <f>VLOOKUP(A1,Data!$A$1:$DZU$10000,430,FALSE)</f>
        <v>#N/A</v>
      </c>
      <c r="E26" s="8"/>
      <c r="F26" s="6" t="str">
        <f>VLOOKUP(A1,Data!$A$1:$DZU$10000,432,FALSE)</f>
        <v>#N/A</v>
      </c>
      <c r="G26" s="8"/>
      <c r="H26" s="6" t="str">
        <f>VLOOKUP(A1,Data!$A$1:$DZU$10000,434,FALSE)</f>
        <v>#N/A</v>
      </c>
      <c r="I26" s="8"/>
      <c r="J26" s="6" t="str">
        <f>VLOOKUP(A1,Data!$A$1:$DZU$10000,436,FALSE)</f>
        <v>#N/A</v>
      </c>
      <c r="K26" s="8"/>
      <c r="L26" s="6" t="str">
        <f>VLOOKUP(A1,Data!$A$1:$DZU$10000,438,FALSE)</f>
        <v>#N/A</v>
      </c>
      <c r="M26" s="8"/>
      <c r="N26" s="6" t="str">
        <f>VLOOKUP(A1,Data!$A$1:$DZU$10000,440,FALSE)</f>
        <v>#N/A</v>
      </c>
      <c r="O26" s="8"/>
      <c r="P26" s="6" t="str">
        <f>VLOOKUP(A1,Data!$A$1:$DZU$10000,442,FALSE)</f>
        <v>#N/A</v>
      </c>
      <c r="Q26" s="8"/>
    </row>
    <row r="27">
      <c r="A27" s="17" t="str">
        <f>VLOOKUP(A1,Data!$A$1:$DZU$10000,444,FALSE)</f>
        <v>#N/A</v>
      </c>
      <c r="B27" s="18" t="str">
        <f>VLOOKUP(A1,Data!$A$1:$DZU$10000,445,FALSE)</f>
        <v>#N/A</v>
      </c>
      <c r="C27" s="18" t="str">
        <f>VLOOKUP(A1,Data!$A$1:$DZU$10000,446,FALSE)</f>
        <v>#N/A</v>
      </c>
      <c r="D27" s="18" t="str">
        <f>VLOOKUP(A1,Data!$A$1:$DZU$10000,447,FALSE)</f>
        <v>#N/A</v>
      </c>
      <c r="E27" s="18" t="str">
        <f>VLOOKUP(A1,Data!$A$1:$DZU$10000,448,FALSE)</f>
        <v>#N/A</v>
      </c>
      <c r="F27" s="18" t="str">
        <f>VLOOKUP(A1,Data!$A$1:$DZU$10000,449,FALSE)</f>
        <v>#N/A</v>
      </c>
      <c r="G27" s="18" t="str">
        <f>VLOOKUP(A1,Data!$A$1:$DZU$10000,450,FALSE)</f>
        <v>#N/A</v>
      </c>
      <c r="H27" s="18" t="str">
        <f>VLOOKUP(A1,Data!$A$1:$DZU$10000,451,FALSE)</f>
        <v>#N/A</v>
      </c>
      <c r="I27" s="18" t="str">
        <f>VLOOKUP(A1,Data!$A$1:$DZU$10000,452,FALSE)</f>
        <v>#N/A</v>
      </c>
      <c r="J27" s="18" t="str">
        <f>VLOOKUP(A1,Data!$A$1:$DZU$10000,453,FALSE)</f>
        <v>#N/A</v>
      </c>
      <c r="K27" s="18" t="str">
        <f>VLOOKUP(A1,Data!$A$1:$DZU$10000,454,FALSE)</f>
        <v>#N/A</v>
      </c>
      <c r="L27" s="18" t="str">
        <f>VLOOKUP(A1,Data!$A$1:$DZU$10000,455,FALSE)</f>
        <v>#N/A</v>
      </c>
      <c r="M27" s="18" t="str">
        <f>VLOOKUP(A1,Data!$A$1:$DZU$10000,456,FALSE)</f>
        <v>#N/A</v>
      </c>
      <c r="N27" s="18" t="str">
        <f>VLOOKUP(A1,Data!$A$1:$DZU$10000,457,FALSE)</f>
        <v>#N/A</v>
      </c>
      <c r="O27" s="18" t="str">
        <f>VLOOKUP(A1,Data!$A$1:$DZU$10000,458,FALSE)</f>
        <v>#N/A</v>
      </c>
      <c r="P27" s="18" t="str">
        <f>VLOOKUP(A1,Data!$A$1:$DZU$10000,459,FALSE)</f>
        <v>#N/A</v>
      </c>
      <c r="Q27" s="18" t="str">
        <f>VLOOKUP(A1,Data!$A$1:$DZU$10000,460,FALSE)</f>
        <v>#N/A</v>
      </c>
    </row>
    <row r="28">
      <c r="A28" s="14"/>
      <c r="B28" s="6" t="str">
        <f>VLOOKUP(A1,Data!$A$1:$DZU$10000,462,FALSE)</f>
        <v>#N/A</v>
      </c>
      <c r="C28" s="8"/>
      <c r="D28" s="6" t="str">
        <f>VLOOKUP(A1,Data!$A$1:$DZU$10000,464,FALSE)</f>
        <v>#N/A</v>
      </c>
      <c r="E28" s="8"/>
      <c r="F28" s="6" t="str">
        <f>VLOOKUP(A1,Data!$A$1:$DZU$10000,466,FALSE)</f>
        <v>#N/A</v>
      </c>
      <c r="G28" s="8"/>
      <c r="H28" s="6" t="str">
        <f>VLOOKUP(A1,Data!$A$1:$DZU$10000,468,FALSE)</f>
        <v>#N/A</v>
      </c>
      <c r="I28" s="8"/>
      <c r="J28" s="6" t="str">
        <f>VLOOKUP(A1,Data!$A$1:$DZU$10000,470,FALSE)</f>
        <v>#N/A</v>
      </c>
      <c r="K28" s="8"/>
      <c r="L28" s="6" t="str">
        <f>VLOOKUP(A1,Data!$A$1:$DZU$10000,472,FALSE)</f>
        <v>#N/A</v>
      </c>
      <c r="M28" s="8"/>
      <c r="N28" s="6" t="str">
        <f>VLOOKUP(A1,Data!$A$1:$DZU$10000,474,FALSE)</f>
        <v>#N/A</v>
      </c>
      <c r="O28" s="8"/>
      <c r="P28" s="6" t="str">
        <f>VLOOKUP(A1,Data!$A$1:$DZU$10000,476,FALSE)</f>
        <v>#N/A</v>
      </c>
      <c r="Q28" s="8"/>
    </row>
    <row r="29">
      <c r="A29" s="17" t="str">
        <f>VLOOKUP(A1,Data!$A$1:$DZU$10000,478,FALSE)</f>
        <v>#N/A</v>
      </c>
      <c r="B29" s="18" t="str">
        <f>VLOOKUP(A1,Data!$A$1:$DZU$10000,479,FALSE)</f>
        <v>#N/A</v>
      </c>
      <c r="C29" s="18" t="str">
        <f>VLOOKUP(A1,Data!$A$1:$DZU$10000,480,FALSE)</f>
        <v>#N/A</v>
      </c>
      <c r="D29" s="18" t="str">
        <f>VLOOKUP(A1,Data!$A$1:$DZU$10000,481,FALSE)</f>
        <v>#N/A</v>
      </c>
      <c r="E29" s="18" t="str">
        <f>VLOOKUP(A1,Data!$A$1:$DZU$10000,482,FALSE)</f>
        <v>#N/A</v>
      </c>
      <c r="F29" s="18" t="str">
        <f>VLOOKUP(A1,Data!$A$1:$DZU$10000,483,FALSE)</f>
        <v>#N/A</v>
      </c>
      <c r="G29" s="18" t="str">
        <f>VLOOKUP(A1,Data!$A$1:$DZU$10000,484,FALSE)</f>
        <v>#N/A</v>
      </c>
      <c r="H29" s="18" t="str">
        <f>VLOOKUP(A1,Data!$A$1:$DZU$10000,485,FALSE)</f>
        <v>#N/A</v>
      </c>
      <c r="I29" s="18" t="str">
        <f>VLOOKUP(A1,Data!$A$1:$DZU$10000,486,FALSE)</f>
        <v>#N/A</v>
      </c>
      <c r="J29" s="18" t="str">
        <f>VLOOKUP(A1,Data!$A$1:$DZU$10000,487,FALSE)</f>
        <v>#N/A</v>
      </c>
      <c r="K29" s="18" t="str">
        <f>VLOOKUP(A1,Data!$A$1:$DZU$10000,488,FALSE)</f>
        <v>#N/A</v>
      </c>
      <c r="L29" s="18" t="str">
        <f>VLOOKUP(A1,Data!$A$1:$DZU$10000,489,FALSE)</f>
        <v>#N/A</v>
      </c>
      <c r="M29" s="18" t="str">
        <f>VLOOKUP(A1,Data!$A$1:$DZU$10000,490,FALSE)</f>
        <v>#N/A</v>
      </c>
      <c r="N29" s="18" t="str">
        <f>VLOOKUP(A1,Data!$A$1:$DZU$10000,491,FALSE)</f>
        <v>#N/A</v>
      </c>
      <c r="O29" s="18" t="str">
        <f>VLOOKUP(A1,Data!$A$1:$DZU$10000,492,FALSE)</f>
        <v>#N/A</v>
      </c>
      <c r="P29" s="18" t="str">
        <f>VLOOKUP(A1,Data!$A$1:$DZU$10000,493,FALSE)</f>
        <v>#N/A</v>
      </c>
      <c r="Q29" s="18" t="str">
        <f>VLOOKUP(A1,Data!$A$1:$DZU$10000,494,FALSE)</f>
        <v>#N/A</v>
      </c>
    </row>
    <row r="30">
      <c r="A30" s="14"/>
      <c r="B30" s="6" t="str">
        <f>VLOOKUP(A1,Data!$A$1:$DZU$10000,496,FALSE)</f>
        <v>#N/A</v>
      </c>
      <c r="C30" s="8"/>
      <c r="D30" s="6" t="str">
        <f>VLOOKUP(A1,Data!$A$1:$DZU$10000,498,FALSE)</f>
        <v>#N/A</v>
      </c>
      <c r="E30" s="8"/>
      <c r="F30" s="6" t="str">
        <f>VLOOKUP(A1,Data!$A$1:$DZU$10000,500,FALSE)</f>
        <v>#N/A</v>
      </c>
      <c r="G30" s="8"/>
      <c r="H30" s="6" t="str">
        <f>VLOOKUP(A1,Data!$A$1:$DZU$10000,502,FALSE)</f>
        <v>#N/A</v>
      </c>
      <c r="I30" s="8"/>
      <c r="J30" s="6" t="str">
        <f>VLOOKUP(A1,Data!$A$1:$DZU$10000,504,FALSE)</f>
        <v>#N/A</v>
      </c>
      <c r="K30" s="8"/>
      <c r="L30" s="6" t="str">
        <f>VLOOKUP(A1,Data!$A$1:$DZU$10000,506,FALSE)</f>
        <v>#N/A</v>
      </c>
      <c r="M30" s="8"/>
      <c r="N30" s="6" t="str">
        <f>VLOOKUP(A1,Data!$A$1:$DZU$10000,508,FALSE)</f>
        <v>#N/A</v>
      </c>
      <c r="O30" s="8"/>
      <c r="P30" s="6" t="str">
        <f>VLOOKUP(A1,Data!$A$1:$DZU$10000,510,FALSE)</f>
        <v>#N/A</v>
      </c>
      <c r="Q30" s="8"/>
    </row>
    <row r="31">
      <c r="A31" s="17" t="str">
        <f>VLOOKUP(A1,Data!$A$1:$DZU$10000,512,FALSE)</f>
        <v>#N/A</v>
      </c>
      <c r="B31" s="18" t="str">
        <f>VLOOKUP(A1,Data!$A$1:$DZU$10000,513,FALSE)</f>
        <v>#N/A</v>
      </c>
      <c r="C31" s="18" t="str">
        <f>VLOOKUP(A1,Data!$A$1:$DZU$10000,514,FALSE)</f>
        <v>#N/A</v>
      </c>
      <c r="D31" s="18" t="str">
        <f>VLOOKUP(A1,Data!$A$1:$DZU$10000,515,FALSE)</f>
        <v>#N/A</v>
      </c>
      <c r="E31" s="18" t="str">
        <f>VLOOKUP(A1,Data!$A$1:$DZU$10000,516,FALSE)</f>
        <v>#N/A</v>
      </c>
      <c r="F31" s="18" t="str">
        <f>VLOOKUP(A1,Data!$A$1:$DZU$10000,517,FALSE)</f>
        <v>#N/A</v>
      </c>
      <c r="G31" s="18" t="str">
        <f>VLOOKUP(A1,Data!$A$1:$DZU$10000,518,FALSE)</f>
        <v>#N/A</v>
      </c>
      <c r="H31" s="18" t="str">
        <f>VLOOKUP(A1,Data!$A$1:$DZU$10000,519,FALSE)</f>
        <v>#N/A</v>
      </c>
      <c r="I31" s="18" t="str">
        <f>VLOOKUP(A1,Data!$A$1:$DZU$10000,520,FALSE)</f>
        <v>#N/A</v>
      </c>
      <c r="J31" s="18" t="str">
        <f>VLOOKUP(A1,Data!$A$1:$DZU$10000,521,FALSE)</f>
        <v>#N/A</v>
      </c>
      <c r="K31" s="18" t="str">
        <f>VLOOKUP(A1,Data!$A$1:$DZU$10000,522,FALSE)</f>
        <v>#N/A</v>
      </c>
      <c r="L31" s="18" t="str">
        <f>VLOOKUP(A1,Data!$A$1:$DZU$10000,523,FALSE)</f>
        <v>#N/A</v>
      </c>
      <c r="M31" s="18" t="str">
        <f>VLOOKUP(A1,Data!$A$1:$DZU$10000,524,FALSE)</f>
        <v>#N/A</v>
      </c>
      <c r="N31" s="18" t="str">
        <f>VLOOKUP(A1,Data!$A$1:$DZU$10000,525,FALSE)</f>
        <v>#N/A</v>
      </c>
      <c r="O31" s="18" t="str">
        <f>VLOOKUP(A1,Data!$A$1:$DZU$10000,526,FALSE)</f>
        <v>#N/A</v>
      </c>
      <c r="P31" s="18" t="str">
        <f>VLOOKUP(A1,Data!$A$1:$DZU$10000,527,FALSE)</f>
        <v>#N/A</v>
      </c>
      <c r="Q31" s="18" t="str">
        <f>VLOOKUP(A1,Data!$A$1:$DZU$10000,528,FALSE)</f>
        <v>#N/A</v>
      </c>
    </row>
    <row r="32">
      <c r="A32" s="14"/>
      <c r="B32" s="6" t="str">
        <f>VLOOKUP(A1,Data!$A$1:$DZU$10000,530,FALSE)</f>
        <v>#N/A</v>
      </c>
      <c r="C32" s="8"/>
      <c r="D32" s="6" t="str">
        <f>VLOOKUP(A1,Data!$A$1:$DZU$10000,532,FALSE)</f>
        <v>#N/A</v>
      </c>
      <c r="E32" s="8"/>
      <c r="F32" s="6" t="str">
        <f>VLOOKUP(A1,Data!$A$1:$DZU$10000,534,FALSE)</f>
        <v>#N/A</v>
      </c>
      <c r="G32" s="8"/>
      <c r="H32" s="6" t="str">
        <f>VLOOKUP(A1,Data!$A$1:$DZU$10000,536,FALSE)</f>
        <v>#N/A</v>
      </c>
      <c r="I32" s="8"/>
      <c r="J32" s="6" t="str">
        <f>VLOOKUP(A1,Data!$A$1:$DZU$10000,538,FALSE)</f>
        <v>#N/A</v>
      </c>
      <c r="K32" s="8"/>
      <c r="L32" s="6" t="str">
        <f>VLOOKUP(A1,Data!$A$1:$DZU$10000,540,FALSE)</f>
        <v>#N/A</v>
      </c>
      <c r="M32" s="8"/>
      <c r="N32" s="6" t="str">
        <f>VLOOKUP(A1,Data!$A$1:$DZU$10000,542,FALSE)</f>
        <v>#N/A</v>
      </c>
      <c r="O32" s="8"/>
      <c r="P32" s="6" t="str">
        <f>VLOOKUP(A1,Data!$A$1:$DZU$10000,544,FALSE)</f>
        <v>#N/A</v>
      </c>
      <c r="Q32" s="8"/>
    </row>
    <row r="33">
      <c r="A33" s="17" t="str">
        <f>VLOOKUP(A1,Data!$A$1:$DZU$10000,546,FALSE)</f>
        <v>#N/A</v>
      </c>
      <c r="B33" s="18" t="str">
        <f>VLOOKUP(A1,Data!$A$1:$DZU$10000,547,FALSE)</f>
        <v>#N/A</v>
      </c>
      <c r="C33" s="18" t="str">
        <f>VLOOKUP(A1,Data!$A$1:$DZU$10000,548,FALSE)</f>
        <v>#N/A</v>
      </c>
      <c r="D33" s="18" t="str">
        <f>VLOOKUP(A1,Data!$A$1:$DZU$10000,549,FALSE)</f>
        <v>#N/A</v>
      </c>
      <c r="E33" s="18" t="str">
        <f>VLOOKUP(A1,Data!$A$1:$DZU$10000,550,FALSE)</f>
        <v>#N/A</v>
      </c>
      <c r="F33" s="18" t="str">
        <f>VLOOKUP(A1,Data!$A$1:$DZU$10000,551,FALSE)</f>
        <v>#N/A</v>
      </c>
      <c r="G33" s="18" t="str">
        <f>VLOOKUP(A1,Data!$A$1:$DZU$10000,552,FALSE)</f>
        <v>#N/A</v>
      </c>
      <c r="H33" s="18" t="str">
        <f>VLOOKUP(A1,Data!$A$1:$DZU$10000,553,FALSE)</f>
        <v>#N/A</v>
      </c>
      <c r="I33" s="18" t="str">
        <f>VLOOKUP(A1,Data!$A$1:$DZU$10000,554,FALSE)</f>
        <v>#N/A</v>
      </c>
      <c r="J33" s="18" t="str">
        <f>VLOOKUP(A1,Data!$A$1:$DZU$10000,555,FALSE)</f>
        <v>#N/A</v>
      </c>
      <c r="K33" s="18" t="str">
        <f>VLOOKUP(A1,Data!$A$1:$DZU$10000,556,FALSE)</f>
        <v>#N/A</v>
      </c>
      <c r="L33" s="18" t="str">
        <f>VLOOKUP(A1,Data!$A$1:$DZU$10000,557,FALSE)</f>
        <v>#N/A</v>
      </c>
      <c r="M33" s="18" t="str">
        <f>VLOOKUP(A1,Data!$A$1:$DZU$10000,558,FALSE)</f>
        <v>#N/A</v>
      </c>
      <c r="N33" s="18" t="str">
        <f>VLOOKUP(A1,Data!$A$1:$DZU$10000,559,FALSE)</f>
        <v>#N/A</v>
      </c>
      <c r="O33" s="18" t="str">
        <f>VLOOKUP(A1,Data!$A$1:$DZU$10000,560,FALSE)</f>
        <v>#N/A</v>
      </c>
      <c r="P33" s="18" t="str">
        <f>VLOOKUP(A1,Data!$A$1:$DZU$10000,561,FALSE)</f>
        <v>#N/A</v>
      </c>
      <c r="Q33" s="18" t="str">
        <f>VLOOKUP(A1,Data!$A$1:$DZU$10000,562,FALSE)</f>
        <v>#N/A</v>
      </c>
    </row>
    <row r="34">
      <c r="A34" s="14"/>
      <c r="B34" s="6" t="str">
        <f>VLOOKUP(A1,Data!$A$1:$DZU$10000,564,FALSE)</f>
        <v>#N/A</v>
      </c>
      <c r="C34" s="8"/>
      <c r="D34" s="6" t="str">
        <f>VLOOKUP(A1,Data!$A$1:$DZU$10000,566,FALSE)</f>
        <v>#N/A</v>
      </c>
      <c r="E34" s="8"/>
      <c r="F34" s="6" t="str">
        <f>VLOOKUP(A1,Data!$A$1:$DZU$10000,568,FALSE)</f>
        <v>#N/A</v>
      </c>
      <c r="G34" s="8"/>
      <c r="H34" s="6" t="str">
        <f>VLOOKUP(A1,Data!$A$1:$DZU$10000,570,FALSE)</f>
        <v>#N/A</v>
      </c>
      <c r="I34" s="8"/>
      <c r="J34" s="6" t="str">
        <f>VLOOKUP(A1,Data!$A$1:$DZU$10000,572,FALSE)</f>
        <v>#N/A</v>
      </c>
      <c r="K34" s="8"/>
      <c r="L34" s="6" t="str">
        <f>VLOOKUP(A1,Data!$A$1:$DZU$10000,574,FALSE)</f>
        <v>#N/A</v>
      </c>
      <c r="M34" s="8"/>
      <c r="N34" s="6" t="str">
        <f>VLOOKUP(A1,Data!$A$1:$DZU$10000,576,FALSE)</f>
        <v>#N/A</v>
      </c>
      <c r="O34" s="8"/>
      <c r="P34" s="6" t="str">
        <f>VLOOKUP(A1,Data!$A$1:$DZU$10000,578,FALSE)</f>
        <v>#N/A</v>
      </c>
      <c r="Q34" s="8"/>
    </row>
    <row r="35">
      <c r="A35" s="17" t="str">
        <f>VLOOKUP(A1,Data!$A$1:$DZU$10000,580,FALSE)</f>
        <v>#N/A</v>
      </c>
      <c r="B35" s="18" t="str">
        <f>VLOOKUP(A1,Data!$A$1:$DZU$10000,581,FALSE)</f>
        <v>#N/A</v>
      </c>
      <c r="C35" s="18" t="str">
        <f>VLOOKUP(A1,Data!$A$1:$DZU$10000,582,FALSE)</f>
        <v>#N/A</v>
      </c>
      <c r="D35" s="18" t="str">
        <f>VLOOKUP(A1,Data!$A$1:$DZU$10000,583,FALSE)</f>
        <v>#N/A</v>
      </c>
      <c r="E35" s="18" t="str">
        <f>VLOOKUP(A1,Data!$A$1:$DZU$10000,584,FALSE)</f>
        <v>#N/A</v>
      </c>
      <c r="F35" s="18" t="str">
        <f>VLOOKUP(A1,Data!$A$1:$DZU$10000,585,FALSE)</f>
        <v>#N/A</v>
      </c>
      <c r="G35" s="18" t="str">
        <f>VLOOKUP(A1,Data!$A$1:$DZU$10000,586,FALSE)</f>
        <v>#N/A</v>
      </c>
      <c r="H35" s="18" t="str">
        <f>VLOOKUP(A1,Data!$A$1:$DZU$10000,587,FALSE)</f>
        <v>#N/A</v>
      </c>
      <c r="I35" s="18" t="str">
        <f>VLOOKUP(A1,Data!$A$1:$DZU$10000,588,FALSE)</f>
        <v>#N/A</v>
      </c>
      <c r="J35" s="18" t="str">
        <f>VLOOKUP(A1,Data!$A$1:$DZU$10000,589,FALSE)</f>
        <v>#N/A</v>
      </c>
      <c r="K35" s="18" t="str">
        <f>VLOOKUP(A1,Data!$A$1:$DZU$10000,590,FALSE)</f>
        <v>#N/A</v>
      </c>
      <c r="L35" s="18" t="str">
        <f>VLOOKUP(A1,Data!$A$1:$DZU$10000,591,FALSE)</f>
        <v>#N/A</v>
      </c>
      <c r="M35" s="18" t="str">
        <f>VLOOKUP(A1,Data!$A$1:$DZU$10000,592,FALSE)</f>
        <v>#N/A</v>
      </c>
      <c r="N35" s="18" t="str">
        <f>VLOOKUP(A1,Data!$A$1:$DZU$10000,593,FALSE)</f>
        <v>#N/A</v>
      </c>
      <c r="O35" s="18" t="str">
        <f>VLOOKUP(A1,Data!$A$1:$DZU$10000,594,FALSE)</f>
        <v>#N/A</v>
      </c>
      <c r="P35" s="18" t="str">
        <f>VLOOKUP(A1,Data!$A$1:$DZU$10000,595,FALSE)</f>
        <v>#N/A</v>
      </c>
      <c r="Q35" s="18" t="str">
        <f>VLOOKUP(A1,Data!$A$1:$DZU$10000,596,FALSE)</f>
        <v>#N/A</v>
      </c>
    </row>
    <row r="36">
      <c r="A36" s="14"/>
      <c r="B36" s="6" t="str">
        <f>VLOOKUP(A1,Data!$A$1:$DZU$10000,598,FALSE)</f>
        <v>#N/A</v>
      </c>
      <c r="C36" s="8"/>
      <c r="D36" s="6" t="str">
        <f>VLOOKUP(A1,Data!$A$1:$DZU$10000,600,FALSE)</f>
        <v>#N/A</v>
      </c>
      <c r="E36" s="8"/>
      <c r="F36" s="6" t="str">
        <f>VLOOKUP(A1,Data!$A$1:$DZU$10000,602,FALSE)</f>
        <v>#N/A</v>
      </c>
      <c r="G36" s="8"/>
      <c r="H36" s="6" t="str">
        <f>VLOOKUP(A1,Data!$A$1:$DZU$10000,604,FALSE)</f>
        <v>#N/A</v>
      </c>
      <c r="I36" s="8"/>
      <c r="J36" s="6" t="str">
        <f>VLOOKUP(A1,Data!$A$1:$DZU$10000,606,FALSE)</f>
        <v>#N/A</v>
      </c>
      <c r="K36" s="8"/>
      <c r="L36" s="6" t="str">
        <f>VLOOKUP(A1,Data!$A$1:$DZU$10000,608,FALSE)</f>
        <v>#N/A</v>
      </c>
      <c r="M36" s="8"/>
      <c r="N36" s="6" t="str">
        <f>VLOOKUP(A1,Data!$A$1:$DZU$10000,610,FALSE)</f>
        <v>#N/A</v>
      </c>
      <c r="O36" s="8"/>
      <c r="P36" s="6" t="str">
        <f>VLOOKUP(A1,Data!$A$1:$DZU$10000,612,FALSE)</f>
        <v>#N/A</v>
      </c>
      <c r="Q36" s="8"/>
    </row>
    <row r="37">
      <c r="A37" s="17" t="str">
        <f>VLOOKUP(A1,Data!$A$1:$DZU$10000,614,FALSE)</f>
        <v>#N/A</v>
      </c>
      <c r="B37" s="18" t="str">
        <f>VLOOKUP(A1,Data!$A$1:$DZU$10000,615,FALSE)</f>
        <v>#N/A</v>
      </c>
      <c r="C37" s="18" t="str">
        <f>VLOOKUP(A1,Data!$A$1:$DZU$10000,616,FALSE)</f>
        <v>#N/A</v>
      </c>
      <c r="D37" s="18" t="str">
        <f>VLOOKUP(A1,Data!$A$1:$DZU$10000,617,FALSE)</f>
        <v>#N/A</v>
      </c>
      <c r="E37" s="18" t="str">
        <f>VLOOKUP(A1,Data!$A$1:$DZU$10000,618,FALSE)</f>
        <v>#N/A</v>
      </c>
      <c r="F37" s="18" t="str">
        <f>VLOOKUP(A1,Data!$A$1:$DZU$10000,619,FALSE)</f>
        <v>#N/A</v>
      </c>
      <c r="G37" s="18" t="str">
        <f>VLOOKUP(A1,Data!$A$1:$DZU$10000,620,FALSE)</f>
        <v>#N/A</v>
      </c>
      <c r="H37" s="18" t="str">
        <f>VLOOKUP(A1,Data!$A$1:$DZU$10000,621,FALSE)</f>
        <v>#N/A</v>
      </c>
      <c r="I37" s="18" t="str">
        <f>VLOOKUP(A1,Data!$A$1:$DZU$10000,622,FALSE)</f>
        <v>#N/A</v>
      </c>
      <c r="J37" s="18" t="str">
        <f>VLOOKUP(A1,Data!$A$1:$DZU$10000,623,FALSE)</f>
        <v>#N/A</v>
      </c>
      <c r="K37" s="18" t="str">
        <f>VLOOKUP(A1,Data!$A$1:$DZU$10000,624,FALSE)</f>
        <v>#N/A</v>
      </c>
      <c r="L37" s="18" t="str">
        <f>VLOOKUP(A1,Data!$A$1:$DZU$10000,625,FALSE)</f>
        <v>#N/A</v>
      </c>
      <c r="M37" s="18" t="str">
        <f>VLOOKUP(A1,Data!$A$1:$DZU$10000,626,FALSE)</f>
        <v>#N/A</v>
      </c>
      <c r="N37" s="18" t="str">
        <f>VLOOKUP(A1,Data!$A$1:$DZU$10000,627,FALSE)</f>
        <v>#N/A</v>
      </c>
      <c r="O37" s="18" t="str">
        <f>VLOOKUP(A1,Data!$A$1:$DZU$10000,628,FALSE)</f>
        <v>#N/A</v>
      </c>
      <c r="P37" s="18" t="str">
        <f>VLOOKUP(A1,Data!$A$1:$DZU$10000,629,FALSE)</f>
        <v>#N/A</v>
      </c>
      <c r="Q37" s="18" t="str">
        <f>VLOOKUP(A1,Data!$A$1:$DZU$10000,630,FALSE)</f>
        <v>#N/A</v>
      </c>
    </row>
    <row r="38">
      <c r="A38" s="14"/>
      <c r="B38" s="6" t="str">
        <f>VLOOKUP(A1,Data!$A$1:$DZU$10000,632,FALSE)</f>
        <v>#N/A</v>
      </c>
      <c r="C38" s="8"/>
      <c r="D38" s="6" t="str">
        <f>VLOOKUP(A1,Data!$A$1:$DZU$10000,634,FALSE)</f>
        <v>#N/A</v>
      </c>
      <c r="E38" s="8"/>
      <c r="F38" s="6" t="str">
        <f>VLOOKUP(A1,Data!$A$1:$DZU$10000,636,FALSE)</f>
        <v>#N/A</v>
      </c>
      <c r="G38" s="8"/>
      <c r="H38" s="6" t="str">
        <f>VLOOKUP(A1,Data!$A$1:$DZU$10000,638,FALSE)</f>
        <v>#N/A</v>
      </c>
      <c r="I38" s="8"/>
      <c r="J38" s="6" t="str">
        <f>VLOOKUP(A1,Data!$A$1:$DZU$10000,640,FALSE)</f>
        <v>#N/A</v>
      </c>
      <c r="K38" s="8"/>
      <c r="L38" s="6" t="str">
        <f>VLOOKUP(A1,Data!$A$1:$DZU$10000,642,FALSE)</f>
        <v>#N/A</v>
      </c>
      <c r="M38" s="8"/>
      <c r="N38" s="6" t="str">
        <f>VLOOKUP(A1,Data!$A$1:$DZU$10000,644,FALSE)</f>
        <v>#N/A</v>
      </c>
      <c r="O38" s="8"/>
      <c r="P38" s="6" t="str">
        <f>VLOOKUP(A1,Data!$A$1:$DZU$10000,646,FALSE)</f>
        <v>#N/A</v>
      </c>
      <c r="Q38" s="8"/>
    </row>
    <row r="39">
      <c r="A39" s="17" t="str">
        <f>VLOOKUP(A1,Data!$A$1:$DZU$10000,648,FALSE)</f>
        <v>#N/A</v>
      </c>
      <c r="B39" s="18" t="str">
        <f>VLOOKUP(A1,Data!$A$1:$DZU$10000,649,FALSE)</f>
        <v>#N/A</v>
      </c>
      <c r="C39" s="18" t="str">
        <f>VLOOKUP(A1,Data!$A$1:$DZU$10000,650,FALSE)</f>
        <v>#N/A</v>
      </c>
      <c r="D39" s="18" t="str">
        <f>VLOOKUP(A1,Data!$A$1:$DZU$10000,651,FALSE)</f>
        <v>#N/A</v>
      </c>
      <c r="E39" s="18" t="str">
        <f>VLOOKUP(A1,Data!$A$1:$DZU$10000,652,FALSE)</f>
        <v>#N/A</v>
      </c>
      <c r="F39" s="18" t="str">
        <f>VLOOKUP(A1,Data!$A$1:$DZU$10000,653,FALSE)</f>
        <v>#N/A</v>
      </c>
      <c r="G39" s="18" t="str">
        <f>VLOOKUP(A1,Data!$A$1:$DZU$10000,654,FALSE)</f>
        <v>#N/A</v>
      </c>
      <c r="H39" s="18" t="str">
        <f>VLOOKUP(A1,Data!$A$1:$DZU$10000,655,FALSE)</f>
        <v>#N/A</v>
      </c>
      <c r="I39" s="18" t="str">
        <f>VLOOKUP(A1,Data!$A$1:$DZU$10000,656,FALSE)</f>
        <v>#N/A</v>
      </c>
      <c r="J39" s="18" t="str">
        <f>VLOOKUP(A1,Data!$A$1:$DZU$10000,657,FALSE)</f>
        <v>#N/A</v>
      </c>
      <c r="K39" s="18" t="str">
        <f>VLOOKUP(A1,Data!$A$1:$DZU$10000,658,FALSE)</f>
        <v>#N/A</v>
      </c>
      <c r="L39" s="18" t="str">
        <f>VLOOKUP(A1,Data!$A$1:$DZU$10000,659,FALSE)</f>
        <v>#N/A</v>
      </c>
      <c r="M39" s="18" t="str">
        <f>VLOOKUP(A1,Data!$A$1:$DZU$10000,660,FALSE)</f>
        <v>#N/A</v>
      </c>
      <c r="N39" s="18" t="str">
        <f>VLOOKUP(A1,Data!$A$1:$DZU$10000,661,FALSE)</f>
        <v>#N/A</v>
      </c>
      <c r="O39" s="18" t="str">
        <f>VLOOKUP(A1,Data!$A$1:$DZU$10000,662,FALSE)</f>
        <v>#N/A</v>
      </c>
      <c r="P39" s="18" t="str">
        <f>VLOOKUP(A1,Data!$A$1:$DZU$10000,663,FALSE)</f>
        <v>#N/A</v>
      </c>
      <c r="Q39" s="18" t="str">
        <f>VLOOKUP(A1,Data!$A$1:$DZU$10000,664,FALSE)</f>
        <v>#N/A</v>
      </c>
    </row>
    <row r="40">
      <c r="A40" s="14"/>
      <c r="B40" s="6" t="str">
        <f>VLOOKUP(A1,Data!$A$1:$DZU$10000,666,FALSE)</f>
        <v>#N/A</v>
      </c>
      <c r="C40" s="8"/>
      <c r="D40" s="6" t="str">
        <f>VLOOKUP(A1,Data!$A$1:$DZU$10000,668,FALSE)</f>
        <v>#N/A</v>
      </c>
      <c r="E40" s="8"/>
      <c r="F40" s="6" t="str">
        <f>VLOOKUP(A1,Data!$A$1:$DZU$10000,670,FALSE)</f>
        <v>#N/A</v>
      </c>
      <c r="G40" s="8"/>
      <c r="H40" s="6" t="str">
        <f>VLOOKUP(A1,Data!$A$1:$DZU$10000,672,FALSE)</f>
        <v>#N/A</v>
      </c>
      <c r="I40" s="8"/>
      <c r="J40" s="6" t="str">
        <f>VLOOKUP(A1,Data!$A$1:$DZU$10000,674,FALSE)</f>
        <v>#N/A</v>
      </c>
      <c r="K40" s="8"/>
      <c r="L40" s="6" t="str">
        <f>VLOOKUP(A1,Data!$A$1:$DZU$10000,676,FALSE)</f>
        <v>#N/A</v>
      </c>
      <c r="M40" s="8"/>
      <c r="N40" s="6" t="str">
        <f>VLOOKUP(A1,Data!$A$1:$DZU$10000,678,FALSE)</f>
        <v>#N/A</v>
      </c>
      <c r="O40" s="8"/>
      <c r="P40" s="6" t="str">
        <f>VLOOKUP(A1,Data!$A$1:$DZU$10000,680,FALSE)</f>
        <v>#N/A</v>
      </c>
      <c r="Q40" s="8"/>
    </row>
    <row r="41">
      <c r="A41" s="19" t="str">
        <f>VLOOKUP(A1,Data!$A$1:$DZU$10000,682,FALSE)</f>
        <v>#N/A</v>
      </c>
      <c r="B41" s="18" t="str">
        <f>VLOOKUP(A1,Data!$A$1:$DZU$10000,683,FALSE)</f>
        <v>#N/A</v>
      </c>
      <c r="C41" s="18" t="str">
        <f>VLOOKUP(A1,Data!$A$1:$DZU$10000,684,FALSE)</f>
        <v>#N/A</v>
      </c>
      <c r="D41" s="18" t="str">
        <f>VLOOKUP(A1,Data!$A$1:$DZU$10000,685,FALSE)</f>
        <v>#N/A</v>
      </c>
      <c r="E41" s="18" t="str">
        <f>VLOOKUP(A1,Data!$A$1:$DZU$10000,686,FALSE)</f>
        <v>#N/A</v>
      </c>
      <c r="F41" s="18" t="str">
        <f>VLOOKUP(A1,Data!$A$1:$DZU$10000,687,FALSE)</f>
        <v>#N/A</v>
      </c>
      <c r="G41" s="18" t="str">
        <f>VLOOKUP(A1,Data!$A$1:$DZU$10000,688,FALSE)</f>
        <v>#N/A</v>
      </c>
      <c r="H41" s="18" t="str">
        <f>VLOOKUP(A1,Data!$A$1:$DZU$10000,689,FALSE)</f>
        <v>#N/A</v>
      </c>
      <c r="I41" s="18" t="str">
        <f>VLOOKUP(A1,Data!$A$1:$DZU$10000,690,FALSE)</f>
        <v>#N/A</v>
      </c>
      <c r="J41" s="18" t="str">
        <f>VLOOKUP(A1,Data!$A$1:$DZU$10000,691,FALSE)</f>
        <v>#N/A</v>
      </c>
      <c r="K41" s="18" t="str">
        <f>VLOOKUP(A1,Data!$A$1:$DZU$10000,692,FALSE)</f>
        <v>#N/A</v>
      </c>
      <c r="L41" s="18" t="str">
        <f>VLOOKUP(A1,Data!$A$1:$DZU$10000,693,FALSE)</f>
        <v>#N/A</v>
      </c>
      <c r="M41" s="18" t="str">
        <f>VLOOKUP(A1,Data!$A$1:$DZU$10000,694,FALSE)</f>
        <v>#N/A</v>
      </c>
      <c r="N41" s="18" t="str">
        <f>VLOOKUP(A1,Data!$A$1:$DZU$10000,695,FALSE)</f>
        <v>#N/A</v>
      </c>
      <c r="O41" s="18" t="str">
        <f>VLOOKUP(A1,Data!$A$1:$DZU$10000,696,FALSE)</f>
        <v>#N/A</v>
      </c>
      <c r="P41" s="20" t="str">
        <f>VLOOKUP(A1,Data!$A$1:$DZU$10000,697,FALSE)</f>
        <v>#N/A</v>
      </c>
      <c r="Q41" s="20" t="str">
        <f>VLOOKUP(A1,Data!$A$1:$DZU$10000,698,FALSE)</f>
        <v>#N/A</v>
      </c>
    </row>
    <row r="42">
      <c r="A42" s="21"/>
      <c r="B42" s="22" t="str">
        <f>VLOOKUP(A1,Data!$A$1:$DZU$10000,700,FALSE)</f>
        <v>#N/A</v>
      </c>
      <c r="C42" s="13"/>
      <c r="D42" s="22" t="str">
        <f>VLOOKUP(A1,Data!$A$1:$DZU$10000,702,FALSE)</f>
        <v>#N/A</v>
      </c>
      <c r="E42" s="13"/>
      <c r="F42" s="22" t="str">
        <f>VLOOKUP(A1,Data!$A$1:$DZU$10000,704,FALSE)</f>
        <v>#N/A</v>
      </c>
      <c r="G42" s="13"/>
      <c r="H42" s="22" t="str">
        <f>VLOOKUP(A1,Data!$A$1:$DZU$10000,706,FALSE)</f>
        <v>#N/A</v>
      </c>
      <c r="I42" s="13"/>
      <c r="J42" s="22" t="str">
        <f>VLOOKUP(A1,Data!$A$1:$DZU$10000,708,FALSE)</f>
        <v>#N/A</v>
      </c>
      <c r="K42" s="13"/>
      <c r="L42" s="22" t="str">
        <f>VLOOKUP(A1,Data!$A$1:$DZU$10000,710,FALSE)</f>
        <v>#N/A</v>
      </c>
      <c r="M42" s="13"/>
      <c r="N42" s="22" t="str">
        <f>VLOOKUP(A1,Data!$A$1:$DZU$10000,712,FALSE)</f>
        <v>#N/A</v>
      </c>
      <c r="O42" s="13"/>
      <c r="P42" s="18" t="str">
        <f>VLOOKUP(A1,Data!$A$1:$DZU$10000,714,FALSE)</f>
        <v>#N/A</v>
      </c>
      <c r="Q42" s="18" t="str">
        <f>VLOOKUP(A1,Data!$A$1:$DZU$10000,715,FALSE)</f>
        <v>#N/A</v>
      </c>
    </row>
    <row r="43">
      <c r="A43" s="14"/>
      <c r="B43" s="15"/>
      <c r="C43" s="16"/>
      <c r="D43" s="15"/>
      <c r="E43" s="16"/>
      <c r="F43" s="15"/>
      <c r="G43" s="16"/>
      <c r="H43" s="15"/>
      <c r="I43" s="16"/>
      <c r="J43" s="15"/>
      <c r="K43" s="16"/>
      <c r="L43" s="15"/>
      <c r="M43" s="16"/>
      <c r="N43" s="15"/>
      <c r="O43" s="16"/>
      <c r="P43" s="6" t="str">
        <f>VLOOKUP(A1,Data!$A$1:$DZU$10000,731,FALSE)</f>
        <v>#N/A</v>
      </c>
      <c r="Q43" s="8"/>
    </row>
    <row r="44">
      <c r="A44" s="29" t="str">
        <f>VLOOKUP(A1,Data!$A$1:$DZU$10000,733,FALSE)</f>
        <v>#N/A</v>
      </c>
      <c r="B44" s="29" t="str">
        <f>VLOOKUP(A1,Data!$A$1:$DZU$10000,734,FALSE)</f>
        <v>#N/A</v>
      </c>
      <c r="C44" s="29" t="str">
        <f>VLOOKUP(A1,Data!$A$1:$DZU$10000,735,FALSE)</f>
        <v>#N/A</v>
      </c>
      <c r="D44" s="29" t="str">
        <f>VLOOKUP(A1,Data!$A$1:$DZU$10000,736,FALSE)</f>
        <v>#N/A</v>
      </c>
      <c r="E44" s="29" t="str">
        <f>VLOOKUP(A1,Data!$A$1:$DZU$10000,737,FALSE)</f>
        <v>#N/A</v>
      </c>
      <c r="F44" s="29" t="str">
        <f>VLOOKUP(A1,Data!$A$1:$DZU$10000,738,FALSE)</f>
        <v>#N/A</v>
      </c>
      <c r="G44" s="29" t="str">
        <f>VLOOKUP(A1,Data!$A$1:$DZU$10000,739,FALSE)</f>
        <v>#N/A</v>
      </c>
      <c r="H44" s="29" t="str">
        <f>VLOOKUP(A1,Data!$A$1:$DZU$10000,740,FALSE)</f>
        <v>#N/A</v>
      </c>
      <c r="I44" s="29" t="str">
        <f>VLOOKUP(A1,Data!$A$1:$DZU$10000,741,FALSE)</f>
        <v>#N/A</v>
      </c>
      <c r="J44" s="29" t="str">
        <f>VLOOKUP(A1,Data!$A$1:$DZU$10000,742,FALSE)</f>
        <v>#N/A</v>
      </c>
      <c r="K44" s="29" t="str">
        <f>VLOOKUP(A1,Data!$A$1:$DZU$10000,743,FALSE)</f>
        <v>#N/A</v>
      </c>
      <c r="L44" s="29" t="str">
        <f>VLOOKUP(A1,Data!$A$1:$DZU$10000,744,FALSE)</f>
        <v>#N/A</v>
      </c>
      <c r="M44" s="29" t="str">
        <f>VLOOKUP(A1,Data!$A$1:$DZU$10000,745,FALSE)</f>
        <v>#N/A</v>
      </c>
      <c r="N44" s="29" t="str">
        <f>VLOOKUP(A1,Data!$A$1:$DZU$10000,746,FALSE)</f>
        <v>#N/A</v>
      </c>
      <c r="O44" s="29" t="str">
        <f>VLOOKUP(A1,Data!$A$1:$DZU$10000,747,FALSE)</f>
        <v>#N/A</v>
      </c>
      <c r="P44" s="29" t="str">
        <f>VLOOKUP(A1,Data!$A$1:$DZU$10000,748,FALSE)</f>
        <v>#N/A</v>
      </c>
      <c r="Q44" s="29" t="str">
        <f>VLOOKUP(A1,Data!$A$1:$DZU$10000,749,FALSE)</f>
        <v>#N/A</v>
      </c>
    </row>
    <row r="45">
      <c r="A45" s="23" t="str">
        <f>VLOOKUP(A1,Data!$A$1:$DZU$10000,750,FALSE)</f>
        <v>#N/A</v>
      </c>
      <c r="B45" s="9" t="str">
        <f>VLOOKUP(A1,Data!$A$1:$DZU$10000,751,FALSE)</f>
        <v>#N/A</v>
      </c>
      <c r="E45" s="5" t="str">
        <f>VLOOKUP(A1,Data!$A$1:$DZU$10000,754,FALSE)</f>
        <v>#N/A</v>
      </c>
      <c r="F45" s="9" t="str">
        <f>VLOOKUP(A1,Data!$A$1:$DZU$10000,755,FALSE)</f>
        <v>#N/A</v>
      </c>
      <c r="I45" s="5" t="str">
        <f>VLOOKUP(A1,Data!$A$1:$DZU$10000,758,FALSE)</f>
        <v>#N/A</v>
      </c>
      <c r="J45" s="9" t="str">
        <f>VLOOKUP(A1,Data!$A$1:$DZU$10000,759,FALSE)</f>
        <v>#N/A</v>
      </c>
      <c r="M45" s="5" t="str">
        <f>VLOOKUP(A1,Data!$A$1:$DZU$10000,762,FALSE)</f>
        <v>#N/A</v>
      </c>
      <c r="O45" s="9" t="str">
        <f>VLOOKUP(A1,Data!$A$1:$DZU$10000,764,FALSE)</f>
        <v>#N/A</v>
      </c>
    </row>
    <row r="46">
      <c r="A46" s="29" t="str">
        <f>VLOOKUP(A1,Data!$A$1:$DZU$10000,767,FALSE)</f>
        <v>#N/A</v>
      </c>
      <c r="B46" s="29" t="str">
        <f>VLOOKUP(A1,Data!$A$1:$DZU$10000,768,FALSE)</f>
        <v>#N/A</v>
      </c>
      <c r="C46" s="29" t="str">
        <f>VLOOKUP(A1,Data!$A$1:$DZU$10000,769,FALSE)</f>
        <v>#N/A</v>
      </c>
      <c r="D46" s="29" t="str">
        <f>VLOOKUP(A1,Data!$A$1:$DZU$10000,770,FALSE)</f>
        <v>#N/A</v>
      </c>
      <c r="E46" s="29" t="str">
        <f>VLOOKUP(A1,Data!$A$1:$DZU$10000,771,FALSE)</f>
        <v>#N/A</v>
      </c>
      <c r="F46" s="29" t="str">
        <f>VLOOKUP(A1,Data!$A$1:$DZU$10000,772,FALSE)</f>
        <v>#N/A</v>
      </c>
      <c r="G46" s="29" t="str">
        <f>VLOOKUP(A1,Data!$A$1:$DZU$10000,773,FALSE)</f>
        <v>#N/A</v>
      </c>
      <c r="H46" s="29" t="str">
        <f>VLOOKUP(A1,Data!$A$1:$DZU$10000,774,FALSE)</f>
        <v>#N/A</v>
      </c>
      <c r="I46" s="29" t="str">
        <f>VLOOKUP(A1,Data!$A$1:$DZU$10000,775,FALSE)</f>
        <v>#N/A</v>
      </c>
      <c r="J46" s="29" t="str">
        <f>VLOOKUP(A1,Data!$A$1:$DZU$10000,776,FALSE)</f>
        <v>#N/A</v>
      </c>
      <c r="K46" s="29" t="str">
        <f>VLOOKUP(A1,Data!$A$1:$DZU$10000,777,FALSE)</f>
        <v>#N/A</v>
      </c>
      <c r="L46" s="29" t="str">
        <f>VLOOKUP(A1,Data!$A$1:$DZU$10000,778,FALSE)</f>
        <v>#N/A</v>
      </c>
      <c r="M46" s="29" t="str">
        <f>VLOOKUP(A1,Data!$A$1:$DZU$10000,779,FALSE)</f>
        <v>#N/A</v>
      </c>
      <c r="N46" s="29" t="str">
        <f>VLOOKUP(A1,Data!$A$1:$DZU$10000,780,FALSE)</f>
        <v>#N/A</v>
      </c>
      <c r="O46" s="29" t="str">
        <f>VLOOKUP(A1,Data!$A$1:$DZU$10000,781,FALSE)</f>
        <v>#N/A</v>
      </c>
      <c r="P46" s="29" t="str">
        <f>VLOOKUP(A1,Data!$A$1:$DZU$10000,782,FALSE)</f>
        <v>#N/A</v>
      </c>
      <c r="Q46" s="29" t="str">
        <f>VLOOKUP(A1,Data!$A$1:$DZU$10000,783,FALSE)</f>
        <v>#N/A</v>
      </c>
    </row>
    <row r="47">
      <c r="A47" s="29" t="str">
        <f>VLOOKUP(A1,Data!$A$1:$DZU$10000,784,FALSE)</f>
        <v>#N/A</v>
      </c>
      <c r="B47" s="29" t="str">
        <f>VLOOKUP(A1,Data!$A$1:$DZU$10000,785,FALSE)</f>
        <v>#N/A</v>
      </c>
      <c r="C47" s="29" t="str">
        <f>VLOOKUP(A1,Data!$A$1:$DZU$10000,786,FALSE)</f>
        <v>#N/A</v>
      </c>
      <c r="D47" s="29" t="str">
        <f>VLOOKUP(A1,Data!$A$1:$DZU$10000,787,FALSE)</f>
        <v>#N/A</v>
      </c>
      <c r="E47" s="29" t="str">
        <f>VLOOKUP(A1,Data!$A$1:$DZU$10000,788,FALSE)</f>
        <v>#N/A</v>
      </c>
      <c r="F47" s="29" t="str">
        <f>VLOOKUP(A1,Data!$A$1:$DZU$10000,789,FALSE)</f>
        <v>#N/A</v>
      </c>
      <c r="G47" s="29" t="str">
        <f>VLOOKUP(A1,Data!$A$1:$DZU$10000,790,FALSE)</f>
        <v>#N/A</v>
      </c>
      <c r="H47" s="29" t="str">
        <f>VLOOKUP(A1,Data!$A$1:$DZU$10000,791,FALSE)</f>
        <v>#N/A</v>
      </c>
      <c r="I47" s="29" t="str">
        <f>VLOOKUP(A1,Data!$A$1:$DZU$10000,792,FALSE)</f>
        <v>#N/A</v>
      </c>
      <c r="J47" s="29" t="str">
        <f>VLOOKUP(A1,Data!$A$1:$DZU$10000,793,FALSE)</f>
        <v>#N/A</v>
      </c>
      <c r="K47" s="29" t="str">
        <f>VLOOKUP(A1,Data!$A$1:$DZU$10000,794,FALSE)</f>
        <v>#N/A</v>
      </c>
      <c r="L47" s="29" t="str">
        <f>VLOOKUP(A1,Data!$A$1:$DZU$10000,795,FALSE)</f>
        <v>#N/A</v>
      </c>
      <c r="M47" s="29" t="str">
        <f>VLOOKUP(A1,Data!$A$1:$DZU$10000,796,FALSE)</f>
        <v>#N/A</v>
      </c>
      <c r="N47" s="29" t="str">
        <f>VLOOKUP(A1,Data!$A$1:$DZU$10000,797,FALSE)</f>
        <v>#N/A</v>
      </c>
      <c r="O47" s="29" t="str">
        <f>VLOOKUP(A1,Data!$A$1:$DZU$10000,798,FALSE)</f>
        <v>#N/A</v>
      </c>
      <c r="P47" s="29" t="str">
        <f>VLOOKUP(A1,Data!$A$1:$DZU$10000,799,FALSE)</f>
        <v>#N/A</v>
      </c>
      <c r="Q47" s="29" t="str">
        <f>VLOOKUP(A1,Data!$A$1:$DZU$10000,800,FALSE)</f>
        <v>#N/A</v>
      </c>
    </row>
    <row r="48">
      <c r="A48" s="29" t="str">
        <f>VLOOKUP(A1,Data!$A$1:$DZU$10000,801,FALSE)</f>
        <v>#N/A</v>
      </c>
      <c r="B48" s="29" t="str">
        <f>VLOOKUP(A1,Data!$A$1:$DZU$10000,802,FALSE)</f>
        <v>#N/A</v>
      </c>
      <c r="C48" s="29" t="str">
        <f>VLOOKUP(A1,Data!$A$1:$DZU$10000,803,FALSE)</f>
        <v>#N/A</v>
      </c>
      <c r="D48" s="29" t="str">
        <f>VLOOKUP(A1,Data!$A$1:$DZU$10000,804,FALSE)</f>
        <v>#N/A</v>
      </c>
      <c r="E48" s="29" t="str">
        <f>VLOOKUP(A1,Data!$A$1:$DZU$10000,805,FALSE)</f>
        <v>#N/A</v>
      </c>
      <c r="F48" s="29" t="str">
        <f>VLOOKUP(A1,Data!$A$1:$DZU$10000,806,FALSE)</f>
        <v>#N/A</v>
      </c>
      <c r="G48" s="29" t="str">
        <f>VLOOKUP(A1,Data!$A$1:$DZU$10000,807,FALSE)</f>
        <v>#N/A</v>
      </c>
      <c r="H48" s="29" t="str">
        <f>VLOOKUP(A1,Data!$A$1:$DZU$10000,808,FALSE)</f>
        <v>#N/A</v>
      </c>
      <c r="I48" s="29" t="str">
        <f>VLOOKUP(A1,Data!$A$1:$DZU$10000,809,FALSE)</f>
        <v>#N/A</v>
      </c>
      <c r="J48" s="29" t="str">
        <f>VLOOKUP(A1,Data!$A$1:$DZU$10000,810,FALSE)</f>
        <v>#N/A</v>
      </c>
      <c r="K48" s="29" t="str">
        <f>VLOOKUP(A1,Data!$A$1:$DZU$10000,811,FALSE)</f>
        <v>#N/A</v>
      </c>
      <c r="L48" s="29" t="str">
        <f>VLOOKUP(A1,Data!$A$1:$DZU$10000,812,FALSE)</f>
        <v>#N/A</v>
      </c>
      <c r="M48" s="29" t="str">
        <f>VLOOKUP(A1,Data!$A$1:$DZU$10000,813,FALSE)</f>
        <v>#N/A</v>
      </c>
      <c r="N48" s="29" t="str">
        <f>VLOOKUP(A1,Data!$A$1:$DZU$10000,814,FALSE)</f>
        <v>#N/A</v>
      </c>
      <c r="O48" s="29" t="str">
        <f>VLOOKUP(A1,Data!$A$1:$DZU$10000,815,FALSE)</f>
        <v>#N/A</v>
      </c>
      <c r="P48" s="29" t="str">
        <f>VLOOKUP(A1,Data!$A$1:$DZU$10000,816,FALSE)</f>
        <v>#N/A</v>
      </c>
      <c r="Q48" s="29" t="str">
        <f>VLOOKUP(A1,Data!$A$1:$DZU$10000,817,FALSE)</f>
        <v>#N/A</v>
      </c>
    </row>
  </sheetData>
  <mergeCells count="185">
    <mergeCell ref="A33:A34"/>
    <mergeCell ref="A25:A26"/>
    <mergeCell ref="A27:A28"/>
    <mergeCell ref="A31:A32"/>
    <mergeCell ref="B26:C26"/>
    <mergeCell ref="D26:E26"/>
    <mergeCell ref="F26:G26"/>
    <mergeCell ref="H26:I26"/>
    <mergeCell ref="J26:K26"/>
    <mergeCell ref="L26:M26"/>
    <mergeCell ref="N28:O28"/>
    <mergeCell ref="P28:Q28"/>
    <mergeCell ref="N32:O32"/>
    <mergeCell ref="P32:Q32"/>
    <mergeCell ref="B28:C28"/>
    <mergeCell ref="D28:E28"/>
    <mergeCell ref="B32:C32"/>
    <mergeCell ref="D32:E32"/>
    <mergeCell ref="F32:G32"/>
    <mergeCell ref="H32:I32"/>
    <mergeCell ref="J32:K32"/>
    <mergeCell ref="L32:M32"/>
    <mergeCell ref="F28:G28"/>
    <mergeCell ref="H28:I28"/>
    <mergeCell ref="J30:K30"/>
    <mergeCell ref="L30:M30"/>
    <mergeCell ref="J28:K28"/>
    <mergeCell ref="L28:M28"/>
    <mergeCell ref="N30:O30"/>
    <mergeCell ref="P30:Q30"/>
    <mergeCell ref="D30:E30"/>
    <mergeCell ref="F30:G30"/>
    <mergeCell ref="H30:I30"/>
    <mergeCell ref="A37:A38"/>
    <mergeCell ref="B38:C38"/>
    <mergeCell ref="D38:E38"/>
    <mergeCell ref="F38:G38"/>
    <mergeCell ref="H38:I38"/>
    <mergeCell ref="A39:A40"/>
    <mergeCell ref="B40:C40"/>
    <mergeCell ref="H40:I40"/>
    <mergeCell ref="N42:O43"/>
    <mergeCell ref="P43:Q43"/>
    <mergeCell ref="J42:K43"/>
    <mergeCell ref="L42:M43"/>
    <mergeCell ref="B45:D45"/>
    <mergeCell ref="F45:H45"/>
    <mergeCell ref="J45:L45"/>
    <mergeCell ref="M45:N45"/>
    <mergeCell ref="O45:Q45"/>
    <mergeCell ref="D40:E40"/>
    <mergeCell ref="F40:G40"/>
    <mergeCell ref="A41:A43"/>
    <mergeCell ref="B42:C43"/>
    <mergeCell ref="D42:E43"/>
    <mergeCell ref="F42:G43"/>
    <mergeCell ref="H42:I43"/>
    <mergeCell ref="A13:A14"/>
    <mergeCell ref="A19:A20"/>
    <mergeCell ref="A23:A24"/>
    <mergeCell ref="B24:C24"/>
    <mergeCell ref="A29:A30"/>
    <mergeCell ref="B30:C30"/>
    <mergeCell ref="L8:M8"/>
    <mergeCell ref="N8:O8"/>
    <mergeCell ref="P14:Q14"/>
    <mergeCell ref="L10:M10"/>
    <mergeCell ref="N10:O10"/>
    <mergeCell ref="P10:Q10"/>
    <mergeCell ref="P12:Q12"/>
    <mergeCell ref="F34:G34"/>
    <mergeCell ref="H34:I34"/>
    <mergeCell ref="A35:A36"/>
    <mergeCell ref="B36:C36"/>
    <mergeCell ref="D36:E36"/>
    <mergeCell ref="F36:G36"/>
    <mergeCell ref="H36:I36"/>
    <mergeCell ref="B3:G3"/>
    <mergeCell ref="B4:G4"/>
    <mergeCell ref="H3:I3"/>
    <mergeCell ref="J3:Q3"/>
    <mergeCell ref="J4:M4"/>
    <mergeCell ref="O4:Q4"/>
    <mergeCell ref="B6:G6"/>
    <mergeCell ref="B7:C7"/>
    <mergeCell ref="B2:L2"/>
    <mergeCell ref="J5:M5"/>
    <mergeCell ref="J6:M6"/>
    <mergeCell ref="L7:M7"/>
    <mergeCell ref="N7:O7"/>
    <mergeCell ref="P7:Q8"/>
    <mergeCell ref="B5:G5"/>
    <mergeCell ref="B8:C8"/>
    <mergeCell ref="D7:E7"/>
    <mergeCell ref="A7:A8"/>
    <mergeCell ref="A9:A10"/>
    <mergeCell ref="B10:C10"/>
    <mergeCell ref="D10:E10"/>
    <mergeCell ref="F10:G10"/>
    <mergeCell ref="H10:I10"/>
    <mergeCell ref="J10:K10"/>
    <mergeCell ref="J7:K7"/>
    <mergeCell ref="D8:E8"/>
    <mergeCell ref="F8:G8"/>
    <mergeCell ref="J8:K8"/>
    <mergeCell ref="F7:G7"/>
    <mergeCell ref="H7:I7"/>
    <mergeCell ref="H8:I8"/>
    <mergeCell ref="J34:K34"/>
    <mergeCell ref="L34:M34"/>
    <mergeCell ref="N36:O36"/>
    <mergeCell ref="P36:Q36"/>
    <mergeCell ref="J36:K36"/>
    <mergeCell ref="L36:M36"/>
    <mergeCell ref="P38:Q38"/>
    <mergeCell ref="N38:O38"/>
    <mergeCell ref="J38:K38"/>
    <mergeCell ref="L38:M38"/>
    <mergeCell ref="N40:O40"/>
    <mergeCell ref="P40:Q40"/>
    <mergeCell ref="J40:K40"/>
    <mergeCell ref="L40:M40"/>
    <mergeCell ref="J14:K14"/>
    <mergeCell ref="J16:K16"/>
    <mergeCell ref="L16:M16"/>
    <mergeCell ref="N16:O16"/>
    <mergeCell ref="L14:M14"/>
    <mergeCell ref="B14:C14"/>
    <mergeCell ref="D14:E14"/>
    <mergeCell ref="A15:A16"/>
    <mergeCell ref="B16:C16"/>
    <mergeCell ref="D16:E16"/>
    <mergeCell ref="F16:G16"/>
    <mergeCell ref="N14:O14"/>
    <mergeCell ref="N18:O18"/>
    <mergeCell ref="A17:A18"/>
    <mergeCell ref="B18:C18"/>
    <mergeCell ref="L12:M12"/>
    <mergeCell ref="N12:O12"/>
    <mergeCell ref="A11:A12"/>
    <mergeCell ref="B12:C12"/>
    <mergeCell ref="D12:E12"/>
    <mergeCell ref="F12:G12"/>
    <mergeCell ref="H12:I12"/>
    <mergeCell ref="J12:K12"/>
    <mergeCell ref="F14:G14"/>
    <mergeCell ref="H14:I14"/>
    <mergeCell ref="D18:E18"/>
    <mergeCell ref="F18:G18"/>
    <mergeCell ref="H18:I18"/>
    <mergeCell ref="J18:K18"/>
    <mergeCell ref="L18:M18"/>
    <mergeCell ref="B20:C20"/>
    <mergeCell ref="D20:E20"/>
    <mergeCell ref="F20:G20"/>
    <mergeCell ref="H20:I20"/>
    <mergeCell ref="J20:K20"/>
    <mergeCell ref="L20:M20"/>
    <mergeCell ref="N22:O22"/>
    <mergeCell ref="P22:Q22"/>
    <mergeCell ref="A21:A22"/>
    <mergeCell ref="B22:C22"/>
    <mergeCell ref="D22:E22"/>
    <mergeCell ref="F22:G22"/>
    <mergeCell ref="H22:I22"/>
    <mergeCell ref="J22:K22"/>
    <mergeCell ref="N24:O24"/>
    <mergeCell ref="N26:O26"/>
    <mergeCell ref="L22:M22"/>
    <mergeCell ref="P24:Q24"/>
    <mergeCell ref="D24:E24"/>
    <mergeCell ref="F24:G24"/>
    <mergeCell ref="H24:I24"/>
    <mergeCell ref="J24:K24"/>
    <mergeCell ref="L24:M24"/>
    <mergeCell ref="P18:Q18"/>
    <mergeCell ref="N20:O20"/>
    <mergeCell ref="P20:Q20"/>
    <mergeCell ref="N34:O34"/>
    <mergeCell ref="P34:Q34"/>
    <mergeCell ref="B34:C34"/>
    <mergeCell ref="D34:E34"/>
    <mergeCell ref="P16:Q16"/>
    <mergeCell ref="H16:I16"/>
    <mergeCell ref="P26:Q26"/>
  </mergeCells>
  <dataValidations>
    <dataValidation type="list" allowBlank="1" showErrorMessage="1" sqref="B4">
      <formula1>Lists!$A$1:$A$20002</formula1>
    </dataValidation>
    <dataValidation type="list" allowBlank="1" showErrorMessage="1" sqref="B6">
      <formula1>Lists!$E$1:$E$20002</formula1>
    </dataValidation>
    <dataValidation type="list" allowBlank="1" showErrorMessage="1" sqref="B2">
      <formula1>Data!$A:$A</formula1>
    </dataValidation>
    <dataValidation type="list" allowBlank="1" showErrorMessage="1" sqref="A9 A11 A13 A15 A17 A19 A21 A23 A25 A27 A29 A31 A33 A35 A37 A39">
      <formula1>Lists!$F$1:$F$20002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30" t="s">
        <v>31</v>
      </c>
    </row>
    <row r="3">
      <c r="A3" s="1" t="s">
        <v>32</v>
      </c>
      <c r="B3" s="31">
        <f>TODAY()</f>
        <v>45747</v>
      </c>
    </row>
    <row r="7">
      <c r="C7" s="1" t="s">
        <v>33</v>
      </c>
      <c r="D7" s="29">
        <f t="shared" ref="D7:J7" si="1">SUM(D9:D1000)</f>
        <v>0</v>
      </c>
      <c r="E7" s="29">
        <f t="shared" si="1"/>
        <v>0</v>
      </c>
      <c r="F7" s="29">
        <f t="shared" si="1"/>
        <v>0</v>
      </c>
      <c r="G7" s="29">
        <f t="shared" si="1"/>
        <v>0</v>
      </c>
      <c r="H7" s="29">
        <f t="shared" si="1"/>
        <v>0</v>
      </c>
      <c r="I7" s="29">
        <f t="shared" si="1"/>
        <v>0</v>
      </c>
      <c r="J7" s="29">
        <f t="shared" si="1"/>
        <v>0</v>
      </c>
    </row>
  </sheetData>
  <autoFilter ref="$A$9:$O$1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/>
      <c r="B1" s="33" t="str">
        <f>View_Print!M1</f>
        <v>Update 1</v>
      </c>
      <c r="C1" s="33" t="str">
        <f>View_Print!N1</f>
        <v>Update 2</v>
      </c>
      <c r="D1" s="33" t="str">
        <f>View_Print!O1</f>
        <v>Update 3</v>
      </c>
      <c r="E1" s="32" t="str">
        <f>Input!A1</f>
        <v>BEGINNING DATE</v>
      </c>
      <c r="F1" s="32" t="str">
        <f>Input!B1</f>
        <v>EMPLOYEE NAME</v>
      </c>
      <c r="G1" s="32" t="str">
        <f>Input!C1</f>
        <v>RATE</v>
      </c>
      <c r="H1" s="32" t="str">
        <f>Input!D1</f>
        <v>TOTAL HOURS</v>
      </c>
      <c r="I1" s="32" t="str">
        <f>Input!E1</f>
        <v>OT</v>
      </c>
      <c r="J1" s="32" t="str">
        <f>Input!F1</f>
        <v>DT</v>
      </c>
      <c r="K1" s="32" t="str">
        <f>Input!G1</f>
        <v>Regular</v>
      </c>
      <c r="L1" s="32" t="str">
        <f>Input!H1</f>
        <v>OT</v>
      </c>
      <c r="M1" s="34" t="str">
        <f>Input!I1</f>
        <v>DT</v>
      </c>
      <c r="N1" s="34" t="str">
        <f>Input!J1</f>
        <v>GROSS</v>
      </c>
      <c r="O1" s="34" t="str">
        <f>Input!K1</f>
        <v>Log 11</v>
      </c>
      <c r="P1" s="34" t="str">
        <f>Input!L1</f>
        <v>Log 12</v>
      </c>
      <c r="Q1" s="34"/>
    </row>
    <row r="2">
      <c r="A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>
      <c r="A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>
      <c r="A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5">
      <c r="A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</row>
    <row r="6">
      <c r="A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>
      <c r="A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</row>
    <row r="8">
      <c r="A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</row>
    <row r="9">
      <c r="A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0">
      <c r="A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</row>
    <row r="11">
      <c r="A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>
      <c r="A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</row>
    <row r="13">
      <c r="A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</row>
    <row r="14">
      <c r="A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>
      <c r="A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>
      <c r="A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7">
      <c r="A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>
      <c r="A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</row>
    <row r="19">
      <c r="A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0">
      <c r="A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</row>
    <row r="21">
      <c r="A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</row>
    <row r="22">
      <c r="A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</row>
    <row r="23">
      <c r="A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4">
      <c r="A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</row>
    <row r="25">
      <c r="A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</row>
    <row r="26">
      <c r="A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</row>
    <row r="27">
      <c r="A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>
      <c r="A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</row>
    <row r="29">
      <c r="A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>
      <c r="A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</row>
    <row r="31">
      <c r="A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</row>
    <row r="32">
      <c r="A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</row>
    <row r="33">
      <c r="A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</row>
    <row r="34">
      <c r="A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</row>
    <row r="35">
      <c r="A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</row>
    <row r="36">
      <c r="A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</row>
    <row r="37">
      <c r="A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>
      <c r="A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</row>
    <row r="39">
      <c r="A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</row>
    <row r="40">
      <c r="A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</row>
    <row r="41">
      <c r="A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</row>
    <row r="42">
      <c r="A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</row>
    <row r="43">
      <c r="A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</row>
    <row r="44">
      <c r="A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</row>
    <row r="45">
      <c r="A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</row>
    <row r="46">
      <c r="A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</row>
    <row r="47">
      <c r="A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</row>
    <row r="48">
      <c r="A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</row>
    <row r="49">
      <c r="A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</row>
    <row r="50">
      <c r="A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</row>
    <row r="51">
      <c r="A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</row>
    <row r="52">
      <c r="A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</row>
    <row r="53">
      <c r="A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</row>
    <row r="54">
      <c r="A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</row>
    <row r="55">
      <c r="A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</row>
    <row r="56">
      <c r="A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</row>
    <row r="57">
      <c r="A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</row>
    <row r="58">
      <c r="A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59">
      <c r="A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</row>
    <row r="60">
      <c r="A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</row>
    <row r="61">
      <c r="A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</row>
    <row r="62">
      <c r="A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</row>
    <row r="63">
      <c r="A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</row>
    <row r="64">
      <c r="A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</row>
    <row r="65">
      <c r="A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</row>
    <row r="66">
      <c r="A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7">
      <c r="A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</row>
    <row r="68">
      <c r="A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</row>
    <row r="69">
      <c r="A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</row>
    <row r="70">
      <c r="A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>
      <c r="A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</row>
    <row r="72">
      <c r="A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</row>
    <row r="73">
      <c r="A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</row>
    <row r="74">
      <c r="A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</row>
    <row r="75">
      <c r="A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</row>
    <row r="76">
      <c r="A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</row>
    <row r="77">
      <c r="A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</row>
    <row r="78">
      <c r="A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</row>
    <row r="79">
      <c r="A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</row>
    <row r="80">
      <c r="A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</row>
    <row r="81">
      <c r="A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2">
      <c r="A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</row>
    <row r="83">
      <c r="A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</row>
    <row r="84">
      <c r="A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</row>
    <row r="85">
      <c r="A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</row>
    <row r="86">
      <c r="A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</row>
    <row r="87">
      <c r="A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</row>
    <row r="88">
      <c r="A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</row>
    <row r="89">
      <c r="A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</row>
    <row r="90">
      <c r="A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</row>
    <row r="91">
      <c r="A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</row>
    <row r="92">
      <c r="A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</row>
    <row r="93">
      <c r="A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</row>
    <row r="94">
      <c r="A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</row>
    <row r="95">
      <c r="A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</row>
    <row r="96">
      <c r="A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</row>
    <row r="97">
      <c r="A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</row>
    <row r="98">
      <c r="A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</row>
    <row r="99">
      <c r="A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</row>
    <row r="100">
      <c r="A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</row>
    <row r="101">
      <c r="A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</row>
    <row r="102">
      <c r="A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</row>
    <row r="103">
      <c r="A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>
      <c r="A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</row>
    <row r="105">
      <c r="A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</row>
    <row r="106">
      <c r="A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</row>
    <row r="107">
      <c r="A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</row>
    <row r="108">
      <c r="A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</row>
    <row r="109">
      <c r="A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</row>
    <row r="110">
      <c r="A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</row>
    <row r="111">
      <c r="A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</row>
    <row r="112">
      <c r="A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</row>
    <row r="113">
      <c r="A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</row>
    <row r="114">
      <c r="A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</row>
    <row r="115">
      <c r="A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</row>
    <row r="116">
      <c r="A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</row>
    <row r="117">
      <c r="A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</row>
    <row r="118">
      <c r="A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</row>
    <row r="119">
      <c r="A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</row>
    <row r="120">
      <c r="A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</row>
    <row r="121">
      <c r="A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</row>
    <row r="122">
      <c r="A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</row>
    <row r="123">
      <c r="A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</row>
    <row r="124">
      <c r="A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</row>
    <row r="125">
      <c r="A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</row>
    <row r="126">
      <c r="A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</row>
    <row r="127">
      <c r="A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</row>
    <row r="128">
      <c r="A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</row>
    <row r="129">
      <c r="A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</row>
    <row r="130">
      <c r="A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</row>
    <row r="131">
      <c r="A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</row>
    <row r="132">
      <c r="A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</row>
    <row r="133">
      <c r="A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>
      <c r="A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</row>
    <row r="135">
      <c r="A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</row>
    <row r="136">
      <c r="A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</row>
    <row r="137">
      <c r="A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</row>
    <row r="138">
      <c r="A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</row>
    <row r="139">
      <c r="A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</row>
    <row r="140">
      <c r="A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</row>
    <row r="141">
      <c r="A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</row>
    <row r="142">
      <c r="A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</row>
    <row r="143">
      <c r="A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</row>
    <row r="144">
      <c r="A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</row>
    <row r="145">
      <c r="A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</row>
    <row r="146">
      <c r="A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</row>
    <row r="147">
      <c r="A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</row>
    <row r="148">
      <c r="A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</row>
    <row r="149">
      <c r="A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</row>
    <row r="150">
      <c r="A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</row>
    <row r="151">
      <c r="A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</row>
    <row r="152">
      <c r="A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</row>
    <row r="153">
      <c r="A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</row>
    <row r="154">
      <c r="A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</row>
    <row r="155">
      <c r="A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</row>
    <row r="156">
      <c r="A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</row>
    <row r="157">
      <c r="A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>
      <c r="A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</row>
    <row r="159">
      <c r="A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</row>
    <row r="160">
      <c r="A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</row>
    <row r="161">
      <c r="A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</row>
    <row r="162">
      <c r="A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</row>
    <row r="163">
      <c r="A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</row>
    <row r="164">
      <c r="A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</row>
    <row r="165">
      <c r="A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</row>
    <row r="166">
      <c r="A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</row>
    <row r="167">
      <c r="A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</row>
    <row r="168">
      <c r="A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</row>
    <row r="169">
      <c r="A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</row>
    <row r="170">
      <c r="A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</row>
    <row r="171">
      <c r="A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</row>
    <row r="172">
      <c r="A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</row>
    <row r="173">
      <c r="A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</row>
    <row r="174">
      <c r="A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</row>
    <row r="175">
      <c r="A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</row>
    <row r="176">
      <c r="A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</row>
    <row r="177">
      <c r="A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</row>
    <row r="178">
      <c r="A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</row>
    <row r="179">
      <c r="A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</row>
    <row r="180">
      <c r="A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</row>
    <row r="181">
      <c r="A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</row>
    <row r="182">
      <c r="A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</row>
    <row r="183">
      <c r="A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</row>
    <row r="184">
      <c r="A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</row>
    <row r="185">
      <c r="A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</row>
    <row r="186">
      <c r="A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</row>
    <row r="187">
      <c r="A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</row>
    <row r="188">
      <c r="A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</row>
    <row r="189">
      <c r="A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</row>
    <row r="190">
      <c r="A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</row>
    <row r="191">
      <c r="A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</row>
    <row r="192">
      <c r="A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</row>
    <row r="193">
      <c r="A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</row>
    <row r="194">
      <c r="A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</row>
    <row r="195">
      <c r="A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</row>
    <row r="196">
      <c r="A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</row>
    <row r="197">
      <c r="A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</row>
    <row r="198">
      <c r="A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</row>
    <row r="199">
      <c r="A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</row>
    <row r="200">
      <c r="A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</row>
    <row r="201">
      <c r="A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</row>
    <row r="202">
      <c r="A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</row>
    <row r="203">
      <c r="A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</row>
    <row r="204">
      <c r="A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</row>
    <row r="205">
      <c r="A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</row>
    <row r="206">
      <c r="A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</row>
    <row r="207">
      <c r="A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</row>
    <row r="208">
      <c r="A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</row>
    <row r="209">
      <c r="A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</row>
    <row r="210">
      <c r="A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</row>
    <row r="211">
      <c r="A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</row>
    <row r="212">
      <c r="A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</row>
    <row r="213">
      <c r="A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</row>
    <row r="214">
      <c r="A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</row>
    <row r="215">
      <c r="A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</row>
    <row r="216">
      <c r="A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</row>
    <row r="217">
      <c r="A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</row>
    <row r="218">
      <c r="A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</row>
    <row r="219">
      <c r="A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</row>
    <row r="220">
      <c r="A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</row>
    <row r="221">
      <c r="A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</row>
    <row r="222">
      <c r="A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</row>
    <row r="223">
      <c r="A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</row>
    <row r="224">
      <c r="A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</row>
    <row r="225">
      <c r="A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</row>
    <row r="226">
      <c r="A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</row>
    <row r="227">
      <c r="A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</row>
    <row r="228">
      <c r="A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</row>
    <row r="229">
      <c r="A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</row>
    <row r="230">
      <c r="A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</row>
    <row r="231">
      <c r="A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</row>
    <row r="232">
      <c r="A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</row>
    <row r="233">
      <c r="A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</row>
    <row r="234">
      <c r="A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</row>
    <row r="235">
      <c r="A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</row>
    <row r="236">
      <c r="A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</row>
    <row r="237">
      <c r="A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</row>
    <row r="238">
      <c r="A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</row>
    <row r="239">
      <c r="A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</row>
    <row r="240">
      <c r="A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</row>
    <row r="241">
      <c r="A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</row>
    <row r="242">
      <c r="A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</row>
    <row r="243">
      <c r="A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</row>
    <row r="244">
      <c r="A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</row>
    <row r="245">
      <c r="A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</row>
    <row r="246">
      <c r="A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</row>
    <row r="247">
      <c r="A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</row>
    <row r="248">
      <c r="A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</row>
    <row r="249">
      <c r="A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</row>
    <row r="250">
      <c r="A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</row>
    <row r="251">
      <c r="A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</row>
    <row r="252">
      <c r="A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</row>
    <row r="253">
      <c r="A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</row>
    <row r="254">
      <c r="A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</row>
    <row r="255">
      <c r="A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</row>
    <row r="256">
      <c r="A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</row>
    <row r="257">
      <c r="A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</row>
    <row r="258">
      <c r="A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</row>
    <row r="259">
      <c r="A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</row>
    <row r="260">
      <c r="A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</row>
    <row r="261">
      <c r="A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</row>
    <row r="262">
      <c r="A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</row>
    <row r="263">
      <c r="A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</row>
    <row r="264">
      <c r="A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</row>
    <row r="265">
      <c r="A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</row>
    <row r="266">
      <c r="A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</row>
    <row r="267">
      <c r="A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</row>
    <row r="268">
      <c r="A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</row>
    <row r="269">
      <c r="A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</row>
    <row r="270">
      <c r="A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</row>
    <row r="271">
      <c r="A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</row>
    <row r="272">
      <c r="A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</row>
    <row r="273">
      <c r="A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</row>
    <row r="274">
      <c r="A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</row>
    <row r="275">
      <c r="A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</row>
    <row r="276">
      <c r="A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</row>
    <row r="277">
      <c r="A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</row>
    <row r="278">
      <c r="A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</row>
    <row r="279">
      <c r="A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</row>
    <row r="280">
      <c r="A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</row>
    <row r="281">
      <c r="A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</row>
    <row r="282">
      <c r="A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</row>
    <row r="283">
      <c r="A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</row>
    <row r="284">
      <c r="A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</row>
    <row r="285">
      <c r="A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</row>
    <row r="286">
      <c r="A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</row>
    <row r="287">
      <c r="A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</row>
    <row r="288">
      <c r="A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</row>
    <row r="289">
      <c r="A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</row>
    <row r="290">
      <c r="A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</row>
    <row r="291">
      <c r="A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</row>
    <row r="292">
      <c r="A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</row>
    <row r="293">
      <c r="A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</row>
    <row r="294">
      <c r="A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</row>
    <row r="295">
      <c r="A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</row>
    <row r="296">
      <c r="A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</row>
    <row r="297">
      <c r="A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</row>
    <row r="298">
      <c r="A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</row>
    <row r="299">
      <c r="A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</row>
    <row r="300">
      <c r="A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</row>
    <row r="301">
      <c r="A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</row>
    <row r="302">
      <c r="A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</row>
    <row r="303">
      <c r="A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</row>
    <row r="304">
      <c r="A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</row>
    <row r="305">
      <c r="A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</row>
    <row r="306">
      <c r="A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</row>
    <row r="307">
      <c r="A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</row>
    <row r="308">
      <c r="A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</row>
    <row r="309">
      <c r="A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</row>
    <row r="310">
      <c r="A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</row>
    <row r="311">
      <c r="A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</row>
    <row r="312">
      <c r="A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</row>
    <row r="313">
      <c r="A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</row>
    <row r="314">
      <c r="A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</row>
    <row r="315">
      <c r="A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</row>
    <row r="316">
      <c r="A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</row>
    <row r="317">
      <c r="A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</row>
    <row r="318">
      <c r="A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</row>
    <row r="319">
      <c r="A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</row>
    <row r="320">
      <c r="A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</row>
    <row r="321">
      <c r="A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</row>
    <row r="322">
      <c r="A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</row>
    <row r="323">
      <c r="A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</row>
    <row r="324">
      <c r="A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</row>
    <row r="325">
      <c r="A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</row>
    <row r="326">
      <c r="A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</row>
    <row r="327">
      <c r="A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</row>
    <row r="328">
      <c r="A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</row>
    <row r="329">
      <c r="A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</row>
    <row r="330">
      <c r="A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</row>
    <row r="331">
      <c r="A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</row>
    <row r="332">
      <c r="A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</row>
    <row r="333">
      <c r="A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</row>
    <row r="334">
      <c r="A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</row>
    <row r="335">
      <c r="A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</row>
    <row r="336">
      <c r="A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</row>
    <row r="337">
      <c r="A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</row>
    <row r="338">
      <c r="A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</row>
    <row r="339">
      <c r="A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</row>
    <row r="340">
      <c r="A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</row>
    <row r="341">
      <c r="A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</row>
    <row r="342">
      <c r="A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</row>
    <row r="343">
      <c r="A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</row>
    <row r="344">
      <c r="A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</row>
    <row r="345">
      <c r="A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</row>
    <row r="346">
      <c r="A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</row>
    <row r="347">
      <c r="A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</row>
    <row r="348">
      <c r="A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</row>
    <row r="349">
      <c r="A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</row>
    <row r="350">
      <c r="A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</row>
    <row r="351">
      <c r="A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</row>
    <row r="352">
      <c r="A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</row>
    <row r="353">
      <c r="A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</row>
    <row r="354">
      <c r="A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</row>
    <row r="355">
      <c r="A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</row>
    <row r="356">
      <c r="A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</row>
    <row r="357">
      <c r="A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</row>
    <row r="358">
      <c r="A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</row>
    <row r="359">
      <c r="A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</row>
    <row r="360">
      <c r="A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</row>
    <row r="361">
      <c r="A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</row>
    <row r="362">
      <c r="A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</row>
    <row r="363">
      <c r="A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</row>
    <row r="364">
      <c r="A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</row>
    <row r="365">
      <c r="A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</row>
    <row r="366">
      <c r="A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</row>
    <row r="367">
      <c r="A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</row>
    <row r="368">
      <c r="A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</row>
    <row r="369">
      <c r="A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</row>
    <row r="370">
      <c r="A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</row>
    <row r="371">
      <c r="A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</row>
    <row r="372">
      <c r="A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</row>
    <row r="373">
      <c r="A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</row>
    <row r="374">
      <c r="A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</row>
    <row r="375">
      <c r="A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</row>
    <row r="376">
      <c r="A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</row>
    <row r="377">
      <c r="A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</row>
    <row r="378">
      <c r="A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</row>
    <row r="379">
      <c r="A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</row>
    <row r="380">
      <c r="A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</row>
    <row r="381">
      <c r="A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</row>
    <row r="382">
      <c r="A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</row>
    <row r="383">
      <c r="A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</row>
    <row r="384">
      <c r="A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</row>
    <row r="385">
      <c r="A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</row>
    <row r="386">
      <c r="A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</row>
    <row r="387">
      <c r="A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</row>
    <row r="388">
      <c r="A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</row>
    <row r="389">
      <c r="A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</row>
    <row r="390">
      <c r="A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</row>
    <row r="391">
      <c r="A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</row>
    <row r="392">
      <c r="A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</row>
    <row r="393">
      <c r="A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</row>
    <row r="394">
      <c r="A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</row>
    <row r="395">
      <c r="A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</row>
    <row r="396">
      <c r="A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</row>
    <row r="397">
      <c r="A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</row>
    <row r="398">
      <c r="A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</row>
    <row r="399">
      <c r="A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</row>
    <row r="400">
      <c r="A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</row>
    <row r="401">
      <c r="A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</row>
    <row r="402">
      <c r="A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</row>
    <row r="403">
      <c r="A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</row>
    <row r="404">
      <c r="A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</row>
    <row r="405">
      <c r="A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</row>
    <row r="406">
      <c r="A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</row>
    <row r="407">
      <c r="A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</row>
    <row r="408">
      <c r="A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</row>
    <row r="409">
      <c r="A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</row>
    <row r="410">
      <c r="A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</row>
    <row r="411">
      <c r="A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</row>
    <row r="412">
      <c r="A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</row>
    <row r="413">
      <c r="A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</row>
    <row r="414">
      <c r="A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</row>
    <row r="415">
      <c r="A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</row>
    <row r="416">
      <c r="A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</row>
    <row r="417">
      <c r="A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</row>
    <row r="418">
      <c r="A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</row>
    <row r="419">
      <c r="A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</row>
    <row r="420">
      <c r="A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</row>
    <row r="421">
      <c r="A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</row>
    <row r="422">
      <c r="A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</row>
    <row r="423">
      <c r="A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</row>
    <row r="424">
      <c r="A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</row>
    <row r="425">
      <c r="A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</row>
    <row r="426">
      <c r="A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</row>
    <row r="427">
      <c r="A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</row>
    <row r="428">
      <c r="A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</row>
    <row r="429">
      <c r="A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</row>
    <row r="430">
      <c r="A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</row>
    <row r="431">
      <c r="A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</row>
    <row r="432">
      <c r="A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</row>
    <row r="433">
      <c r="A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</row>
    <row r="434">
      <c r="A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</row>
    <row r="435">
      <c r="A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</row>
    <row r="436">
      <c r="A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</row>
    <row r="437">
      <c r="A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</row>
    <row r="438">
      <c r="A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</row>
    <row r="439">
      <c r="A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</row>
    <row r="440">
      <c r="A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</row>
    <row r="441">
      <c r="A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</row>
    <row r="442">
      <c r="A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</row>
    <row r="443">
      <c r="A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</row>
    <row r="444">
      <c r="A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</row>
    <row r="445">
      <c r="A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</row>
    <row r="446">
      <c r="A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</row>
    <row r="447">
      <c r="A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</row>
    <row r="448">
      <c r="A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</row>
    <row r="449">
      <c r="A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</row>
    <row r="450">
      <c r="A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</row>
    <row r="451">
      <c r="A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</row>
    <row r="452">
      <c r="A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</row>
    <row r="453">
      <c r="A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</row>
    <row r="454">
      <c r="A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</row>
    <row r="455">
      <c r="A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</row>
    <row r="456">
      <c r="A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</row>
    <row r="457">
      <c r="A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</row>
    <row r="458">
      <c r="A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</row>
    <row r="459">
      <c r="A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</row>
    <row r="460">
      <c r="A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</row>
    <row r="461">
      <c r="A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</row>
    <row r="462">
      <c r="A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</row>
    <row r="463">
      <c r="A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</row>
    <row r="464">
      <c r="A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</row>
    <row r="465">
      <c r="A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</row>
    <row r="466">
      <c r="A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</row>
    <row r="467">
      <c r="A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</row>
    <row r="468">
      <c r="A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</row>
    <row r="469">
      <c r="A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</row>
    <row r="470">
      <c r="A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</row>
    <row r="471">
      <c r="A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</row>
    <row r="472">
      <c r="A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</row>
    <row r="473">
      <c r="A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</row>
    <row r="474">
      <c r="A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</row>
    <row r="475">
      <c r="A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</row>
    <row r="476">
      <c r="A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</row>
    <row r="477">
      <c r="A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</row>
    <row r="478">
      <c r="A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</row>
    <row r="479">
      <c r="A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</row>
    <row r="480">
      <c r="A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</row>
    <row r="481">
      <c r="A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</row>
    <row r="482">
      <c r="A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</row>
    <row r="483">
      <c r="A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</row>
    <row r="484">
      <c r="A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</row>
    <row r="485">
      <c r="A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</row>
    <row r="486">
      <c r="A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</row>
    <row r="487">
      <c r="A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</row>
    <row r="488">
      <c r="A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</row>
    <row r="489">
      <c r="A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</row>
    <row r="490">
      <c r="A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</row>
    <row r="491">
      <c r="A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</row>
    <row r="492">
      <c r="A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</row>
    <row r="493">
      <c r="A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</row>
    <row r="494">
      <c r="A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</row>
    <row r="495">
      <c r="A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</row>
    <row r="496">
      <c r="A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</row>
    <row r="497">
      <c r="A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</row>
    <row r="498">
      <c r="A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</row>
    <row r="499">
      <c r="A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</row>
    <row r="500">
      <c r="A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</row>
    <row r="501">
      <c r="A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</row>
    <row r="502">
      <c r="A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</row>
    <row r="503">
      <c r="A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</row>
    <row r="504">
      <c r="A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</row>
    <row r="505">
      <c r="A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</row>
    <row r="506">
      <c r="A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</row>
    <row r="507">
      <c r="A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</row>
    <row r="508">
      <c r="A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</row>
    <row r="509">
      <c r="A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</row>
    <row r="510">
      <c r="A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</row>
    <row r="511">
      <c r="A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</row>
    <row r="512">
      <c r="A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</row>
    <row r="513">
      <c r="A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</row>
    <row r="514">
      <c r="A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</row>
    <row r="515">
      <c r="A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</row>
    <row r="516">
      <c r="A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</row>
    <row r="517">
      <c r="A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</row>
    <row r="518">
      <c r="A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</row>
    <row r="519">
      <c r="A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</row>
    <row r="520">
      <c r="A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</row>
    <row r="521">
      <c r="A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</row>
    <row r="522">
      <c r="A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</row>
    <row r="523">
      <c r="A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</row>
    <row r="524">
      <c r="A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</row>
    <row r="525">
      <c r="A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</row>
    <row r="526">
      <c r="A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</row>
    <row r="527">
      <c r="A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</row>
    <row r="528">
      <c r="A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</row>
    <row r="529">
      <c r="A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</row>
    <row r="530">
      <c r="A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</row>
    <row r="531">
      <c r="A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</row>
    <row r="532">
      <c r="A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</row>
    <row r="533">
      <c r="A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</row>
    <row r="534">
      <c r="A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</row>
    <row r="535">
      <c r="A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</row>
    <row r="536">
      <c r="A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</row>
    <row r="537">
      <c r="A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</row>
    <row r="538">
      <c r="A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</row>
    <row r="539">
      <c r="A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</row>
    <row r="540">
      <c r="A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</row>
    <row r="541">
      <c r="A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</row>
    <row r="542">
      <c r="A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</row>
    <row r="543">
      <c r="A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</row>
    <row r="544">
      <c r="A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</row>
    <row r="545">
      <c r="A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</row>
    <row r="546">
      <c r="A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</row>
    <row r="547">
      <c r="A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</row>
    <row r="548">
      <c r="A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</row>
    <row r="549">
      <c r="A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</row>
    <row r="550">
      <c r="A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</row>
    <row r="551">
      <c r="A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</row>
    <row r="552">
      <c r="A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</row>
    <row r="553">
      <c r="A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</row>
    <row r="554">
      <c r="A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</row>
    <row r="555">
      <c r="A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</row>
    <row r="556">
      <c r="A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</row>
    <row r="557">
      <c r="A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</row>
    <row r="558">
      <c r="A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</row>
    <row r="559">
      <c r="A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</row>
    <row r="560">
      <c r="A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</row>
    <row r="561">
      <c r="A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</row>
    <row r="562">
      <c r="A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</row>
    <row r="563">
      <c r="A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</row>
    <row r="564">
      <c r="A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</row>
    <row r="565">
      <c r="A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</row>
    <row r="566">
      <c r="A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</row>
    <row r="567">
      <c r="A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</row>
    <row r="568">
      <c r="A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</row>
    <row r="569">
      <c r="A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</row>
    <row r="570">
      <c r="A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</row>
    <row r="571">
      <c r="A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</row>
    <row r="572">
      <c r="A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</row>
    <row r="573">
      <c r="A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</row>
    <row r="574">
      <c r="A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</row>
    <row r="575">
      <c r="A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</row>
    <row r="576">
      <c r="A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</row>
    <row r="577">
      <c r="A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</row>
    <row r="578">
      <c r="A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</row>
    <row r="579">
      <c r="A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</row>
    <row r="580">
      <c r="A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</row>
    <row r="581">
      <c r="A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</row>
    <row r="582">
      <c r="A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</row>
    <row r="583">
      <c r="A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</row>
    <row r="584">
      <c r="A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</row>
    <row r="585">
      <c r="A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</row>
    <row r="586">
      <c r="A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</row>
    <row r="587">
      <c r="A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</row>
    <row r="588">
      <c r="A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</row>
    <row r="589">
      <c r="A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</row>
    <row r="590">
      <c r="A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</row>
    <row r="591">
      <c r="A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</row>
    <row r="592">
      <c r="A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</row>
    <row r="593">
      <c r="A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</row>
    <row r="594">
      <c r="A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</row>
    <row r="595">
      <c r="A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</row>
    <row r="596">
      <c r="A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</row>
    <row r="597">
      <c r="A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</row>
    <row r="598">
      <c r="A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</row>
    <row r="599">
      <c r="A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</row>
    <row r="600">
      <c r="A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</row>
    <row r="601">
      <c r="A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</row>
    <row r="602">
      <c r="A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</row>
    <row r="603">
      <c r="A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</row>
    <row r="604">
      <c r="A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</row>
    <row r="605">
      <c r="A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</row>
    <row r="606">
      <c r="A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</row>
    <row r="607">
      <c r="A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</row>
    <row r="608">
      <c r="A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</row>
    <row r="609">
      <c r="A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</row>
    <row r="610">
      <c r="A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</row>
    <row r="611">
      <c r="A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</row>
    <row r="612">
      <c r="A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</row>
    <row r="613">
      <c r="A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</row>
    <row r="614">
      <c r="A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</row>
    <row r="615">
      <c r="A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</row>
    <row r="616">
      <c r="A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</row>
    <row r="617">
      <c r="A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</row>
    <row r="618">
      <c r="A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</row>
    <row r="619">
      <c r="A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</row>
    <row r="620">
      <c r="A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</row>
    <row r="621">
      <c r="A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</row>
    <row r="622">
      <c r="A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</row>
    <row r="623">
      <c r="A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</row>
    <row r="624">
      <c r="A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</row>
    <row r="625">
      <c r="A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</row>
    <row r="626">
      <c r="A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</row>
    <row r="627">
      <c r="A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</row>
    <row r="628">
      <c r="A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</row>
    <row r="629">
      <c r="A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</row>
    <row r="630">
      <c r="A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</row>
    <row r="631">
      <c r="A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</row>
    <row r="632">
      <c r="A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</row>
    <row r="633">
      <c r="A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</row>
    <row r="634">
      <c r="A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</row>
    <row r="635">
      <c r="A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</row>
    <row r="636">
      <c r="A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</row>
    <row r="637">
      <c r="A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</row>
    <row r="638">
      <c r="A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</row>
    <row r="639">
      <c r="A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</row>
    <row r="640">
      <c r="A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</row>
    <row r="641">
      <c r="A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</row>
    <row r="642">
      <c r="A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</row>
    <row r="643">
      <c r="A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</row>
    <row r="644">
      <c r="A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</row>
    <row r="645">
      <c r="A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</row>
    <row r="646">
      <c r="A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</row>
    <row r="647">
      <c r="A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</row>
    <row r="648">
      <c r="A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</row>
    <row r="649">
      <c r="A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</row>
    <row r="650">
      <c r="A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</row>
    <row r="651">
      <c r="A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</row>
    <row r="652">
      <c r="A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</row>
    <row r="653">
      <c r="A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</row>
    <row r="654">
      <c r="A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</row>
    <row r="655">
      <c r="A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</row>
    <row r="656">
      <c r="A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</row>
    <row r="657">
      <c r="A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</row>
    <row r="658">
      <c r="A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</row>
    <row r="659">
      <c r="A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</row>
    <row r="660">
      <c r="A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</row>
    <row r="661">
      <c r="A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</row>
    <row r="662">
      <c r="A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</row>
    <row r="663">
      <c r="A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</row>
    <row r="664">
      <c r="A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</row>
    <row r="665">
      <c r="A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</row>
    <row r="666">
      <c r="A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</row>
    <row r="667">
      <c r="A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</row>
    <row r="668">
      <c r="A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</row>
    <row r="669">
      <c r="A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</row>
    <row r="670">
      <c r="A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</row>
    <row r="671">
      <c r="A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</row>
    <row r="672">
      <c r="A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</row>
    <row r="673">
      <c r="A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</row>
    <row r="674">
      <c r="A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</row>
    <row r="675">
      <c r="A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</row>
    <row r="676">
      <c r="A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</row>
    <row r="677">
      <c r="A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</row>
    <row r="678">
      <c r="A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</row>
    <row r="679">
      <c r="A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</row>
    <row r="680">
      <c r="A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</row>
    <row r="681">
      <c r="A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</row>
    <row r="682">
      <c r="A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</row>
    <row r="683">
      <c r="A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</row>
    <row r="684">
      <c r="A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</row>
    <row r="685">
      <c r="A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</row>
    <row r="686">
      <c r="A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</row>
    <row r="687">
      <c r="A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</row>
    <row r="688">
      <c r="A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</row>
    <row r="689">
      <c r="A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</row>
    <row r="690">
      <c r="A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</row>
    <row r="691">
      <c r="A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</row>
    <row r="692">
      <c r="A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</row>
    <row r="693">
      <c r="A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</row>
    <row r="694">
      <c r="A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</row>
    <row r="695">
      <c r="A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</row>
    <row r="696">
      <c r="A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</row>
    <row r="697">
      <c r="A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</row>
    <row r="698">
      <c r="A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</row>
    <row r="699">
      <c r="A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</row>
    <row r="700">
      <c r="A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</row>
    <row r="701">
      <c r="A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</row>
    <row r="702">
      <c r="A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</row>
    <row r="703">
      <c r="A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</row>
    <row r="704">
      <c r="A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</row>
    <row r="705">
      <c r="A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</row>
    <row r="706">
      <c r="A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</row>
    <row r="707">
      <c r="A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</row>
    <row r="708">
      <c r="A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</row>
    <row r="709">
      <c r="A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</row>
    <row r="710">
      <c r="A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</row>
    <row r="711">
      <c r="A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</row>
    <row r="712">
      <c r="A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</row>
    <row r="713">
      <c r="A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</row>
    <row r="714">
      <c r="A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</row>
    <row r="715">
      <c r="A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</row>
    <row r="716">
      <c r="A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</row>
    <row r="717">
      <c r="A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</row>
    <row r="718">
      <c r="A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</row>
    <row r="719">
      <c r="A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</row>
    <row r="720">
      <c r="A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</row>
    <row r="721">
      <c r="A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</row>
    <row r="722">
      <c r="A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</row>
    <row r="723">
      <c r="A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</row>
    <row r="724">
      <c r="A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</row>
    <row r="725">
      <c r="A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</row>
    <row r="726">
      <c r="A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</row>
    <row r="727">
      <c r="A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</row>
    <row r="728">
      <c r="A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</row>
    <row r="729">
      <c r="A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</row>
    <row r="730">
      <c r="A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</row>
    <row r="731">
      <c r="A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</row>
    <row r="732">
      <c r="A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</row>
    <row r="733">
      <c r="A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</row>
    <row r="734">
      <c r="A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</row>
    <row r="735">
      <c r="A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</row>
    <row r="736">
      <c r="A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</row>
    <row r="737">
      <c r="A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</row>
    <row r="738">
      <c r="A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</row>
    <row r="739">
      <c r="A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</row>
    <row r="740">
      <c r="A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</row>
    <row r="741">
      <c r="A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</row>
    <row r="742">
      <c r="A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</row>
    <row r="743">
      <c r="A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</row>
    <row r="744">
      <c r="A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</row>
    <row r="745">
      <c r="A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</row>
    <row r="746">
      <c r="A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</row>
    <row r="747">
      <c r="A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</row>
    <row r="748">
      <c r="A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</row>
    <row r="749">
      <c r="A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</row>
    <row r="750">
      <c r="A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</row>
    <row r="751">
      <c r="A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</row>
    <row r="752">
      <c r="A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</row>
    <row r="753">
      <c r="A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</row>
    <row r="754">
      <c r="A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</row>
    <row r="755">
      <c r="A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</row>
    <row r="756">
      <c r="A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</row>
    <row r="757">
      <c r="A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</row>
    <row r="758">
      <c r="A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</row>
    <row r="759">
      <c r="A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</row>
    <row r="760">
      <c r="A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</row>
    <row r="761">
      <c r="A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</row>
    <row r="762">
      <c r="A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</row>
    <row r="763">
      <c r="A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</row>
    <row r="764">
      <c r="A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</row>
    <row r="765">
      <c r="A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</row>
    <row r="766">
      <c r="A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</row>
    <row r="767">
      <c r="A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</row>
    <row r="768">
      <c r="A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</row>
    <row r="769">
      <c r="A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</row>
    <row r="770">
      <c r="A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</row>
    <row r="771">
      <c r="A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</row>
    <row r="772">
      <c r="A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</row>
    <row r="773">
      <c r="A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</row>
    <row r="774">
      <c r="A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</row>
    <row r="775">
      <c r="A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</row>
    <row r="776">
      <c r="A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</row>
    <row r="777">
      <c r="A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</row>
    <row r="778">
      <c r="A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</row>
    <row r="779">
      <c r="A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</row>
    <row r="780">
      <c r="A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</row>
    <row r="781">
      <c r="A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</row>
    <row r="782">
      <c r="A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</row>
    <row r="783">
      <c r="A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</row>
    <row r="784">
      <c r="A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</row>
    <row r="785">
      <c r="A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</row>
    <row r="786">
      <c r="A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</row>
    <row r="787">
      <c r="A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</row>
    <row r="788">
      <c r="A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</row>
    <row r="789">
      <c r="A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</row>
    <row r="790">
      <c r="A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</row>
    <row r="791">
      <c r="A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</row>
    <row r="792">
      <c r="A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</row>
    <row r="793">
      <c r="A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</row>
    <row r="794">
      <c r="A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</row>
    <row r="795">
      <c r="A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</row>
    <row r="796">
      <c r="A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</row>
    <row r="797">
      <c r="A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</row>
    <row r="798">
      <c r="A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</row>
    <row r="799">
      <c r="A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</row>
    <row r="800">
      <c r="A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</row>
    <row r="801">
      <c r="A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</row>
    <row r="802">
      <c r="A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</row>
    <row r="803">
      <c r="A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</row>
    <row r="804">
      <c r="A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</row>
    <row r="805">
      <c r="A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</row>
    <row r="806">
      <c r="A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</row>
    <row r="807">
      <c r="A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</row>
    <row r="808">
      <c r="A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</row>
    <row r="809">
      <c r="A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</row>
    <row r="810">
      <c r="A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</row>
    <row r="811">
      <c r="A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</row>
    <row r="812">
      <c r="A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</row>
    <row r="813">
      <c r="A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</row>
    <row r="814">
      <c r="A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</row>
    <row r="815">
      <c r="A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</row>
    <row r="816">
      <c r="A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</row>
    <row r="817">
      <c r="A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</row>
    <row r="818">
      <c r="A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</row>
    <row r="819">
      <c r="A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</row>
    <row r="820">
      <c r="A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</row>
    <row r="821">
      <c r="A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</row>
    <row r="822">
      <c r="A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</row>
    <row r="823">
      <c r="A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</row>
    <row r="824">
      <c r="A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</row>
    <row r="825">
      <c r="A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</row>
    <row r="826">
      <c r="A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</row>
    <row r="827">
      <c r="A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</row>
    <row r="828">
      <c r="A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</row>
    <row r="829">
      <c r="A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</row>
    <row r="830">
      <c r="A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</row>
    <row r="831">
      <c r="A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</row>
    <row r="832">
      <c r="A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</row>
    <row r="833">
      <c r="A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</row>
    <row r="834">
      <c r="A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</row>
    <row r="835">
      <c r="A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</row>
    <row r="836">
      <c r="A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</row>
    <row r="837">
      <c r="A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</row>
    <row r="838">
      <c r="A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</row>
    <row r="839">
      <c r="A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</row>
    <row r="840">
      <c r="A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</row>
    <row r="841">
      <c r="A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</row>
    <row r="842">
      <c r="A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</row>
    <row r="843">
      <c r="A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</row>
    <row r="844">
      <c r="A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</row>
    <row r="845">
      <c r="A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</row>
    <row r="846">
      <c r="A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</row>
    <row r="847">
      <c r="A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</row>
    <row r="848">
      <c r="A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</row>
    <row r="849">
      <c r="A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</row>
    <row r="850">
      <c r="A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</row>
    <row r="851">
      <c r="A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</row>
    <row r="852">
      <c r="A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</row>
    <row r="853">
      <c r="A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</row>
    <row r="854">
      <c r="A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</row>
    <row r="855">
      <c r="A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</row>
    <row r="856">
      <c r="A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</row>
    <row r="857">
      <c r="A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</row>
    <row r="858">
      <c r="A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</row>
    <row r="859">
      <c r="A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</row>
    <row r="860">
      <c r="A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</row>
    <row r="861">
      <c r="A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</row>
    <row r="862">
      <c r="A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</row>
    <row r="863">
      <c r="A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</row>
    <row r="864">
      <c r="A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</row>
    <row r="865">
      <c r="A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</row>
    <row r="866">
      <c r="A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</row>
    <row r="867">
      <c r="A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</row>
    <row r="868">
      <c r="A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</row>
    <row r="869">
      <c r="A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</row>
    <row r="870">
      <c r="A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</row>
    <row r="871">
      <c r="A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</row>
    <row r="872">
      <c r="A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</row>
    <row r="873">
      <c r="A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</row>
    <row r="874">
      <c r="A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</row>
    <row r="875">
      <c r="A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</row>
    <row r="876">
      <c r="A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</row>
    <row r="877">
      <c r="A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</row>
    <row r="878">
      <c r="A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</row>
    <row r="879">
      <c r="A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</row>
    <row r="880">
      <c r="A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</row>
    <row r="881">
      <c r="A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</row>
    <row r="882">
      <c r="A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</row>
    <row r="883">
      <c r="A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</row>
    <row r="884">
      <c r="A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</row>
    <row r="885">
      <c r="A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</row>
    <row r="886">
      <c r="A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</row>
    <row r="887">
      <c r="A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</row>
    <row r="888">
      <c r="A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</row>
    <row r="889">
      <c r="A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</row>
    <row r="890">
      <c r="A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</row>
    <row r="891">
      <c r="A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</row>
    <row r="892">
      <c r="A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</row>
    <row r="893">
      <c r="A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</row>
    <row r="894">
      <c r="A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</row>
    <row r="895">
      <c r="A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</row>
    <row r="896">
      <c r="A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</row>
    <row r="897">
      <c r="A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</row>
    <row r="898">
      <c r="A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</row>
    <row r="899">
      <c r="A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</row>
    <row r="900">
      <c r="A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</row>
    <row r="901">
      <c r="A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</row>
    <row r="902">
      <c r="A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</row>
    <row r="903">
      <c r="A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</row>
    <row r="904">
      <c r="A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</row>
    <row r="905">
      <c r="A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</row>
    <row r="906">
      <c r="A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</row>
    <row r="907">
      <c r="A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</row>
    <row r="908">
      <c r="A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</row>
    <row r="909">
      <c r="A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</row>
    <row r="910">
      <c r="A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</row>
    <row r="911">
      <c r="A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</row>
    <row r="912">
      <c r="A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</row>
    <row r="913">
      <c r="A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</row>
    <row r="914">
      <c r="A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</row>
    <row r="915">
      <c r="A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</row>
    <row r="916">
      <c r="A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</row>
    <row r="917">
      <c r="A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</row>
    <row r="918">
      <c r="A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</row>
    <row r="919">
      <c r="A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</row>
    <row r="920">
      <c r="A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</row>
    <row r="921">
      <c r="A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</row>
    <row r="922">
      <c r="A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</row>
    <row r="923">
      <c r="A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</row>
    <row r="924">
      <c r="A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</row>
    <row r="925">
      <c r="A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</row>
    <row r="926">
      <c r="A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</row>
    <row r="927">
      <c r="A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</row>
    <row r="928">
      <c r="A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</row>
    <row r="929">
      <c r="A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</row>
    <row r="930">
      <c r="A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</row>
    <row r="931">
      <c r="A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</row>
    <row r="932">
      <c r="A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</row>
    <row r="933">
      <c r="A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</row>
    <row r="934">
      <c r="A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</row>
    <row r="935">
      <c r="A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</row>
    <row r="936">
      <c r="A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</row>
    <row r="937">
      <c r="A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</row>
    <row r="938">
      <c r="A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</row>
    <row r="939">
      <c r="A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</row>
    <row r="940">
      <c r="A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</row>
    <row r="941">
      <c r="A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</row>
    <row r="942">
      <c r="A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</row>
    <row r="943">
      <c r="A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</row>
    <row r="944">
      <c r="A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</row>
    <row r="945">
      <c r="A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</row>
    <row r="946">
      <c r="A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</row>
    <row r="947">
      <c r="A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</row>
    <row r="948">
      <c r="A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</row>
    <row r="949">
      <c r="A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</row>
    <row r="950">
      <c r="A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</row>
    <row r="951">
      <c r="A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</row>
    <row r="952">
      <c r="A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</row>
    <row r="953">
      <c r="A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</row>
    <row r="954">
      <c r="A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</row>
    <row r="955">
      <c r="A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</row>
    <row r="956">
      <c r="A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</row>
    <row r="957">
      <c r="A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</row>
    <row r="958">
      <c r="A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</row>
    <row r="959">
      <c r="A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</row>
    <row r="960">
      <c r="A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</row>
    <row r="961">
      <c r="A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</row>
    <row r="962">
      <c r="A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</row>
    <row r="963">
      <c r="A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</row>
    <row r="964">
      <c r="A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</row>
    <row r="965">
      <c r="A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</row>
    <row r="966">
      <c r="A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</row>
    <row r="967">
      <c r="A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</row>
    <row r="968">
      <c r="A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</row>
    <row r="969">
      <c r="A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</row>
    <row r="970">
      <c r="A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</row>
    <row r="971">
      <c r="A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</row>
    <row r="972">
      <c r="A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</row>
    <row r="973">
      <c r="A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</row>
    <row r="974">
      <c r="A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</row>
    <row r="975">
      <c r="A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</row>
    <row r="976">
      <c r="A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</row>
    <row r="977">
      <c r="A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</row>
    <row r="978">
      <c r="A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</row>
    <row r="979">
      <c r="A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</row>
    <row r="980">
      <c r="A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</row>
    <row r="981">
      <c r="A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</row>
    <row r="982">
      <c r="A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</row>
    <row r="983">
      <c r="A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</row>
    <row r="984">
      <c r="A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</row>
    <row r="985">
      <c r="A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</row>
    <row r="986">
      <c r="A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</row>
    <row r="987">
      <c r="A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</row>
    <row r="988">
      <c r="A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</row>
    <row r="989">
      <c r="A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</row>
    <row r="990">
      <c r="A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</row>
    <row r="991">
      <c r="A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</row>
    <row r="992">
      <c r="A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</row>
    <row r="993">
      <c r="A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</row>
    <row r="994">
      <c r="A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</row>
    <row r="995">
      <c r="A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</row>
    <row r="996">
      <c r="A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</row>
    <row r="997">
      <c r="A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</row>
    <row r="998">
      <c r="A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</row>
    <row r="999">
      <c r="A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</row>
    <row r="1000">
      <c r="A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S1" s="29" t="str">
        <f>Input!A1</f>
        <v>BEGINNING DATE</v>
      </c>
      <c r="T1" s="29" t="str">
        <f>Input!B1</f>
        <v>EMPLOYEE NAME</v>
      </c>
      <c r="U1" s="29" t="str">
        <f>Input!C1</f>
        <v>RATE</v>
      </c>
      <c r="V1" s="29" t="str">
        <f>Input!D1</f>
        <v>TOTAL HOURS</v>
      </c>
      <c r="W1" s="29" t="str">
        <f>Input!E1</f>
        <v>OT</v>
      </c>
      <c r="X1" s="29" t="str">
        <f>Input!F1</f>
        <v>DT</v>
      </c>
      <c r="Y1" s="29" t="str">
        <f>Input!G1</f>
        <v>Regular</v>
      </c>
      <c r="Z1" s="29" t="str">
        <f>Input!H1</f>
        <v>OT</v>
      </c>
      <c r="AA1" s="29" t="str">
        <f>Input!I1</f>
        <v>DT</v>
      </c>
      <c r="AB1" s="29" t="str">
        <f>Input!J1</f>
        <v>GROSS</v>
      </c>
      <c r="AC1" s="29" t="str">
        <f>Input!K1</f>
        <v>Log 11</v>
      </c>
      <c r="AD1" s="29" t="str">
        <f>Input!L1</f>
        <v>Log 12</v>
      </c>
      <c r="AE1" s="29" t="str">
        <f>Input!M1</f>
        <v>Update 1</v>
      </c>
      <c r="AF1" s="29" t="str">
        <f>Input!N1</f>
        <v>Update 2</v>
      </c>
      <c r="AG1" s="29" t="str">
        <f>Input!O1</f>
        <v>Update 3</v>
      </c>
    </row>
  </sheetData>
  <drawing r:id="rId1"/>
</worksheet>
</file>