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DataMate/"/>
    </mc:Choice>
  </mc:AlternateContent>
  <xr:revisionPtr revIDLastSave="0" documentId="8_{534493BD-E55A-4FB1-8250-100D1D7C389B}" xr6:coauthVersionLast="47" xr6:coauthVersionMax="47" xr10:uidLastSave="{00000000-0000-0000-0000-000000000000}"/>
  <bookViews>
    <workbookView xWindow="-110" yWindow="-110" windowWidth="27580" windowHeight="17740" activeTab="1" xr2:uid="{00000000-000D-0000-FFFF-FFFF00000000}"/>
  </bookViews>
  <sheets>
    <sheet name="Sheet1" sheetId="1" r:id="rId1"/>
    <sheet name="Input" sheetId="2" r:id="rId2"/>
    <sheet name="View_Print" sheetId="3" r:id="rId3"/>
    <sheet name="Receipt" sheetId="4" r:id="rId4"/>
    <sheet name="Packing Slip" sheetId="5" r:id="rId5"/>
    <sheet name="Inventory" sheetId="6" r:id="rId6"/>
    <sheet name="Log" sheetId="7" r:id="rId7"/>
    <sheet name="Update" sheetId="8" r:id="rId8"/>
    <sheet name="Data" sheetId="9" r:id="rId9"/>
    <sheet name="contacts" sheetId="10" r:id="rId10"/>
    <sheet name="Address" sheetId="11" r:id="rId11"/>
    <sheet name="NewContact" sheetId="12" r:id="rId12"/>
  </sheets>
  <externalReferences>
    <externalReference r:id="rId13"/>
  </externalReferences>
  <definedNames>
    <definedName name="_xlnm._FilterDatabase" localSheetId="9" hidden="1">contacts!$A$1:$CL$2000</definedName>
    <definedName name="_xlnm._FilterDatabase" localSheetId="6" hidden="1">Log!$A$9:$O$99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0" i="6" l="1"/>
  <c r="G1000" i="6" s="1"/>
  <c r="F999" i="6"/>
  <c r="G999" i="6" s="1"/>
  <c r="G998" i="6"/>
  <c r="F998" i="6"/>
  <c r="F997" i="6"/>
  <c r="G997" i="6" s="1"/>
  <c r="F996" i="6"/>
  <c r="G996" i="6" s="1"/>
  <c r="F995" i="6"/>
  <c r="G995" i="6" s="1"/>
  <c r="G994" i="6"/>
  <c r="F994" i="6"/>
  <c r="F993" i="6"/>
  <c r="G993" i="6" s="1"/>
  <c r="F992" i="6"/>
  <c r="G992" i="6" s="1"/>
  <c r="F991" i="6"/>
  <c r="G991" i="6" s="1"/>
  <c r="F990" i="6"/>
  <c r="G990" i="6" s="1"/>
  <c r="F989" i="6"/>
  <c r="G989" i="6" s="1"/>
  <c r="F988" i="6"/>
  <c r="G988" i="6" s="1"/>
  <c r="F987" i="6"/>
  <c r="G987" i="6" s="1"/>
  <c r="F986" i="6"/>
  <c r="G986" i="6" s="1"/>
  <c r="F985" i="6"/>
  <c r="G985" i="6" s="1"/>
  <c r="F984" i="6"/>
  <c r="G984" i="6" s="1"/>
  <c r="F983" i="6"/>
  <c r="G983" i="6" s="1"/>
  <c r="F982" i="6"/>
  <c r="G982" i="6" s="1"/>
  <c r="F981" i="6"/>
  <c r="G981" i="6" s="1"/>
  <c r="F980" i="6"/>
  <c r="G980" i="6" s="1"/>
  <c r="F979" i="6"/>
  <c r="G979" i="6" s="1"/>
  <c r="F978" i="6"/>
  <c r="G978" i="6" s="1"/>
  <c r="F977" i="6"/>
  <c r="G977" i="6" s="1"/>
  <c r="F976" i="6"/>
  <c r="G976" i="6" s="1"/>
  <c r="F975" i="6"/>
  <c r="G975" i="6" s="1"/>
  <c r="F974" i="6"/>
  <c r="G974" i="6" s="1"/>
  <c r="F973" i="6"/>
  <c r="G973" i="6" s="1"/>
  <c r="F972" i="6"/>
  <c r="G972" i="6" s="1"/>
  <c r="F971" i="6"/>
  <c r="G971" i="6" s="1"/>
  <c r="G970" i="6"/>
  <c r="F970" i="6"/>
  <c r="F969" i="6"/>
  <c r="G969" i="6" s="1"/>
  <c r="F968" i="6"/>
  <c r="G968" i="6" s="1"/>
  <c r="F967" i="6"/>
  <c r="G967" i="6" s="1"/>
  <c r="G966" i="6"/>
  <c r="F966" i="6"/>
  <c r="F965" i="6"/>
  <c r="G965" i="6" s="1"/>
  <c r="F964" i="6"/>
  <c r="G964" i="6" s="1"/>
  <c r="F963" i="6"/>
  <c r="G963" i="6" s="1"/>
  <c r="G962" i="6"/>
  <c r="F962" i="6"/>
  <c r="F961" i="6"/>
  <c r="G961" i="6" s="1"/>
  <c r="F960" i="6"/>
  <c r="G960" i="6" s="1"/>
  <c r="F959" i="6"/>
  <c r="G959" i="6" s="1"/>
  <c r="G958" i="6"/>
  <c r="F958" i="6"/>
  <c r="F957" i="6"/>
  <c r="G957" i="6" s="1"/>
  <c r="F956" i="6"/>
  <c r="G956" i="6" s="1"/>
  <c r="F955" i="6"/>
  <c r="G955" i="6" s="1"/>
  <c r="F954" i="6"/>
  <c r="G954" i="6" s="1"/>
  <c r="F953" i="6"/>
  <c r="G953" i="6" s="1"/>
  <c r="F952" i="6"/>
  <c r="G952" i="6" s="1"/>
  <c r="F951" i="6"/>
  <c r="G951" i="6" s="1"/>
  <c r="F950" i="6"/>
  <c r="G950" i="6" s="1"/>
  <c r="F949" i="6"/>
  <c r="G949" i="6" s="1"/>
  <c r="F948" i="6"/>
  <c r="G948" i="6" s="1"/>
  <c r="F947" i="6"/>
  <c r="G947" i="6" s="1"/>
  <c r="F946" i="6"/>
  <c r="G946" i="6" s="1"/>
  <c r="F945" i="6"/>
  <c r="G945" i="6" s="1"/>
  <c r="F944" i="6"/>
  <c r="G944" i="6" s="1"/>
  <c r="F943" i="6"/>
  <c r="G943" i="6" s="1"/>
  <c r="F942" i="6"/>
  <c r="G942" i="6" s="1"/>
  <c r="F941" i="6"/>
  <c r="G941" i="6" s="1"/>
  <c r="F940" i="6"/>
  <c r="G940" i="6" s="1"/>
  <c r="F939" i="6"/>
  <c r="G939" i="6" s="1"/>
  <c r="G938" i="6"/>
  <c r="F938" i="6"/>
  <c r="F937" i="6"/>
  <c r="G937" i="6" s="1"/>
  <c r="F936" i="6"/>
  <c r="G936" i="6" s="1"/>
  <c r="F935" i="6"/>
  <c r="G935" i="6" s="1"/>
  <c r="G934" i="6"/>
  <c r="F934" i="6"/>
  <c r="F933" i="6"/>
  <c r="G933" i="6" s="1"/>
  <c r="F932" i="6"/>
  <c r="G932" i="6" s="1"/>
  <c r="F931" i="6"/>
  <c r="G931" i="6" s="1"/>
  <c r="G930" i="6"/>
  <c r="F930" i="6"/>
  <c r="F929" i="6"/>
  <c r="G929" i="6" s="1"/>
  <c r="F928" i="6"/>
  <c r="G928" i="6" s="1"/>
  <c r="F927" i="6"/>
  <c r="G927" i="6" s="1"/>
  <c r="G926" i="6"/>
  <c r="F926" i="6"/>
  <c r="F925" i="6"/>
  <c r="G925" i="6" s="1"/>
  <c r="F924" i="6"/>
  <c r="G924" i="6" s="1"/>
  <c r="F923" i="6"/>
  <c r="G923" i="6" s="1"/>
  <c r="F922" i="6"/>
  <c r="G922" i="6" s="1"/>
  <c r="F921" i="6"/>
  <c r="G921" i="6" s="1"/>
  <c r="F920" i="6"/>
  <c r="G920" i="6" s="1"/>
  <c r="F919" i="6"/>
  <c r="G919" i="6" s="1"/>
  <c r="F918" i="6"/>
  <c r="G918" i="6" s="1"/>
  <c r="F917" i="6"/>
  <c r="G917" i="6" s="1"/>
  <c r="F916" i="6"/>
  <c r="G916" i="6" s="1"/>
  <c r="F915" i="6"/>
  <c r="G915" i="6" s="1"/>
  <c r="F914" i="6"/>
  <c r="G914" i="6" s="1"/>
  <c r="F913" i="6"/>
  <c r="G913" i="6" s="1"/>
  <c r="F912" i="6"/>
  <c r="G912" i="6" s="1"/>
  <c r="F911" i="6"/>
  <c r="G911" i="6" s="1"/>
  <c r="F910" i="6"/>
  <c r="G910" i="6" s="1"/>
  <c r="F909" i="6"/>
  <c r="G909" i="6" s="1"/>
  <c r="F908" i="6"/>
  <c r="G908" i="6" s="1"/>
  <c r="F907" i="6"/>
  <c r="G907" i="6" s="1"/>
  <c r="G906" i="6"/>
  <c r="F906" i="6"/>
  <c r="F905" i="6"/>
  <c r="G905" i="6" s="1"/>
  <c r="F904" i="6"/>
  <c r="G904" i="6" s="1"/>
  <c r="F903" i="6"/>
  <c r="G903" i="6" s="1"/>
  <c r="G902" i="6"/>
  <c r="F902" i="6"/>
  <c r="F901" i="6"/>
  <c r="G901" i="6" s="1"/>
  <c r="F900" i="6"/>
  <c r="G900" i="6" s="1"/>
  <c r="F899" i="6"/>
  <c r="G899" i="6" s="1"/>
  <c r="G898" i="6"/>
  <c r="F898" i="6"/>
  <c r="F897" i="6"/>
  <c r="G897" i="6" s="1"/>
  <c r="F896" i="6"/>
  <c r="G896" i="6" s="1"/>
  <c r="F895" i="6"/>
  <c r="G895" i="6" s="1"/>
  <c r="G894" i="6"/>
  <c r="F894" i="6"/>
  <c r="F893" i="6"/>
  <c r="G893" i="6" s="1"/>
  <c r="F892" i="6"/>
  <c r="G892" i="6" s="1"/>
  <c r="F891" i="6"/>
  <c r="G891" i="6" s="1"/>
  <c r="F890" i="6"/>
  <c r="G890" i="6" s="1"/>
  <c r="F889" i="6"/>
  <c r="G889" i="6" s="1"/>
  <c r="F888" i="6"/>
  <c r="G888" i="6" s="1"/>
  <c r="F887" i="6"/>
  <c r="G887" i="6" s="1"/>
  <c r="F886" i="6"/>
  <c r="G886" i="6" s="1"/>
  <c r="F885" i="6"/>
  <c r="G885" i="6" s="1"/>
  <c r="F884" i="6"/>
  <c r="G884" i="6" s="1"/>
  <c r="F883" i="6"/>
  <c r="G883" i="6" s="1"/>
  <c r="F882" i="6"/>
  <c r="G882" i="6" s="1"/>
  <c r="F881" i="6"/>
  <c r="G881" i="6" s="1"/>
  <c r="F880" i="6"/>
  <c r="G880" i="6" s="1"/>
  <c r="F879" i="6"/>
  <c r="G879" i="6" s="1"/>
  <c r="F878" i="6"/>
  <c r="G878" i="6" s="1"/>
  <c r="F877" i="6"/>
  <c r="G877" i="6" s="1"/>
  <c r="F876" i="6"/>
  <c r="G876" i="6" s="1"/>
  <c r="F875" i="6"/>
  <c r="G875" i="6" s="1"/>
  <c r="G874" i="6"/>
  <c r="F874" i="6"/>
  <c r="F873" i="6"/>
  <c r="G873" i="6" s="1"/>
  <c r="F872" i="6"/>
  <c r="G872" i="6" s="1"/>
  <c r="F871" i="6"/>
  <c r="G871" i="6" s="1"/>
  <c r="G870" i="6"/>
  <c r="F870" i="6"/>
  <c r="F869" i="6"/>
  <c r="G869" i="6" s="1"/>
  <c r="F868" i="6"/>
  <c r="G868" i="6" s="1"/>
  <c r="F867" i="6"/>
  <c r="G867" i="6" s="1"/>
  <c r="G866" i="6"/>
  <c r="F866" i="6"/>
  <c r="F865" i="6"/>
  <c r="G865" i="6" s="1"/>
  <c r="F864" i="6"/>
  <c r="G864" i="6" s="1"/>
  <c r="F863" i="6"/>
  <c r="G863" i="6" s="1"/>
  <c r="F862" i="6"/>
  <c r="G862" i="6" s="1"/>
  <c r="F861" i="6"/>
  <c r="G861" i="6" s="1"/>
  <c r="F860" i="6"/>
  <c r="G860" i="6" s="1"/>
  <c r="F859" i="6"/>
  <c r="G859" i="6" s="1"/>
  <c r="F858" i="6"/>
  <c r="G858" i="6" s="1"/>
  <c r="F857" i="6"/>
  <c r="G857" i="6" s="1"/>
  <c r="F856" i="6"/>
  <c r="G856" i="6" s="1"/>
  <c r="F855" i="6"/>
  <c r="G855" i="6" s="1"/>
  <c r="F854" i="6"/>
  <c r="G854" i="6" s="1"/>
  <c r="F853" i="6"/>
  <c r="G853" i="6" s="1"/>
  <c r="F852" i="6"/>
  <c r="G852" i="6" s="1"/>
  <c r="F851" i="6"/>
  <c r="G851" i="6" s="1"/>
  <c r="F850" i="6"/>
  <c r="G850" i="6" s="1"/>
  <c r="F849" i="6"/>
  <c r="G849" i="6" s="1"/>
  <c r="F848" i="6"/>
  <c r="G848" i="6" s="1"/>
  <c r="F847" i="6"/>
  <c r="G847" i="6" s="1"/>
  <c r="F846" i="6"/>
  <c r="G846" i="6" s="1"/>
  <c r="F845" i="6"/>
  <c r="G845" i="6" s="1"/>
  <c r="F844" i="6"/>
  <c r="G844" i="6" s="1"/>
  <c r="F843" i="6"/>
  <c r="G843" i="6" s="1"/>
  <c r="G842" i="6"/>
  <c r="F842" i="6"/>
  <c r="F841" i="6"/>
  <c r="G841" i="6" s="1"/>
  <c r="F840" i="6"/>
  <c r="G840" i="6" s="1"/>
  <c r="F839" i="6"/>
  <c r="G839" i="6" s="1"/>
  <c r="G838" i="6"/>
  <c r="F838" i="6"/>
  <c r="F837" i="6"/>
  <c r="G837" i="6" s="1"/>
  <c r="F836" i="6"/>
  <c r="G836" i="6" s="1"/>
  <c r="F835" i="6"/>
  <c r="G835" i="6" s="1"/>
  <c r="G834" i="6"/>
  <c r="F834" i="6"/>
  <c r="F833" i="6"/>
  <c r="G833" i="6" s="1"/>
  <c r="F832" i="6"/>
  <c r="G832" i="6" s="1"/>
  <c r="F831" i="6"/>
  <c r="G831" i="6" s="1"/>
  <c r="G830" i="6"/>
  <c r="F830" i="6"/>
  <c r="F829" i="6"/>
  <c r="G829" i="6" s="1"/>
  <c r="F828" i="6"/>
  <c r="G828" i="6" s="1"/>
  <c r="F827" i="6"/>
  <c r="G827" i="6" s="1"/>
  <c r="F826" i="6"/>
  <c r="G826" i="6" s="1"/>
  <c r="F825" i="6"/>
  <c r="G825" i="6" s="1"/>
  <c r="F824" i="6"/>
  <c r="G824" i="6" s="1"/>
  <c r="F823" i="6"/>
  <c r="G823" i="6" s="1"/>
  <c r="F822" i="6"/>
  <c r="G822" i="6" s="1"/>
  <c r="F821" i="6"/>
  <c r="G821" i="6" s="1"/>
  <c r="F820" i="6"/>
  <c r="G820" i="6" s="1"/>
  <c r="F819" i="6"/>
  <c r="G819" i="6" s="1"/>
  <c r="F818" i="6"/>
  <c r="G818" i="6" s="1"/>
  <c r="F817" i="6"/>
  <c r="G817" i="6" s="1"/>
  <c r="F816" i="6"/>
  <c r="G816" i="6" s="1"/>
  <c r="F815" i="6"/>
  <c r="G815" i="6" s="1"/>
  <c r="G814" i="6"/>
  <c r="F814" i="6"/>
  <c r="F813" i="6"/>
  <c r="G813" i="6" s="1"/>
  <c r="F812" i="6"/>
  <c r="G812" i="6" s="1"/>
  <c r="F811" i="6"/>
  <c r="G811" i="6" s="1"/>
  <c r="G810" i="6"/>
  <c r="F810" i="6"/>
  <c r="F809" i="6"/>
  <c r="G809" i="6" s="1"/>
  <c r="F808" i="6"/>
  <c r="G808" i="6" s="1"/>
  <c r="F807" i="6"/>
  <c r="G807" i="6" s="1"/>
  <c r="G806" i="6"/>
  <c r="F806" i="6"/>
  <c r="F805" i="6"/>
  <c r="G805" i="6" s="1"/>
  <c r="F804" i="6"/>
  <c r="G804" i="6" s="1"/>
  <c r="F803" i="6"/>
  <c r="G803" i="6" s="1"/>
  <c r="G802" i="6"/>
  <c r="F802" i="6"/>
  <c r="F801" i="6"/>
  <c r="G801" i="6" s="1"/>
  <c r="F800" i="6"/>
  <c r="G800" i="6" s="1"/>
  <c r="F799" i="6"/>
  <c r="G799" i="6" s="1"/>
  <c r="G798" i="6"/>
  <c r="F798" i="6"/>
  <c r="F797" i="6"/>
  <c r="G797" i="6" s="1"/>
  <c r="F796" i="6"/>
  <c r="G796" i="6" s="1"/>
  <c r="F795" i="6"/>
  <c r="G795" i="6" s="1"/>
  <c r="F794" i="6"/>
  <c r="G794" i="6" s="1"/>
  <c r="F793" i="6"/>
  <c r="G793" i="6" s="1"/>
  <c r="F792" i="6"/>
  <c r="G792" i="6" s="1"/>
  <c r="F791" i="6"/>
  <c r="G791" i="6" s="1"/>
  <c r="F790" i="6"/>
  <c r="G790" i="6" s="1"/>
  <c r="F789" i="6"/>
  <c r="G789" i="6" s="1"/>
  <c r="F788" i="6"/>
  <c r="G788" i="6" s="1"/>
  <c r="F787" i="6"/>
  <c r="G787" i="6" s="1"/>
  <c r="F786" i="6"/>
  <c r="G786" i="6" s="1"/>
  <c r="F785" i="6"/>
  <c r="G785" i="6" s="1"/>
  <c r="F784" i="6"/>
  <c r="G784" i="6" s="1"/>
  <c r="F783" i="6"/>
  <c r="G783" i="6" s="1"/>
  <c r="G782" i="6"/>
  <c r="F782" i="6"/>
  <c r="F781" i="6"/>
  <c r="G781" i="6" s="1"/>
  <c r="F780" i="6"/>
  <c r="G780" i="6" s="1"/>
  <c r="F779" i="6"/>
  <c r="G779" i="6" s="1"/>
  <c r="G778" i="6"/>
  <c r="F778" i="6"/>
  <c r="F777" i="6"/>
  <c r="G777" i="6" s="1"/>
  <c r="F776" i="6"/>
  <c r="G776" i="6" s="1"/>
  <c r="F775" i="6"/>
  <c r="G775" i="6" s="1"/>
  <c r="G774" i="6"/>
  <c r="F774" i="6"/>
  <c r="F773" i="6"/>
  <c r="G773" i="6" s="1"/>
  <c r="F772" i="6"/>
  <c r="G772" i="6" s="1"/>
  <c r="F771" i="6"/>
  <c r="G771" i="6" s="1"/>
  <c r="G770" i="6"/>
  <c r="F770" i="6"/>
  <c r="F769" i="6"/>
  <c r="G769" i="6" s="1"/>
  <c r="F768" i="6"/>
  <c r="G768" i="6" s="1"/>
  <c r="F767" i="6"/>
  <c r="G767" i="6" s="1"/>
  <c r="F766" i="6"/>
  <c r="G766" i="6" s="1"/>
  <c r="F765" i="6"/>
  <c r="G765" i="6" s="1"/>
  <c r="F764" i="6"/>
  <c r="G764" i="6" s="1"/>
  <c r="F763" i="6"/>
  <c r="G763" i="6" s="1"/>
  <c r="F762" i="6"/>
  <c r="G762" i="6" s="1"/>
  <c r="F761" i="6"/>
  <c r="G761" i="6" s="1"/>
  <c r="F760" i="6"/>
  <c r="G760" i="6" s="1"/>
  <c r="F759" i="6"/>
  <c r="G759" i="6" s="1"/>
  <c r="F758" i="6"/>
  <c r="G758" i="6" s="1"/>
  <c r="F757" i="6"/>
  <c r="G757" i="6" s="1"/>
  <c r="F756" i="6"/>
  <c r="G756" i="6" s="1"/>
  <c r="F755" i="6"/>
  <c r="G755" i="6" s="1"/>
  <c r="F754" i="6"/>
  <c r="G754" i="6" s="1"/>
  <c r="F753" i="6"/>
  <c r="G753" i="6" s="1"/>
  <c r="F752" i="6"/>
  <c r="G752" i="6" s="1"/>
  <c r="F751" i="6"/>
  <c r="G751" i="6" s="1"/>
  <c r="G750" i="6"/>
  <c r="F750" i="6"/>
  <c r="F749" i="6"/>
  <c r="G749" i="6" s="1"/>
  <c r="F748" i="6"/>
  <c r="G748" i="6" s="1"/>
  <c r="F747" i="6"/>
  <c r="G747" i="6" s="1"/>
  <c r="G746" i="6"/>
  <c r="F746" i="6"/>
  <c r="F745" i="6"/>
  <c r="G745" i="6" s="1"/>
  <c r="F744" i="6"/>
  <c r="G744" i="6" s="1"/>
  <c r="F743" i="6"/>
  <c r="G743" i="6" s="1"/>
  <c r="G742" i="6"/>
  <c r="F742" i="6"/>
  <c r="F741" i="6"/>
  <c r="G741" i="6" s="1"/>
  <c r="F740" i="6"/>
  <c r="G740" i="6" s="1"/>
  <c r="F739" i="6"/>
  <c r="G739" i="6" s="1"/>
  <c r="G738" i="6"/>
  <c r="F738" i="6"/>
  <c r="F737" i="6"/>
  <c r="G737" i="6" s="1"/>
  <c r="F736" i="6"/>
  <c r="G736" i="6" s="1"/>
  <c r="F735" i="6"/>
  <c r="G735" i="6" s="1"/>
  <c r="F734" i="6"/>
  <c r="G734" i="6" s="1"/>
  <c r="F733" i="6"/>
  <c r="G733" i="6" s="1"/>
  <c r="F732" i="6"/>
  <c r="G732" i="6" s="1"/>
  <c r="F731" i="6"/>
  <c r="G731" i="6" s="1"/>
  <c r="F730" i="6"/>
  <c r="G730" i="6" s="1"/>
  <c r="F729" i="6"/>
  <c r="G729" i="6" s="1"/>
  <c r="F728" i="6"/>
  <c r="G728" i="6" s="1"/>
  <c r="F727" i="6"/>
  <c r="G727" i="6" s="1"/>
  <c r="F726" i="6"/>
  <c r="G726" i="6" s="1"/>
  <c r="F725" i="6"/>
  <c r="G725" i="6" s="1"/>
  <c r="F724" i="6"/>
  <c r="G724" i="6" s="1"/>
  <c r="F723" i="6"/>
  <c r="G723" i="6" s="1"/>
  <c r="F722" i="6"/>
  <c r="G722" i="6" s="1"/>
  <c r="F721" i="6"/>
  <c r="G721" i="6" s="1"/>
  <c r="F720" i="6"/>
  <c r="G720" i="6" s="1"/>
  <c r="F719" i="6"/>
  <c r="G719" i="6" s="1"/>
  <c r="G718" i="6"/>
  <c r="F718" i="6"/>
  <c r="F717" i="6"/>
  <c r="G717" i="6" s="1"/>
  <c r="F716" i="6"/>
  <c r="G716" i="6" s="1"/>
  <c r="F715" i="6"/>
  <c r="G715" i="6" s="1"/>
  <c r="G714" i="6"/>
  <c r="F714" i="6"/>
  <c r="F713" i="6"/>
  <c r="G713" i="6" s="1"/>
  <c r="F712" i="6"/>
  <c r="G712" i="6" s="1"/>
  <c r="F711" i="6"/>
  <c r="G711" i="6" s="1"/>
  <c r="G710" i="6"/>
  <c r="F710" i="6"/>
  <c r="F709" i="6"/>
  <c r="G709" i="6" s="1"/>
  <c r="F708" i="6"/>
  <c r="G708" i="6" s="1"/>
  <c r="F707" i="6"/>
  <c r="G707" i="6" s="1"/>
  <c r="G706" i="6"/>
  <c r="F706" i="6"/>
  <c r="F705" i="6"/>
  <c r="G705" i="6" s="1"/>
  <c r="F704" i="6"/>
  <c r="G704" i="6" s="1"/>
  <c r="F703" i="6"/>
  <c r="G703" i="6" s="1"/>
  <c r="F702" i="6"/>
  <c r="G702" i="6" s="1"/>
  <c r="F701" i="6"/>
  <c r="G701" i="6" s="1"/>
  <c r="G700" i="6"/>
  <c r="F700" i="6"/>
  <c r="F699" i="6"/>
  <c r="G699" i="6" s="1"/>
  <c r="G698" i="6"/>
  <c r="F698" i="6"/>
  <c r="F697" i="6"/>
  <c r="G697" i="6" s="1"/>
  <c r="G696" i="6"/>
  <c r="F696" i="6"/>
  <c r="F695" i="6"/>
  <c r="G695" i="6" s="1"/>
  <c r="F694" i="6"/>
  <c r="G694" i="6" s="1"/>
  <c r="F693" i="6"/>
  <c r="G693" i="6" s="1"/>
  <c r="F692" i="6"/>
  <c r="G692" i="6" s="1"/>
  <c r="F691" i="6"/>
  <c r="G691" i="6" s="1"/>
  <c r="F690" i="6"/>
  <c r="G690" i="6" s="1"/>
  <c r="F689" i="6"/>
  <c r="G689" i="6" s="1"/>
  <c r="F688" i="6"/>
  <c r="G688" i="6" s="1"/>
  <c r="F687" i="6"/>
  <c r="G687" i="6" s="1"/>
  <c r="G686" i="6"/>
  <c r="F686" i="6"/>
  <c r="F685" i="6"/>
  <c r="G685" i="6" s="1"/>
  <c r="G684" i="6"/>
  <c r="F684" i="6"/>
  <c r="F683" i="6"/>
  <c r="G683" i="6" s="1"/>
  <c r="G682" i="6"/>
  <c r="F682" i="6"/>
  <c r="F681" i="6"/>
  <c r="G681" i="6" s="1"/>
  <c r="G680" i="6"/>
  <c r="F680" i="6"/>
  <c r="F679" i="6"/>
  <c r="G679" i="6" s="1"/>
  <c r="F678" i="6"/>
  <c r="G678" i="6" s="1"/>
  <c r="F677" i="6"/>
  <c r="G677" i="6" s="1"/>
  <c r="F676" i="6"/>
  <c r="G676" i="6" s="1"/>
  <c r="F675" i="6"/>
  <c r="G675" i="6" s="1"/>
  <c r="F674" i="6"/>
  <c r="G674" i="6" s="1"/>
  <c r="F673" i="6"/>
  <c r="G673" i="6" s="1"/>
  <c r="F672" i="6"/>
  <c r="G672" i="6" s="1"/>
  <c r="F671" i="6"/>
  <c r="G671" i="6" s="1"/>
  <c r="F670" i="6"/>
  <c r="G670" i="6" s="1"/>
  <c r="F669" i="6"/>
  <c r="G669" i="6" s="1"/>
  <c r="G668" i="6"/>
  <c r="F668" i="6"/>
  <c r="F667" i="6"/>
  <c r="G667" i="6" s="1"/>
  <c r="G666" i="6"/>
  <c r="F666" i="6"/>
  <c r="F665" i="6"/>
  <c r="G665" i="6" s="1"/>
  <c r="G664" i="6"/>
  <c r="F664" i="6"/>
  <c r="F663" i="6"/>
  <c r="G663" i="6" s="1"/>
  <c r="F662" i="6"/>
  <c r="G662" i="6" s="1"/>
  <c r="F661" i="6"/>
  <c r="G661" i="6" s="1"/>
  <c r="F660" i="6"/>
  <c r="G660" i="6" s="1"/>
  <c r="G659" i="6"/>
  <c r="F659" i="6"/>
  <c r="G658" i="6"/>
  <c r="F658" i="6"/>
  <c r="F657" i="6"/>
  <c r="G657" i="6" s="1"/>
  <c r="F656" i="6"/>
  <c r="G656" i="6" s="1"/>
  <c r="G655" i="6"/>
  <c r="F655" i="6"/>
  <c r="G654" i="6"/>
  <c r="F654" i="6"/>
  <c r="F653" i="6"/>
  <c r="G653" i="6" s="1"/>
  <c r="F652" i="6"/>
  <c r="G652" i="6" s="1"/>
  <c r="G651" i="6"/>
  <c r="F651" i="6"/>
  <c r="G650" i="6"/>
  <c r="F650" i="6"/>
  <c r="F649" i="6"/>
  <c r="G649" i="6" s="1"/>
  <c r="F648" i="6"/>
  <c r="G648" i="6" s="1"/>
  <c r="G647" i="6"/>
  <c r="F647" i="6"/>
  <c r="G646" i="6"/>
  <c r="F646" i="6"/>
  <c r="F645" i="6"/>
  <c r="G645" i="6" s="1"/>
  <c r="F644" i="6"/>
  <c r="G644" i="6" s="1"/>
  <c r="G643" i="6"/>
  <c r="F643" i="6"/>
  <c r="G642" i="6"/>
  <c r="F642" i="6"/>
  <c r="F641" i="6"/>
  <c r="G641" i="6" s="1"/>
  <c r="F640" i="6"/>
  <c r="G640" i="6" s="1"/>
  <c r="G639" i="6"/>
  <c r="F639" i="6"/>
  <c r="G638" i="6"/>
  <c r="F638" i="6"/>
  <c r="F637" i="6"/>
  <c r="G637" i="6" s="1"/>
  <c r="F636" i="6"/>
  <c r="G636" i="6" s="1"/>
  <c r="G635" i="6"/>
  <c r="F635" i="6"/>
  <c r="G634" i="6"/>
  <c r="F634" i="6"/>
  <c r="F633" i="6"/>
  <c r="G633" i="6" s="1"/>
  <c r="F632" i="6"/>
  <c r="G632" i="6" s="1"/>
  <c r="G631" i="6"/>
  <c r="F631" i="6"/>
  <c r="G630" i="6"/>
  <c r="F630" i="6"/>
  <c r="F629" i="6"/>
  <c r="G629" i="6" s="1"/>
  <c r="F628" i="6"/>
  <c r="G628" i="6" s="1"/>
  <c r="G627" i="6"/>
  <c r="F627" i="6"/>
  <c r="G626" i="6"/>
  <c r="F626" i="6"/>
  <c r="F625" i="6"/>
  <c r="G625" i="6" s="1"/>
  <c r="F624" i="6"/>
  <c r="G624" i="6" s="1"/>
  <c r="G623" i="6"/>
  <c r="F623" i="6"/>
  <c r="G622" i="6"/>
  <c r="F622" i="6"/>
  <c r="F621" i="6"/>
  <c r="G621" i="6" s="1"/>
  <c r="F620" i="6"/>
  <c r="G620" i="6" s="1"/>
  <c r="G619" i="6"/>
  <c r="F619" i="6"/>
  <c r="G618" i="6"/>
  <c r="F618" i="6"/>
  <c r="F617" i="6"/>
  <c r="G617" i="6" s="1"/>
  <c r="F616" i="6"/>
  <c r="G616" i="6" s="1"/>
  <c r="G615" i="6"/>
  <c r="F615" i="6"/>
  <c r="G614" i="6"/>
  <c r="F614" i="6"/>
  <c r="F613" i="6"/>
  <c r="G613" i="6" s="1"/>
  <c r="F612" i="6"/>
  <c r="G612" i="6" s="1"/>
  <c r="G611" i="6"/>
  <c r="F611" i="6"/>
  <c r="G610" i="6"/>
  <c r="F610" i="6"/>
  <c r="F609" i="6"/>
  <c r="G609" i="6" s="1"/>
  <c r="F608" i="6"/>
  <c r="G608" i="6" s="1"/>
  <c r="G607" i="6"/>
  <c r="F607" i="6"/>
  <c r="G606" i="6"/>
  <c r="F606" i="6"/>
  <c r="F605" i="6"/>
  <c r="G605" i="6" s="1"/>
  <c r="F604" i="6"/>
  <c r="G604" i="6" s="1"/>
  <c r="G603" i="6"/>
  <c r="F603" i="6"/>
  <c r="G602" i="6"/>
  <c r="F602" i="6"/>
  <c r="F601" i="6"/>
  <c r="G601" i="6" s="1"/>
  <c r="F600" i="6"/>
  <c r="G600" i="6" s="1"/>
  <c r="G599" i="6"/>
  <c r="F599" i="6"/>
  <c r="G598" i="6"/>
  <c r="F598" i="6"/>
  <c r="F597" i="6"/>
  <c r="G597" i="6" s="1"/>
  <c r="F596" i="6"/>
  <c r="G596" i="6" s="1"/>
  <c r="G595" i="6"/>
  <c r="F595" i="6"/>
  <c r="G594" i="6"/>
  <c r="F594" i="6"/>
  <c r="F593" i="6"/>
  <c r="G593" i="6" s="1"/>
  <c r="F592" i="6"/>
  <c r="G592" i="6" s="1"/>
  <c r="F591" i="6"/>
  <c r="G591" i="6" s="1"/>
  <c r="G590" i="6"/>
  <c r="F590" i="6"/>
  <c r="F589" i="6"/>
  <c r="G589" i="6" s="1"/>
  <c r="F588" i="6"/>
  <c r="G588" i="6" s="1"/>
  <c r="F587" i="6"/>
  <c r="G587" i="6" s="1"/>
  <c r="G586" i="6"/>
  <c r="F586" i="6"/>
  <c r="F585" i="6"/>
  <c r="G585" i="6" s="1"/>
  <c r="F584" i="6"/>
  <c r="G584" i="6" s="1"/>
  <c r="G583" i="6"/>
  <c r="F583" i="6"/>
  <c r="G582" i="6"/>
  <c r="F582" i="6"/>
  <c r="F581" i="6"/>
  <c r="G581" i="6" s="1"/>
  <c r="F580" i="6"/>
  <c r="G580" i="6" s="1"/>
  <c r="G579" i="6"/>
  <c r="F579" i="6"/>
  <c r="G578" i="6"/>
  <c r="F578" i="6"/>
  <c r="F577" i="6"/>
  <c r="G577" i="6" s="1"/>
  <c r="F576" i="6"/>
  <c r="G576" i="6" s="1"/>
  <c r="F575" i="6"/>
  <c r="G575" i="6" s="1"/>
  <c r="F574" i="6"/>
  <c r="G574" i="6" s="1"/>
  <c r="F573" i="6"/>
  <c r="G573" i="6" s="1"/>
  <c r="F572" i="6"/>
  <c r="G572" i="6" s="1"/>
  <c r="F571" i="6"/>
  <c r="G571" i="6" s="1"/>
  <c r="F570" i="6"/>
  <c r="G570" i="6" s="1"/>
  <c r="F569" i="6"/>
  <c r="G569" i="6" s="1"/>
  <c r="F568" i="6"/>
  <c r="G568" i="6" s="1"/>
  <c r="G567" i="6"/>
  <c r="F567" i="6"/>
  <c r="F566" i="6"/>
  <c r="G566" i="6" s="1"/>
  <c r="F565" i="6"/>
  <c r="G565" i="6" s="1"/>
  <c r="F564" i="6"/>
  <c r="G564" i="6" s="1"/>
  <c r="F563" i="6"/>
  <c r="G563" i="6" s="1"/>
  <c r="G562" i="6"/>
  <c r="F562" i="6"/>
  <c r="F561" i="6"/>
  <c r="G561" i="6" s="1"/>
  <c r="F560" i="6"/>
  <c r="G560" i="6" s="1"/>
  <c r="F559" i="6"/>
  <c r="G559" i="6" s="1"/>
  <c r="F558" i="6"/>
  <c r="G558" i="6" s="1"/>
  <c r="F557" i="6"/>
  <c r="G557" i="6" s="1"/>
  <c r="F556" i="6"/>
  <c r="G556" i="6" s="1"/>
  <c r="F555" i="6"/>
  <c r="G555" i="6" s="1"/>
  <c r="F554" i="6"/>
  <c r="G554" i="6" s="1"/>
  <c r="F553" i="6"/>
  <c r="G553" i="6" s="1"/>
  <c r="F552" i="6"/>
  <c r="G552" i="6" s="1"/>
  <c r="G551" i="6"/>
  <c r="F551" i="6"/>
  <c r="F550" i="6"/>
  <c r="G550" i="6" s="1"/>
  <c r="F549" i="6"/>
  <c r="G549" i="6" s="1"/>
  <c r="F548" i="6"/>
  <c r="G548" i="6" s="1"/>
  <c r="F547" i="6"/>
  <c r="G547" i="6" s="1"/>
  <c r="G546" i="6"/>
  <c r="F546" i="6"/>
  <c r="F545" i="6"/>
  <c r="G545" i="6" s="1"/>
  <c r="F544" i="6"/>
  <c r="G544" i="6" s="1"/>
  <c r="F543" i="6"/>
  <c r="G543" i="6" s="1"/>
  <c r="F542" i="6"/>
  <c r="G542" i="6" s="1"/>
  <c r="F541" i="6"/>
  <c r="G541" i="6" s="1"/>
  <c r="F540" i="6"/>
  <c r="G540" i="6" s="1"/>
  <c r="F539" i="6"/>
  <c r="G539" i="6" s="1"/>
  <c r="F538" i="6"/>
  <c r="G538" i="6" s="1"/>
  <c r="F537" i="6"/>
  <c r="G537" i="6" s="1"/>
  <c r="F536" i="6"/>
  <c r="G536" i="6" s="1"/>
  <c r="G535" i="6"/>
  <c r="F535" i="6"/>
  <c r="F534" i="6"/>
  <c r="G534" i="6" s="1"/>
  <c r="F533" i="6"/>
  <c r="G533" i="6" s="1"/>
  <c r="F532" i="6"/>
  <c r="G532" i="6" s="1"/>
  <c r="F531" i="6"/>
  <c r="G531" i="6" s="1"/>
  <c r="G530" i="6"/>
  <c r="F530" i="6"/>
  <c r="F529" i="6"/>
  <c r="G529" i="6" s="1"/>
  <c r="F528" i="6"/>
  <c r="G528" i="6" s="1"/>
  <c r="F527" i="6"/>
  <c r="G527" i="6" s="1"/>
  <c r="F526" i="6"/>
  <c r="G526" i="6" s="1"/>
  <c r="F525" i="6"/>
  <c r="G525" i="6" s="1"/>
  <c r="F524" i="6"/>
  <c r="G524" i="6" s="1"/>
  <c r="F523" i="6"/>
  <c r="G523" i="6" s="1"/>
  <c r="F522" i="6"/>
  <c r="G522" i="6" s="1"/>
  <c r="F521" i="6"/>
  <c r="G521" i="6" s="1"/>
  <c r="F520" i="6"/>
  <c r="G520" i="6" s="1"/>
  <c r="G519" i="6"/>
  <c r="F519" i="6"/>
  <c r="F518" i="6"/>
  <c r="G518" i="6" s="1"/>
  <c r="F517" i="6"/>
  <c r="G517" i="6" s="1"/>
  <c r="F516" i="6"/>
  <c r="G516" i="6" s="1"/>
  <c r="F515" i="6"/>
  <c r="G515" i="6" s="1"/>
  <c r="G514" i="6"/>
  <c r="F514" i="6"/>
  <c r="F513" i="6"/>
  <c r="G513" i="6" s="1"/>
  <c r="F512" i="6"/>
  <c r="G512" i="6" s="1"/>
  <c r="F511" i="6"/>
  <c r="G511" i="6" s="1"/>
  <c r="F510" i="6"/>
  <c r="G510" i="6" s="1"/>
  <c r="F509" i="6"/>
  <c r="G509" i="6" s="1"/>
  <c r="F508" i="6"/>
  <c r="G508" i="6" s="1"/>
  <c r="F507" i="6"/>
  <c r="G507" i="6" s="1"/>
  <c r="F506" i="6"/>
  <c r="G506" i="6" s="1"/>
  <c r="F505" i="6"/>
  <c r="G505" i="6" s="1"/>
  <c r="F504" i="6"/>
  <c r="G504" i="6" s="1"/>
  <c r="G503" i="6"/>
  <c r="F503" i="6"/>
  <c r="F502" i="6"/>
  <c r="G502" i="6" s="1"/>
  <c r="F501" i="6"/>
  <c r="G501" i="6" s="1"/>
  <c r="F500" i="6"/>
  <c r="G500" i="6" s="1"/>
  <c r="F499" i="6"/>
  <c r="G499" i="6" s="1"/>
  <c r="G498" i="6"/>
  <c r="F498" i="6"/>
  <c r="F497" i="6"/>
  <c r="G497" i="6" s="1"/>
  <c r="F496" i="6"/>
  <c r="G496" i="6" s="1"/>
  <c r="F495" i="6"/>
  <c r="G495" i="6" s="1"/>
  <c r="F494" i="6"/>
  <c r="G494" i="6" s="1"/>
  <c r="F493" i="6"/>
  <c r="G493" i="6" s="1"/>
  <c r="F492" i="6"/>
  <c r="G492" i="6" s="1"/>
  <c r="F491" i="6"/>
  <c r="G491" i="6" s="1"/>
  <c r="F490" i="6"/>
  <c r="G490" i="6" s="1"/>
  <c r="F489" i="6"/>
  <c r="G489" i="6" s="1"/>
  <c r="F488" i="6"/>
  <c r="G488" i="6" s="1"/>
  <c r="G487" i="6"/>
  <c r="F487" i="6"/>
  <c r="F486" i="6"/>
  <c r="G486" i="6" s="1"/>
  <c r="F485" i="6"/>
  <c r="G485" i="6" s="1"/>
  <c r="F484" i="6"/>
  <c r="G484" i="6" s="1"/>
  <c r="F483" i="6"/>
  <c r="G483" i="6" s="1"/>
  <c r="G482" i="6"/>
  <c r="F482" i="6"/>
  <c r="F481" i="6"/>
  <c r="G481" i="6" s="1"/>
  <c r="F480" i="6"/>
  <c r="G480" i="6" s="1"/>
  <c r="F479" i="6"/>
  <c r="G479" i="6" s="1"/>
  <c r="F478" i="6"/>
  <c r="G478" i="6" s="1"/>
  <c r="F477" i="6"/>
  <c r="G477" i="6" s="1"/>
  <c r="F476" i="6"/>
  <c r="G476" i="6" s="1"/>
  <c r="F475" i="6"/>
  <c r="G475" i="6" s="1"/>
  <c r="F474" i="6"/>
  <c r="G474" i="6" s="1"/>
  <c r="F473" i="6"/>
  <c r="G473" i="6" s="1"/>
  <c r="F472" i="6"/>
  <c r="G472" i="6" s="1"/>
  <c r="G471" i="6"/>
  <c r="F471" i="6"/>
  <c r="F470" i="6"/>
  <c r="G470" i="6" s="1"/>
  <c r="F469" i="6"/>
  <c r="G469" i="6" s="1"/>
  <c r="F468" i="6"/>
  <c r="G468" i="6" s="1"/>
  <c r="F467" i="6"/>
  <c r="G467" i="6" s="1"/>
  <c r="G466" i="6"/>
  <c r="F466" i="6"/>
  <c r="F465" i="6"/>
  <c r="G465" i="6" s="1"/>
  <c r="F464" i="6"/>
  <c r="G464" i="6" s="1"/>
  <c r="F463" i="6"/>
  <c r="G463" i="6" s="1"/>
  <c r="F462" i="6"/>
  <c r="G462" i="6" s="1"/>
  <c r="F461" i="6"/>
  <c r="G461" i="6" s="1"/>
  <c r="F460" i="6"/>
  <c r="G460" i="6" s="1"/>
  <c r="F459" i="6"/>
  <c r="G459" i="6" s="1"/>
  <c r="F458" i="6"/>
  <c r="G458" i="6" s="1"/>
  <c r="F457" i="6"/>
  <c r="G457" i="6" s="1"/>
  <c r="F456" i="6"/>
  <c r="G456" i="6" s="1"/>
  <c r="G455" i="6"/>
  <c r="F455" i="6"/>
  <c r="F454" i="6"/>
  <c r="G454" i="6" s="1"/>
  <c r="F453" i="6"/>
  <c r="G453" i="6" s="1"/>
  <c r="F452" i="6"/>
  <c r="G452" i="6" s="1"/>
  <c r="F451" i="6"/>
  <c r="G451" i="6" s="1"/>
  <c r="G450" i="6"/>
  <c r="F450" i="6"/>
  <c r="F449" i="6"/>
  <c r="G449" i="6" s="1"/>
  <c r="F448" i="6"/>
  <c r="G448" i="6" s="1"/>
  <c r="F447" i="6"/>
  <c r="G447" i="6" s="1"/>
  <c r="F446" i="6"/>
  <c r="G446" i="6" s="1"/>
  <c r="F445" i="6"/>
  <c r="G445" i="6" s="1"/>
  <c r="F444" i="6"/>
  <c r="G444" i="6" s="1"/>
  <c r="F443" i="6"/>
  <c r="G443" i="6" s="1"/>
  <c r="F442" i="6"/>
  <c r="G442" i="6" s="1"/>
  <c r="F441" i="6"/>
  <c r="G441" i="6" s="1"/>
  <c r="F440" i="6"/>
  <c r="G440" i="6" s="1"/>
  <c r="G439" i="6"/>
  <c r="F439" i="6"/>
  <c r="F438" i="6"/>
  <c r="G438" i="6" s="1"/>
  <c r="F437" i="6"/>
  <c r="G437" i="6" s="1"/>
  <c r="F436" i="6"/>
  <c r="G436" i="6" s="1"/>
  <c r="F435" i="6"/>
  <c r="G435" i="6" s="1"/>
  <c r="G434" i="6"/>
  <c r="F434" i="6"/>
  <c r="F433" i="6"/>
  <c r="G433" i="6" s="1"/>
  <c r="F432" i="6"/>
  <c r="G432" i="6" s="1"/>
  <c r="F431" i="6"/>
  <c r="G431" i="6" s="1"/>
  <c r="F430" i="6"/>
  <c r="G430" i="6" s="1"/>
  <c r="F429" i="6"/>
  <c r="G429" i="6" s="1"/>
  <c r="F428" i="6"/>
  <c r="G428" i="6" s="1"/>
  <c r="F427" i="6"/>
  <c r="G427" i="6" s="1"/>
  <c r="F426" i="6"/>
  <c r="G426" i="6" s="1"/>
  <c r="F425" i="6"/>
  <c r="G425" i="6" s="1"/>
  <c r="F424" i="6"/>
  <c r="G424" i="6" s="1"/>
  <c r="G423" i="6"/>
  <c r="F423" i="6"/>
  <c r="F422" i="6"/>
  <c r="G422" i="6" s="1"/>
  <c r="F421" i="6"/>
  <c r="G421" i="6" s="1"/>
  <c r="F420" i="6"/>
  <c r="G420" i="6" s="1"/>
  <c r="F419" i="6"/>
  <c r="G419" i="6" s="1"/>
  <c r="G418" i="6"/>
  <c r="F418" i="6"/>
  <c r="F417" i="6"/>
  <c r="G417" i="6" s="1"/>
  <c r="F416" i="6"/>
  <c r="G416" i="6" s="1"/>
  <c r="F415" i="6"/>
  <c r="G415" i="6" s="1"/>
  <c r="F414" i="6"/>
  <c r="G414" i="6" s="1"/>
  <c r="F413" i="6"/>
  <c r="G413" i="6" s="1"/>
  <c r="F412" i="6"/>
  <c r="G412" i="6" s="1"/>
  <c r="F411" i="6"/>
  <c r="G411" i="6" s="1"/>
  <c r="F410" i="6"/>
  <c r="G410" i="6" s="1"/>
  <c r="F409" i="6"/>
  <c r="G409" i="6" s="1"/>
  <c r="F408" i="6"/>
  <c r="G408" i="6" s="1"/>
  <c r="G407" i="6"/>
  <c r="F407" i="6"/>
  <c r="F406" i="6"/>
  <c r="G406" i="6" s="1"/>
  <c r="F405" i="6"/>
  <c r="G405" i="6" s="1"/>
  <c r="F404" i="6"/>
  <c r="G404" i="6" s="1"/>
  <c r="F403" i="6"/>
  <c r="G403" i="6" s="1"/>
  <c r="G402" i="6"/>
  <c r="F402" i="6"/>
  <c r="F401" i="6"/>
  <c r="G401" i="6" s="1"/>
  <c r="F400" i="6"/>
  <c r="G400" i="6" s="1"/>
  <c r="F399" i="6"/>
  <c r="G399" i="6" s="1"/>
  <c r="F398" i="6"/>
  <c r="G398" i="6" s="1"/>
  <c r="F397" i="6"/>
  <c r="G397" i="6" s="1"/>
  <c r="F396" i="6"/>
  <c r="G396" i="6" s="1"/>
  <c r="F395" i="6"/>
  <c r="G395" i="6" s="1"/>
  <c r="F394" i="6"/>
  <c r="G394" i="6" s="1"/>
  <c r="F393" i="6"/>
  <c r="G393" i="6" s="1"/>
  <c r="F392" i="6"/>
  <c r="G392" i="6" s="1"/>
  <c r="G391" i="6"/>
  <c r="F391" i="6"/>
  <c r="F390" i="6"/>
  <c r="G390" i="6" s="1"/>
  <c r="F389" i="6"/>
  <c r="G389" i="6" s="1"/>
  <c r="F388" i="6"/>
  <c r="G388" i="6" s="1"/>
  <c r="F387" i="6"/>
  <c r="G387" i="6" s="1"/>
  <c r="G386" i="6"/>
  <c r="F386" i="6"/>
  <c r="F385" i="6"/>
  <c r="G385" i="6" s="1"/>
  <c r="F384" i="6"/>
  <c r="G384" i="6" s="1"/>
  <c r="F383" i="6"/>
  <c r="G383" i="6" s="1"/>
  <c r="F382" i="6"/>
  <c r="G382" i="6" s="1"/>
  <c r="F381" i="6"/>
  <c r="G381" i="6" s="1"/>
  <c r="F380" i="6"/>
  <c r="G380" i="6" s="1"/>
  <c r="F379" i="6"/>
  <c r="G379" i="6" s="1"/>
  <c r="F378" i="6"/>
  <c r="G378" i="6" s="1"/>
  <c r="F377" i="6"/>
  <c r="G377" i="6" s="1"/>
  <c r="F376" i="6"/>
  <c r="G376" i="6" s="1"/>
  <c r="G375" i="6"/>
  <c r="F375" i="6"/>
  <c r="F374" i="6"/>
  <c r="G374" i="6" s="1"/>
  <c r="F373" i="6"/>
  <c r="G373" i="6" s="1"/>
  <c r="F372" i="6"/>
  <c r="G372" i="6" s="1"/>
  <c r="F371" i="6"/>
  <c r="G371" i="6" s="1"/>
  <c r="G370" i="6"/>
  <c r="F370" i="6"/>
  <c r="F369" i="6"/>
  <c r="G369" i="6" s="1"/>
  <c r="G368" i="6"/>
  <c r="F368" i="6"/>
  <c r="G367" i="6"/>
  <c r="F367" i="6"/>
  <c r="F366" i="6"/>
  <c r="G366" i="6" s="1"/>
  <c r="F365" i="6"/>
  <c r="G365" i="6" s="1"/>
  <c r="F364" i="6"/>
  <c r="G364" i="6" s="1"/>
  <c r="G363" i="6"/>
  <c r="F363" i="6"/>
  <c r="F362" i="6"/>
  <c r="G362" i="6" s="1"/>
  <c r="G361" i="6"/>
  <c r="F361" i="6"/>
  <c r="F360" i="6"/>
  <c r="G360" i="6" s="1"/>
  <c r="G359" i="6"/>
  <c r="F359" i="6"/>
  <c r="F358" i="6"/>
  <c r="G358" i="6" s="1"/>
  <c r="G357" i="6"/>
  <c r="F357" i="6"/>
  <c r="F356" i="6"/>
  <c r="G356" i="6" s="1"/>
  <c r="G355" i="6"/>
  <c r="F355" i="6"/>
  <c r="F354" i="6"/>
  <c r="G354" i="6" s="1"/>
  <c r="G353" i="6"/>
  <c r="F353" i="6"/>
  <c r="F352" i="6"/>
  <c r="G352" i="6" s="1"/>
  <c r="G351" i="6"/>
  <c r="F351" i="6"/>
  <c r="F350" i="6"/>
  <c r="G350" i="6" s="1"/>
  <c r="G349" i="6"/>
  <c r="F349" i="6"/>
  <c r="F348" i="6"/>
  <c r="G348" i="6" s="1"/>
  <c r="G347" i="6"/>
  <c r="F347" i="6"/>
  <c r="F346" i="6"/>
  <c r="G346" i="6" s="1"/>
  <c r="G345" i="6"/>
  <c r="F345" i="6"/>
  <c r="F344" i="6"/>
  <c r="G344" i="6" s="1"/>
  <c r="G343" i="6"/>
  <c r="F343" i="6"/>
  <c r="F342" i="6"/>
  <c r="G342" i="6" s="1"/>
  <c r="G341" i="6"/>
  <c r="F341" i="6"/>
  <c r="F340" i="6"/>
  <c r="G340" i="6" s="1"/>
  <c r="G339" i="6"/>
  <c r="F339" i="6"/>
  <c r="F338" i="6"/>
  <c r="G338" i="6" s="1"/>
  <c r="G337" i="6"/>
  <c r="F337" i="6"/>
  <c r="F336" i="6"/>
  <c r="G336" i="6" s="1"/>
  <c r="G335" i="6"/>
  <c r="F335" i="6"/>
  <c r="F334" i="6"/>
  <c r="G334" i="6" s="1"/>
  <c r="G333" i="6"/>
  <c r="F333" i="6"/>
  <c r="F332" i="6"/>
  <c r="G332" i="6" s="1"/>
  <c r="G331" i="6"/>
  <c r="F331" i="6"/>
  <c r="F330" i="6"/>
  <c r="G330" i="6" s="1"/>
  <c r="G329" i="6"/>
  <c r="F329" i="6"/>
  <c r="F328" i="6"/>
  <c r="G328" i="6" s="1"/>
  <c r="G327" i="6"/>
  <c r="F327" i="6"/>
  <c r="F326" i="6"/>
  <c r="G326" i="6" s="1"/>
  <c r="G325" i="6"/>
  <c r="F325" i="6"/>
  <c r="F324" i="6"/>
  <c r="G324" i="6" s="1"/>
  <c r="G323" i="6"/>
  <c r="F323" i="6"/>
  <c r="F322" i="6"/>
  <c r="G322" i="6" s="1"/>
  <c r="G321" i="6"/>
  <c r="F321" i="6"/>
  <c r="F320" i="6"/>
  <c r="G320" i="6" s="1"/>
  <c r="F319" i="6"/>
  <c r="G319" i="6" s="1"/>
  <c r="F318" i="6"/>
  <c r="G318" i="6" s="1"/>
  <c r="G317" i="6"/>
  <c r="F317" i="6"/>
  <c r="F316" i="6"/>
  <c r="G316" i="6" s="1"/>
  <c r="F315" i="6"/>
  <c r="G315" i="6" s="1"/>
  <c r="F314" i="6"/>
  <c r="G314" i="6" s="1"/>
  <c r="G313" i="6"/>
  <c r="F313" i="6"/>
  <c r="F312" i="6"/>
  <c r="G312" i="6" s="1"/>
  <c r="F311" i="6"/>
  <c r="G311" i="6" s="1"/>
  <c r="F310" i="6"/>
  <c r="G310" i="6" s="1"/>
  <c r="G309" i="6"/>
  <c r="F309" i="6"/>
  <c r="F308" i="6"/>
  <c r="G308" i="6" s="1"/>
  <c r="F307" i="6"/>
  <c r="G307" i="6" s="1"/>
  <c r="F306" i="6"/>
  <c r="G306" i="6" s="1"/>
  <c r="G305" i="6"/>
  <c r="F305" i="6"/>
  <c r="F304" i="6"/>
  <c r="G304" i="6" s="1"/>
  <c r="F303" i="6"/>
  <c r="G303" i="6" s="1"/>
  <c r="F302" i="6"/>
  <c r="G302" i="6" s="1"/>
  <c r="G301" i="6"/>
  <c r="F301" i="6"/>
  <c r="F300" i="6"/>
  <c r="G300" i="6" s="1"/>
  <c r="F299" i="6"/>
  <c r="G299" i="6" s="1"/>
  <c r="F298" i="6"/>
  <c r="G298" i="6" s="1"/>
  <c r="G297" i="6"/>
  <c r="F297" i="6"/>
  <c r="F296" i="6"/>
  <c r="G296" i="6" s="1"/>
  <c r="F295" i="6"/>
  <c r="G295" i="6" s="1"/>
  <c r="F294" i="6"/>
  <c r="G294" i="6" s="1"/>
  <c r="G293" i="6"/>
  <c r="F293" i="6"/>
  <c r="F292" i="6"/>
  <c r="G292" i="6" s="1"/>
  <c r="F291" i="6"/>
  <c r="G291" i="6" s="1"/>
  <c r="F290" i="6"/>
  <c r="G290" i="6" s="1"/>
  <c r="G289" i="6"/>
  <c r="F289" i="6"/>
  <c r="F288" i="6"/>
  <c r="G288" i="6" s="1"/>
  <c r="F287" i="6"/>
  <c r="G287" i="6" s="1"/>
  <c r="F286" i="6"/>
  <c r="G286" i="6" s="1"/>
  <c r="G285" i="6"/>
  <c r="F285" i="6"/>
  <c r="F284" i="6"/>
  <c r="G284" i="6" s="1"/>
  <c r="F283" i="6"/>
  <c r="G283" i="6" s="1"/>
  <c r="F282" i="6"/>
  <c r="G282" i="6" s="1"/>
  <c r="G281" i="6"/>
  <c r="F281" i="6"/>
  <c r="F280" i="6"/>
  <c r="G280" i="6" s="1"/>
  <c r="F279" i="6"/>
  <c r="G279" i="6" s="1"/>
  <c r="F278" i="6"/>
  <c r="G278" i="6" s="1"/>
  <c r="G277" i="6"/>
  <c r="F277" i="6"/>
  <c r="F276" i="6"/>
  <c r="G276" i="6" s="1"/>
  <c r="F275" i="6"/>
  <c r="G275" i="6" s="1"/>
  <c r="F274" i="6"/>
  <c r="G274" i="6" s="1"/>
  <c r="G273" i="6"/>
  <c r="F273" i="6"/>
  <c r="F272" i="6"/>
  <c r="G272" i="6" s="1"/>
  <c r="F271" i="6"/>
  <c r="G271" i="6" s="1"/>
  <c r="F270" i="6"/>
  <c r="G270" i="6" s="1"/>
  <c r="G269" i="6"/>
  <c r="F269" i="6"/>
  <c r="F268" i="6"/>
  <c r="G268" i="6" s="1"/>
  <c r="F267" i="6"/>
  <c r="G267" i="6" s="1"/>
  <c r="F266" i="6"/>
  <c r="G266" i="6" s="1"/>
  <c r="G265" i="6"/>
  <c r="F265" i="6"/>
  <c r="F264" i="6"/>
  <c r="G264" i="6" s="1"/>
  <c r="F263" i="6"/>
  <c r="G263" i="6" s="1"/>
  <c r="F262" i="6"/>
  <c r="G262" i="6" s="1"/>
  <c r="G261" i="6"/>
  <c r="F261" i="6"/>
  <c r="F260" i="6"/>
  <c r="G260" i="6" s="1"/>
  <c r="F259" i="6"/>
  <c r="G259" i="6" s="1"/>
  <c r="F258" i="6"/>
  <c r="G258" i="6" s="1"/>
  <c r="G257" i="6"/>
  <c r="F257" i="6"/>
  <c r="F256" i="6"/>
  <c r="G256" i="6" s="1"/>
  <c r="F255" i="6"/>
  <c r="G255" i="6" s="1"/>
  <c r="F254" i="6"/>
  <c r="G254" i="6" s="1"/>
  <c r="G253" i="6"/>
  <c r="F253" i="6"/>
  <c r="F252" i="6"/>
  <c r="G252" i="6" s="1"/>
  <c r="F251" i="6"/>
  <c r="G251" i="6" s="1"/>
  <c r="F250" i="6"/>
  <c r="G250" i="6" s="1"/>
  <c r="G249" i="6"/>
  <c r="F249" i="6"/>
  <c r="F248" i="6"/>
  <c r="G248" i="6" s="1"/>
  <c r="F247" i="6"/>
  <c r="G247" i="6" s="1"/>
  <c r="F246" i="6"/>
  <c r="G246" i="6" s="1"/>
  <c r="G245" i="6"/>
  <c r="F245" i="6"/>
  <c r="F244" i="6"/>
  <c r="G244" i="6" s="1"/>
  <c r="F243" i="6"/>
  <c r="G243" i="6" s="1"/>
  <c r="F242" i="6"/>
  <c r="G242" i="6" s="1"/>
  <c r="G241" i="6"/>
  <c r="F241" i="6"/>
  <c r="F240" i="6"/>
  <c r="G240" i="6" s="1"/>
  <c r="F239" i="6"/>
  <c r="G239" i="6" s="1"/>
  <c r="F238" i="6"/>
  <c r="G238" i="6" s="1"/>
  <c r="G237" i="6"/>
  <c r="F237" i="6"/>
  <c r="F236" i="6"/>
  <c r="G236" i="6" s="1"/>
  <c r="F235" i="6"/>
  <c r="G235" i="6" s="1"/>
  <c r="F234" i="6"/>
  <c r="G234" i="6" s="1"/>
  <c r="G233" i="6"/>
  <c r="F233" i="6"/>
  <c r="F232" i="6"/>
  <c r="G232" i="6" s="1"/>
  <c r="F231" i="6"/>
  <c r="G231" i="6" s="1"/>
  <c r="F230" i="6"/>
  <c r="G230" i="6" s="1"/>
  <c r="G229" i="6"/>
  <c r="F229" i="6"/>
  <c r="F228" i="6"/>
  <c r="G228" i="6" s="1"/>
  <c r="F227" i="6"/>
  <c r="G227" i="6" s="1"/>
  <c r="F226" i="6"/>
  <c r="G226" i="6" s="1"/>
  <c r="G225" i="6"/>
  <c r="F225" i="6"/>
  <c r="F224" i="6"/>
  <c r="G224" i="6" s="1"/>
  <c r="F223" i="6"/>
  <c r="G223" i="6" s="1"/>
  <c r="F222" i="6"/>
  <c r="G222" i="6" s="1"/>
  <c r="G221" i="6"/>
  <c r="F221" i="6"/>
  <c r="F220" i="6"/>
  <c r="G220" i="6" s="1"/>
  <c r="F219" i="6"/>
  <c r="G219" i="6" s="1"/>
  <c r="F218" i="6"/>
  <c r="G218" i="6" s="1"/>
  <c r="G217" i="6"/>
  <c r="F217" i="6"/>
  <c r="F216" i="6"/>
  <c r="G216" i="6" s="1"/>
  <c r="F215" i="6"/>
  <c r="G215" i="6" s="1"/>
  <c r="F214" i="6"/>
  <c r="G214" i="6" s="1"/>
  <c r="G213" i="6"/>
  <c r="F213" i="6"/>
  <c r="F212" i="6"/>
  <c r="G212" i="6" s="1"/>
  <c r="F211" i="6"/>
  <c r="G211" i="6" s="1"/>
  <c r="F210" i="6"/>
  <c r="G210" i="6" s="1"/>
  <c r="G209" i="6"/>
  <c r="F209" i="6"/>
  <c r="F208" i="6"/>
  <c r="G208" i="6" s="1"/>
  <c r="F207" i="6"/>
  <c r="G207" i="6" s="1"/>
  <c r="F206" i="6"/>
  <c r="G206" i="6" s="1"/>
  <c r="G205" i="6"/>
  <c r="F205" i="6"/>
  <c r="F204" i="6"/>
  <c r="G204" i="6" s="1"/>
  <c r="F203" i="6"/>
  <c r="G203" i="6" s="1"/>
  <c r="F202" i="6"/>
  <c r="G202" i="6" s="1"/>
  <c r="G201" i="6"/>
  <c r="F201" i="6"/>
  <c r="F200" i="6"/>
  <c r="G200" i="6" s="1"/>
  <c r="F199" i="6"/>
  <c r="G199" i="6" s="1"/>
  <c r="F198" i="6"/>
  <c r="G198" i="6" s="1"/>
  <c r="G197" i="6"/>
  <c r="F197" i="6"/>
  <c r="F196" i="6"/>
  <c r="G196" i="6" s="1"/>
  <c r="F195" i="6"/>
  <c r="G195" i="6" s="1"/>
  <c r="F194" i="6"/>
  <c r="G194" i="6" s="1"/>
  <c r="G193" i="6"/>
  <c r="F193" i="6"/>
  <c r="F192" i="6"/>
  <c r="G192" i="6" s="1"/>
  <c r="F191" i="6"/>
  <c r="G191" i="6" s="1"/>
  <c r="F190" i="6"/>
  <c r="G190" i="6" s="1"/>
  <c r="G189" i="6"/>
  <c r="F189" i="6"/>
  <c r="F188" i="6"/>
  <c r="G188" i="6" s="1"/>
  <c r="F187" i="6"/>
  <c r="G187" i="6" s="1"/>
  <c r="F186" i="6"/>
  <c r="G186" i="6" s="1"/>
  <c r="G185" i="6"/>
  <c r="F185" i="6"/>
  <c r="F184" i="6"/>
  <c r="G184" i="6" s="1"/>
  <c r="F183" i="6"/>
  <c r="G183" i="6" s="1"/>
  <c r="F182" i="6"/>
  <c r="G182" i="6" s="1"/>
  <c r="G181" i="6"/>
  <c r="F181" i="6"/>
  <c r="F180" i="6"/>
  <c r="G180" i="6" s="1"/>
  <c r="F179" i="6"/>
  <c r="G179" i="6" s="1"/>
  <c r="F178" i="6"/>
  <c r="G178" i="6" s="1"/>
  <c r="G177" i="6"/>
  <c r="F177" i="6"/>
  <c r="F176" i="6"/>
  <c r="G176" i="6" s="1"/>
  <c r="F175" i="6"/>
  <c r="G175" i="6" s="1"/>
  <c r="F174" i="6"/>
  <c r="G174" i="6" s="1"/>
  <c r="G173" i="6"/>
  <c r="F173" i="6"/>
  <c r="F172" i="6"/>
  <c r="G172" i="6" s="1"/>
  <c r="F171" i="6"/>
  <c r="G171" i="6" s="1"/>
  <c r="F170" i="6"/>
  <c r="G170" i="6" s="1"/>
  <c r="G169" i="6"/>
  <c r="F169" i="6"/>
  <c r="F168" i="6"/>
  <c r="G168" i="6" s="1"/>
  <c r="F167" i="6"/>
  <c r="G167" i="6" s="1"/>
  <c r="F166" i="6"/>
  <c r="G166" i="6" s="1"/>
  <c r="G165" i="6"/>
  <c r="F165" i="6"/>
  <c r="F164" i="6"/>
  <c r="G164" i="6" s="1"/>
  <c r="F163" i="6"/>
  <c r="G163" i="6" s="1"/>
  <c r="F162" i="6"/>
  <c r="G162" i="6" s="1"/>
  <c r="G161" i="6"/>
  <c r="F161" i="6"/>
  <c r="F160" i="6"/>
  <c r="G160" i="6" s="1"/>
  <c r="F159" i="6"/>
  <c r="G159" i="6" s="1"/>
  <c r="F158" i="6"/>
  <c r="G158" i="6" s="1"/>
  <c r="G157" i="6"/>
  <c r="F157" i="6"/>
  <c r="F156" i="6"/>
  <c r="G156" i="6" s="1"/>
  <c r="F155" i="6"/>
  <c r="G155" i="6" s="1"/>
  <c r="F154" i="6"/>
  <c r="G154" i="6" s="1"/>
  <c r="G153" i="6"/>
  <c r="F153" i="6"/>
  <c r="F152" i="6"/>
  <c r="G152" i="6" s="1"/>
  <c r="F151" i="6"/>
  <c r="G151" i="6" s="1"/>
  <c r="F150" i="6"/>
  <c r="G150" i="6" s="1"/>
  <c r="G149" i="6"/>
  <c r="F149" i="6"/>
  <c r="F148" i="6"/>
  <c r="G148" i="6" s="1"/>
  <c r="F147" i="6"/>
  <c r="G147" i="6" s="1"/>
  <c r="F146" i="6"/>
  <c r="G146" i="6" s="1"/>
  <c r="G145" i="6"/>
  <c r="F145" i="6"/>
  <c r="F144" i="6"/>
  <c r="G144" i="6" s="1"/>
  <c r="F143" i="6"/>
  <c r="G143" i="6" s="1"/>
  <c r="F142" i="6"/>
  <c r="G142" i="6" s="1"/>
  <c r="G141" i="6"/>
  <c r="F141" i="6"/>
  <c r="F140" i="6"/>
  <c r="G140" i="6" s="1"/>
  <c r="F139" i="6"/>
  <c r="G139" i="6" s="1"/>
  <c r="F138" i="6"/>
  <c r="G138" i="6" s="1"/>
  <c r="G137" i="6"/>
  <c r="F137" i="6"/>
  <c r="F136" i="6"/>
  <c r="G136" i="6" s="1"/>
  <c r="F135" i="6"/>
  <c r="G135" i="6" s="1"/>
  <c r="F134" i="6"/>
  <c r="G134" i="6" s="1"/>
  <c r="G133" i="6"/>
  <c r="F133" i="6"/>
  <c r="F132" i="6"/>
  <c r="G132" i="6" s="1"/>
  <c r="F131" i="6"/>
  <c r="G131" i="6" s="1"/>
  <c r="F130" i="6"/>
  <c r="G130" i="6" s="1"/>
  <c r="G129" i="6"/>
  <c r="F129" i="6"/>
  <c r="F128" i="6"/>
  <c r="G128" i="6" s="1"/>
  <c r="F127" i="6"/>
  <c r="G127" i="6" s="1"/>
  <c r="F126" i="6"/>
  <c r="G126" i="6" s="1"/>
  <c r="G125" i="6"/>
  <c r="F125" i="6"/>
  <c r="F124" i="6"/>
  <c r="G124" i="6" s="1"/>
  <c r="F123" i="6"/>
  <c r="G123" i="6" s="1"/>
  <c r="F122" i="6"/>
  <c r="G122" i="6" s="1"/>
  <c r="G121" i="6"/>
  <c r="F121" i="6"/>
  <c r="F120" i="6"/>
  <c r="G120" i="6" s="1"/>
  <c r="F119" i="6"/>
  <c r="G119" i="6" s="1"/>
  <c r="F118" i="6"/>
  <c r="G118" i="6" s="1"/>
  <c r="G117" i="6"/>
  <c r="F117" i="6"/>
  <c r="F116" i="6"/>
  <c r="G116" i="6" s="1"/>
  <c r="F115" i="6"/>
  <c r="G115" i="6" s="1"/>
  <c r="F114" i="6"/>
  <c r="G114" i="6" s="1"/>
  <c r="G113" i="6"/>
  <c r="F113" i="6"/>
  <c r="F112" i="6"/>
  <c r="G112" i="6" s="1"/>
  <c r="F111" i="6"/>
  <c r="G111" i="6" s="1"/>
  <c r="F110" i="6"/>
  <c r="G110" i="6" s="1"/>
  <c r="G109" i="6"/>
  <c r="F109" i="6"/>
  <c r="F108" i="6"/>
  <c r="G108" i="6" s="1"/>
  <c r="F107" i="6"/>
  <c r="G107" i="6" s="1"/>
  <c r="F106" i="6"/>
  <c r="G106" i="6" s="1"/>
  <c r="G105" i="6"/>
  <c r="F105" i="6"/>
  <c r="F104" i="6"/>
  <c r="G104" i="6" s="1"/>
  <c r="F103" i="6"/>
  <c r="G103" i="6" s="1"/>
  <c r="F102" i="6"/>
  <c r="G102" i="6" s="1"/>
  <c r="G101" i="6"/>
  <c r="F101" i="6"/>
  <c r="F100" i="6"/>
  <c r="G100" i="6" s="1"/>
  <c r="F99" i="6"/>
  <c r="G99" i="6" s="1"/>
  <c r="F98" i="6"/>
  <c r="G98" i="6" s="1"/>
  <c r="G97" i="6"/>
  <c r="F97" i="6"/>
  <c r="F96" i="6"/>
  <c r="G96" i="6" s="1"/>
  <c r="F95" i="6"/>
  <c r="G95" i="6" s="1"/>
  <c r="F94" i="6"/>
  <c r="G94" i="6" s="1"/>
  <c r="G93" i="6"/>
  <c r="F93" i="6"/>
  <c r="F92" i="6"/>
  <c r="G92" i="6" s="1"/>
  <c r="F91" i="6"/>
  <c r="G91" i="6" s="1"/>
  <c r="F90" i="6"/>
  <c r="G90" i="6" s="1"/>
  <c r="G89" i="6"/>
  <c r="F89" i="6"/>
  <c r="F88" i="6"/>
  <c r="G88" i="6" s="1"/>
  <c r="G87" i="6"/>
  <c r="F87" i="6"/>
  <c r="F86" i="6"/>
  <c r="G86" i="6" s="1"/>
  <c r="G85" i="6"/>
  <c r="F85" i="6"/>
  <c r="F84" i="6"/>
  <c r="G84" i="6" s="1"/>
  <c r="F83" i="6"/>
  <c r="G83" i="6" s="1"/>
  <c r="F82" i="6"/>
  <c r="G82" i="6" s="1"/>
  <c r="G81" i="6"/>
  <c r="F81" i="6"/>
  <c r="F80" i="6"/>
  <c r="G80" i="6" s="1"/>
  <c r="F79" i="6"/>
  <c r="G79" i="6" s="1"/>
  <c r="F78" i="6"/>
  <c r="G78" i="6" s="1"/>
  <c r="G77" i="6"/>
  <c r="F77" i="6"/>
  <c r="F76" i="6"/>
  <c r="G76" i="6" s="1"/>
  <c r="G75" i="6"/>
  <c r="F75" i="6"/>
  <c r="F74" i="6"/>
  <c r="G74" i="6" s="1"/>
  <c r="G73" i="6"/>
  <c r="F73" i="6"/>
  <c r="F72" i="6"/>
  <c r="G72" i="6" s="1"/>
  <c r="G71" i="6"/>
  <c r="F71" i="6"/>
  <c r="F70" i="6"/>
  <c r="G70" i="6" s="1"/>
  <c r="G69" i="6"/>
  <c r="F69" i="6"/>
  <c r="F68" i="6"/>
  <c r="G68" i="6" s="1"/>
  <c r="F67" i="6"/>
  <c r="G67" i="6" s="1"/>
  <c r="F66" i="6"/>
  <c r="G66" i="6" s="1"/>
  <c r="G65" i="6"/>
  <c r="F65" i="6"/>
  <c r="F64" i="6"/>
  <c r="G64" i="6" s="1"/>
  <c r="F63" i="6"/>
  <c r="G63" i="6" s="1"/>
  <c r="F62" i="6"/>
  <c r="G62" i="6" s="1"/>
  <c r="G61" i="6"/>
  <c r="F61" i="6"/>
  <c r="F60" i="6"/>
  <c r="G60" i="6" s="1"/>
  <c r="G59" i="6"/>
  <c r="F59" i="6"/>
  <c r="F58" i="6"/>
  <c r="G58" i="6" s="1"/>
  <c r="G57" i="6"/>
  <c r="F57" i="6"/>
  <c r="F56" i="6"/>
  <c r="G56" i="6" s="1"/>
  <c r="G55" i="6"/>
  <c r="F55" i="6"/>
  <c r="F54" i="6"/>
  <c r="G54" i="6" s="1"/>
  <c r="G53" i="6"/>
  <c r="F53" i="6"/>
  <c r="F52" i="6"/>
  <c r="G52" i="6" s="1"/>
  <c r="F51" i="6"/>
  <c r="G51" i="6" s="1"/>
  <c r="F50" i="6"/>
  <c r="G50" i="6" s="1"/>
  <c r="G49" i="6"/>
  <c r="F49" i="6"/>
  <c r="F48" i="6"/>
  <c r="G48" i="6" s="1"/>
  <c r="F47" i="6"/>
  <c r="G47" i="6" s="1"/>
  <c r="F46" i="6"/>
  <c r="G46" i="6" s="1"/>
  <c r="G45" i="6"/>
  <c r="F45" i="6"/>
  <c r="F44" i="6"/>
  <c r="G44" i="6" s="1"/>
  <c r="G43" i="6"/>
  <c r="F43" i="6"/>
  <c r="F42" i="6"/>
  <c r="G42" i="6" s="1"/>
  <c r="G41" i="6"/>
  <c r="F41" i="6"/>
  <c r="F40" i="6"/>
  <c r="G40" i="6" s="1"/>
  <c r="G39" i="6"/>
  <c r="F39" i="6"/>
  <c r="F38" i="6"/>
  <c r="G38" i="6" s="1"/>
  <c r="G37" i="6"/>
  <c r="F37" i="6"/>
  <c r="F36" i="6"/>
  <c r="G36" i="6" s="1"/>
  <c r="F35" i="6"/>
  <c r="G35" i="6" s="1"/>
  <c r="F34" i="6"/>
  <c r="G34" i="6" s="1"/>
  <c r="G33" i="6"/>
  <c r="F33" i="6"/>
  <c r="F32" i="6"/>
  <c r="G32" i="6" s="1"/>
  <c r="F31" i="6"/>
  <c r="G31" i="6" s="1"/>
  <c r="F30" i="6"/>
  <c r="G30" i="6" s="1"/>
  <c r="G29" i="6"/>
  <c r="F29" i="6"/>
  <c r="F28" i="6"/>
  <c r="G28" i="6" s="1"/>
  <c r="G27" i="6"/>
  <c r="F27" i="6"/>
  <c r="F26" i="6"/>
  <c r="G26" i="6" s="1"/>
  <c r="G25" i="6"/>
  <c r="F25" i="6"/>
  <c r="F24" i="6"/>
  <c r="G24" i="6" s="1"/>
  <c r="G23" i="6"/>
  <c r="F23" i="6"/>
  <c r="F22" i="6"/>
  <c r="G22" i="6" s="1"/>
  <c r="G21" i="6"/>
  <c r="F21" i="6"/>
  <c r="F20" i="6"/>
  <c r="G20" i="6" s="1"/>
  <c r="F19" i="6"/>
  <c r="G19" i="6" s="1"/>
  <c r="F18" i="6"/>
  <c r="G18" i="6" s="1"/>
  <c r="G17" i="6"/>
  <c r="F17" i="6"/>
  <c r="F16" i="6"/>
  <c r="G16" i="6" s="1"/>
  <c r="F15" i="6"/>
  <c r="G15" i="6" s="1"/>
  <c r="F14" i="6"/>
  <c r="G14" i="6" s="1"/>
  <c r="G13" i="6"/>
  <c r="F13" i="6"/>
  <c r="F12" i="6"/>
  <c r="G12" i="6" s="1"/>
  <c r="G11" i="6"/>
  <c r="F11" i="6"/>
  <c r="F10" i="6"/>
  <c r="G10" i="6" s="1"/>
  <c r="G9" i="6"/>
  <c r="F9" i="6"/>
  <c r="F8" i="6"/>
  <c r="G8" i="6" s="1"/>
  <c r="G7" i="6"/>
  <c r="F7" i="6"/>
  <c r="F6" i="6"/>
  <c r="G6" i="6" s="1"/>
  <c r="G5" i="6"/>
  <c r="F5" i="6"/>
  <c r="F4" i="6"/>
  <c r="G4" i="6" s="1"/>
  <c r="F3" i="6"/>
  <c r="G3" i="6" s="1"/>
  <c r="F2" i="6"/>
  <c r="G2" i="6" s="1"/>
  <c r="E8" i="7" l="1"/>
  <c r="D8" i="7"/>
  <c r="E1" i="2"/>
  <c r="F30" i="2"/>
  <c r="C30" i="2"/>
  <c r="D30" i="2" s="1"/>
  <c r="F29" i="2"/>
  <c r="C29" i="2"/>
  <c r="D29" i="2" s="1"/>
  <c r="F28" i="2"/>
  <c r="C28" i="2"/>
  <c r="D28" i="2" s="1"/>
  <c r="F27" i="2"/>
  <c r="C27" i="2"/>
  <c r="D27" i="2" s="1"/>
  <c r="F26" i="2"/>
  <c r="C26" i="2"/>
  <c r="D26" i="2" s="1"/>
  <c r="F25" i="2"/>
  <c r="C25" i="2"/>
  <c r="D25" i="2" s="1"/>
  <c r="F24" i="2"/>
  <c r="C24" i="2"/>
  <c r="D24" i="2" s="1"/>
  <c r="F23" i="2"/>
  <c r="D23" i="2"/>
  <c r="C23" i="2"/>
  <c r="F22" i="2"/>
  <c r="D22" i="2"/>
  <c r="C22" i="2"/>
  <c r="F21" i="2"/>
  <c r="C21" i="2"/>
  <c r="D21" i="2" s="1"/>
  <c r="F20" i="2"/>
  <c r="A18" i="2"/>
  <c r="A17" i="2"/>
  <c r="A16" i="2"/>
  <c r="A15" i="2"/>
  <c r="A14" i="2"/>
  <c r="D13" i="2"/>
  <c r="B2" i="2" s="1"/>
  <c r="B11" i="2"/>
  <c r="A2" i="2" s="1"/>
  <c r="A8" i="2"/>
  <c r="A7" i="2"/>
  <c r="A6" i="2"/>
  <c r="A5" i="2"/>
  <c r="A4" i="2"/>
  <c r="D29" i="1"/>
  <c r="D28" i="1"/>
  <c r="D27" i="1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1" i="12"/>
  <c r="E14" i="11"/>
  <c r="B14" i="11"/>
  <c r="A14" i="11"/>
  <c r="E13" i="11"/>
  <c r="A13" i="11"/>
  <c r="E12" i="11"/>
  <c r="A12" i="11"/>
  <c r="E11" i="11"/>
  <c r="A11" i="11"/>
  <c r="E10" i="11"/>
  <c r="A10" i="11"/>
  <c r="E9" i="11"/>
  <c r="A9" i="11"/>
  <c r="E8" i="11"/>
  <c r="A8" i="11"/>
  <c r="E7" i="11"/>
  <c r="A7" i="11"/>
  <c r="E6" i="11"/>
  <c r="B6" i="11"/>
  <c r="A6" i="11"/>
  <c r="E5" i="11"/>
  <c r="A5" i="11"/>
  <c r="E4" i="11"/>
  <c r="A4" i="11"/>
  <c r="E3" i="11"/>
  <c r="A3" i="11"/>
  <c r="E2" i="11"/>
  <c r="A2" i="11"/>
  <c r="A1" i="10"/>
  <c r="B11" i="11" s="1"/>
  <c r="AD1" i="9"/>
  <c r="AC1" i="9"/>
  <c r="AB1" i="9"/>
  <c r="AA1" i="9"/>
  <c r="Z1" i="9"/>
  <c r="Y1" i="9"/>
  <c r="X1" i="9"/>
  <c r="W1" i="9"/>
  <c r="P1" i="8"/>
  <c r="O1" i="8"/>
  <c r="N1" i="8"/>
  <c r="M1" i="8"/>
  <c r="L1" i="8"/>
  <c r="K1" i="8"/>
  <c r="J1" i="8"/>
  <c r="I1" i="8"/>
  <c r="L9" i="7"/>
  <c r="K9" i="7"/>
  <c r="J9" i="7"/>
  <c r="I9" i="7"/>
  <c r="H9" i="7"/>
  <c r="G9" i="7"/>
  <c r="F9" i="7"/>
  <c r="E9" i="7"/>
  <c r="B3" i="7"/>
  <c r="A1" i="7"/>
  <c r="B1" i="3"/>
  <c r="A1" i="3"/>
  <c r="C2" i="2"/>
  <c r="O1" i="2"/>
  <c r="O9" i="7" s="1"/>
  <c r="N1" i="2"/>
  <c r="N1" i="3" s="1"/>
  <c r="C1" i="8" s="1"/>
  <c r="M1" i="2"/>
  <c r="M1" i="3" s="1"/>
  <c r="B1" i="8" s="1"/>
  <c r="D1" i="2"/>
  <c r="C1" i="2"/>
  <c r="B1" i="2"/>
  <c r="A1" i="2"/>
  <c r="F30" i="1"/>
  <c r="C30" i="1"/>
  <c r="D30" i="1" s="1"/>
  <c r="F29" i="1"/>
  <c r="C29" i="1"/>
  <c r="F28" i="1"/>
  <c r="C28" i="1"/>
  <c r="F27" i="1"/>
  <c r="C27" i="1"/>
  <c r="F26" i="1"/>
  <c r="C26" i="1"/>
  <c r="D26" i="1" s="1"/>
  <c r="F25" i="1"/>
  <c r="C25" i="1"/>
  <c r="D25" i="1" s="1"/>
  <c r="F24" i="1"/>
  <c r="C24" i="1"/>
  <c r="D24" i="1" s="1"/>
  <c r="F23" i="1"/>
  <c r="C23" i="1"/>
  <c r="D23" i="1" s="1"/>
  <c r="F22" i="1"/>
  <c r="C22" i="1"/>
  <c r="D22" i="1" s="1"/>
  <c r="F21" i="1"/>
  <c r="C21" i="1"/>
  <c r="D21" i="1" s="1"/>
  <c r="F20" i="1"/>
  <c r="A18" i="1"/>
  <c r="A17" i="1"/>
  <c r="A16" i="1"/>
  <c r="A15" i="1"/>
  <c r="A14" i="1"/>
  <c r="D13" i="1"/>
  <c r="B11" i="1"/>
  <c r="A8" i="1" a="1"/>
  <c r="A8" i="1" s="1"/>
  <c r="A7" i="1" a="1"/>
  <c r="A7" i="1"/>
  <c r="A6" i="1" a="1"/>
  <c r="A6" i="1"/>
  <c r="A5" i="1" a="1"/>
  <c r="A5" i="1" s="1"/>
  <c r="A4" i="1" a="1"/>
  <c r="A4" i="1" s="1"/>
  <c r="D32" i="2" l="1"/>
  <c r="E2" i="2" s="1"/>
  <c r="D33" i="2"/>
  <c r="D34" i="2" s="1"/>
  <c r="D2" i="2" s="1"/>
  <c r="D32" i="1"/>
  <c r="D33" i="1" s="1"/>
  <c r="D34" i="1" s="1"/>
  <c r="A9" i="7"/>
  <c r="S1" i="9"/>
  <c r="U1" i="9"/>
  <c r="G1" i="8"/>
  <c r="C9" i="7"/>
  <c r="O1" i="3"/>
  <c r="AG1" i="9"/>
  <c r="V1" i="9"/>
  <c r="H1" i="8"/>
  <c r="D9" i="7"/>
  <c r="M2" i="3"/>
  <c r="T1" i="9"/>
  <c r="F1" i="8"/>
  <c r="AE1" i="9"/>
  <c r="M9" i="7"/>
  <c r="N2" i="3"/>
  <c r="B9" i="7"/>
  <c r="E1" i="8"/>
  <c r="AF1" i="9"/>
  <c r="N9" i="7"/>
  <c r="O2" i="3"/>
  <c r="D11" i="5" s="1"/>
  <c r="B9" i="11"/>
  <c r="A1" i="11"/>
  <c r="B4" i="11"/>
  <c r="B12" i="11"/>
  <c r="B7" i="11"/>
  <c r="B2" i="11"/>
  <c r="B10" i="11"/>
  <c r="B5" i="11"/>
  <c r="B13" i="11"/>
  <c r="B8" i="11"/>
  <c r="B3" i="11"/>
  <c r="A1" i="9" l="1"/>
  <c r="D1" i="8"/>
  <c r="D10" i="5"/>
  <c r="H7" i="3" l="1"/>
  <c r="Q16" i="3"/>
  <c r="C33" i="3"/>
  <c r="K47" i="3"/>
  <c r="I7" i="3"/>
  <c r="P11" i="3"/>
  <c r="A16" i="3"/>
  <c r="J21" i="3"/>
  <c r="N30" i="3"/>
  <c r="G41" i="3"/>
  <c r="B47" i="3"/>
  <c r="F43" i="3"/>
  <c r="J39" i="3"/>
  <c r="F35" i="3"/>
  <c r="J31" i="3"/>
  <c r="N27" i="3"/>
  <c r="A24" i="3"/>
  <c r="E20" i="3"/>
  <c r="B46" i="3"/>
  <c r="P47" i="3"/>
  <c r="C44" i="3"/>
  <c r="G40" i="3"/>
  <c r="G36" i="3"/>
  <c r="G32" i="3"/>
  <c r="K28" i="3"/>
  <c r="O24" i="3"/>
  <c r="H46" i="3"/>
  <c r="L42" i="3"/>
  <c r="P38" i="3"/>
  <c r="L34" i="3"/>
  <c r="P30" i="3"/>
  <c r="C27" i="3"/>
  <c r="G23" i="3"/>
  <c r="K19" i="3"/>
  <c r="P45" i="3"/>
  <c r="C42" i="3"/>
  <c r="G38" i="3"/>
  <c r="C34" i="3"/>
  <c r="G30" i="3"/>
  <c r="K26" i="3"/>
  <c r="O22" i="3"/>
  <c r="A19" i="3"/>
  <c r="E46" i="3"/>
  <c r="I42" i="3"/>
  <c r="M38" i="3"/>
  <c r="I34" i="3"/>
  <c r="M30" i="3"/>
  <c r="Q26" i="3"/>
  <c r="D23" i="3"/>
  <c r="H19" i="3"/>
  <c r="N6" i="3"/>
  <c r="Q13" i="3"/>
  <c r="P26" i="3"/>
  <c r="O3" i="3"/>
  <c r="L8" i="3"/>
  <c r="A13" i="3"/>
  <c r="C17" i="3"/>
  <c r="I23" i="3"/>
  <c r="I33" i="3"/>
  <c r="F44" i="3"/>
  <c r="I6" i="3"/>
  <c r="B11" i="3"/>
  <c r="D15" i="3"/>
  <c r="O19" i="3"/>
  <c r="L28" i="3"/>
  <c r="C39" i="3"/>
  <c r="J6" i="3"/>
  <c r="C11" i="3"/>
  <c r="E15" i="3"/>
  <c r="Q19" i="3"/>
  <c r="N28" i="3"/>
  <c r="E39" i="3"/>
  <c r="P5" i="3"/>
  <c r="M10" i="3"/>
  <c r="N14" i="3"/>
  <c r="E19" i="3"/>
  <c r="M27" i="3"/>
  <c r="D38" i="3"/>
  <c r="Q5" i="3"/>
  <c r="A9" i="3"/>
  <c r="C18" i="3"/>
  <c r="H34" i="3"/>
  <c r="F3" i="3"/>
  <c r="Q7" i="3"/>
  <c r="I12" i="3"/>
  <c r="J16" i="3"/>
  <c r="I22" i="3"/>
  <c r="B32" i="3"/>
  <c r="J42" i="3"/>
  <c r="K46" i="3"/>
  <c r="O42" i="3"/>
  <c r="B39" i="3"/>
  <c r="O34" i="3"/>
  <c r="B31" i="3"/>
  <c r="F27" i="3"/>
  <c r="J23" i="3"/>
  <c r="N19" i="3"/>
  <c r="K45" i="3"/>
  <c r="H47" i="3"/>
  <c r="L43" i="3"/>
  <c r="P39" i="3"/>
  <c r="L35" i="3"/>
  <c r="P31" i="3"/>
  <c r="C28" i="3"/>
  <c r="G24" i="3"/>
  <c r="Q45" i="3"/>
  <c r="D42" i="3"/>
  <c r="H38" i="3"/>
  <c r="D34" i="3"/>
  <c r="H30" i="3"/>
  <c r="L26" i="3"/>
  <c r="P22" i="3"/>
  <c r="C19" i="3"/>
  <c r="H45" i="3"/>
  <c r="L41" i="3"/>
  <c r="P37" i="3"/>
  <c r="L33" i="3"/>
  <c r="P29" i="3"/>
  <c r="C26" i="3"/>
  <c r="G22" i="3"/>
  <c r="J18" i="3"/>
  <c r="N45" i="3"/>
  <c r="A42" i="3"/>
  <c r="E38" i="3"/>
  <c r="A34" i="3"/>
  <c r="E30" i="3"/>
  <c r="I26" i="3"/>
  <c r="M22" i="3"/>
  <c r="P18" i="3"/>
  <c r="P7" i="3"/>
  <c r="I15" i="3"/>
  <c r="G29" i="3"/>
  <c r="J4" i="3"/>
  <c r="G9" i="3"/>
  <c r="K13" i="3"/>
  <c r="L17" i="3"/>
  <c r="L24" i="3"/>
  <c r="N34" i="3"/>
  <c r="D46" i="3"/>
  <c r="Q6" i="3"/>
  <c r="J11" i="3"/>
  <c r="L15" i="3"/>
  <c r="N20" i="3"/>
  <c r="O29" i="3"/>
  <c r="H40" i="3"/>
  <c r="A7" i="3"/>
  <c r="K11" i="3"/>
  <c r="M15" i="3"/>
  <c r="P20" i="3"/>
  <c r="B30" i="3"/>
  <c r="J40" i="3"/>
  <c r="K6" i="3"/>
  <c r="D11" i="3"/>
  <c r="F15" i="3"/>
  <c r="C20" i="3"/>
  <c r="P28" i="3"/>
  <c r="H10" i="3"/>
  <c r="I19" i="3"/>
  <c r="G37" i="3"/>
  <c r="N3" i="3"/>
  <c r="K8" i="3"/>
  <c r="Q12" i="3"/>
  <c r="A17" i="3"/>
  <c r="H23" i="3"/>
  <c r="G33" i="3"/>
  <c r="Q43" i="3"/>
  <c r="C46" i="3"/>
  <c r="G42" i="3"/>
  <c r="K38" i="3"/>
  <c r="G34" i="3"/>
  <c r="K30" i="3"/>
  <c r="O26" i="3"/>
  <c r="B23" i="3"/>
  <c r="P48" i="3"/>
  <c r="C45" i="3"/>
  <c r="Q46" i="3"/>
  <c r="D43" i="3"/>
  <c r="H39" i="3"/>
  <c r="D35" i="3"/>
  <c r="H31" i="3"/>
  <c r="L27" i="3"/>
  <c r="P23" i="3"/>
  <c r="I45" i="3"/>
  <c r="M41" i="3"/>
  <c r="Q37" i="3"/>
  <c r="M33" i="3"/>
  <c r="Q29" i="3"/>
  <c r="D26" i="3"/>
  <c r="H22" i="3"/>
  <c r="M48" i="3"/>
  <c r="Q44" i="3"/>
  <c r="D41" i="3"/>
  <c r="H37" i="3"/>
  <c r="D33" i="3"/>
  <c r="H29" i="3"/>
  <c r="L25" i="3"/>
  <c r="P21" i="3"/>
  <c r="L48" i="3"/>
  <c r="F45" i="3"/>
  <c r="J41" i="3"/>
  <c r="N37" i="3"/>
  <c r="J33" i="3"/>
  <c r="N29" i="3"/>
  <c r="A26" i="3"/>
  <c r="E22" i="3"/>
  <c r="H18" i="3"/>
  <c r="J8" i="3"/>
  <c r="I16" i="3"/>
  <c r="Q31" i="3"/>
  <c r="A5" i="3"/>
  <c r="O9" i="3"/>
  <c r="C14" i="3"/>
  <c r="E18" i="3"/>
  <c r="Q25" i="3"/>
  <c r="Q35" i="3"/>
  <c r="B48" i="3"/>
  <c r="K7" i="3"/>
  <c r="A12" i="3"/>
  <c r="D16" i="3"/>
  <c r="M21" i="3"/>
  <c r="C31" i="3"/>
  <c r="K41" i="3"/>
  <c r="L7" i="3"/>
  <c r="C12" i="3"/>
  <c r="E16" i="3"/>
  <c r="O21" i="3"/>
  <c r="E31" i="3"/>
  <c r="O41" i="3"/>
  <c r="E7" i="3"/>
  <c r="L11" i="3"/>
  <c r="N15" i="3"/>
  <c r="B21" i="3"/>
  <c r="D30" i="3"/>
  <c r="L40" i="3"/>
  <c r="F7" i="3"/>
  <c r="M11" i="3"/>
  <c r="O15" i="3"/>
  <c r="C21" i="3"/>
  <c r="F30" i="3"/>
  <c r="P40" i="3"/>
  <c r="G11" i="3"/>
  <c r="G21" i="3"/>
  <c r="L38" i="3"/>
  <c r="I4" i="3"/>
  <c r="F9" i="3"/>
  <c r="J13" i="3"/>
  <c r="K17" i="3"/>
  <c r="J24" i="3"/>
  <c r="J34" i="3"/>
  <c r="O45" i="3"/>
  <c r="L45" i="3"/>
  <c r="P41" i="3"/>
  <c r="C38" i="3"/>
  <c r="P33" i="3"/>
  <c r="C30" i="3"/>
  <c r="G26" i="3"/>
  <c r="K22" i="3"/>
  <c r="H48" i="3"/>
  <c r="L44" i="3"/>
  <c r="I46" i="3"/>
  <c r="M42" i="3"/>
  <c r="Q38" i="3"/>
  <c r="M34" i="3"/>
  <c r="Q30" i="3"/>
  <c r="D27" i="3"/>
  <c r="N48" i="3"/>
  <c r="A45" i="3"/>
  <c r="E41" i="3"/>
  <c r="I37" i="3"/>
  <c r="E33" i="3"/>
  <c r="I29" i="3"/>
  <c r="M25" i="3"/>
  <c r="Q21" i="3"/>
  <c r="E48" i="3"/>
  <c r="I44" i="3"/>
  <c r="M40" i="3"/>
  <c r="M36" i="3"/>
  <c r="M32" i="3"/>
  <c r="Q28" i="3"/>
  <c r="D25" i="3"/>
  <c r="H21" i="3"/>
  <c r="K48" i="3"/>
  <c r="O44" i="3"/>
  <c r="B41" i="3"/>
  <c r="F37" i="3"/>
  <c r="B33" i="3"/>
  <c r="F29" i="3"/>
  <c r="J25" i="3"/>
  <c r="N21" i="3"/>
  <c r="P17" i="3"/>
  <c r="M9" i="3"/>
  <c r="J17" i="3"/>
  <c r="M35" i="3"/>
  <c r="M5" i="3"/>
  <c r="J10" i="3"/>
  <c r="K14" i="3"/>
  <c r="O18" i="3"/>
  <c r="E27" i="3"/>
  <c r="M37" i="3"/>
  <c r="H3" i="3"/>
  <c r="E8" i="3"/>
  <c r="K12" i="3"/>
  <c r="L16" i="3"/>
  <c r="L22" i="3"/>
  <c r="H32" i="3"/>
  <c r="P42" i="3"/>
  <c r="I3" i="3"/>
  <c r="F8" i="3"/>
  <c r="L12" i="3"/>
  <c r="M16" i="3"/>
  <c r="N22" i="3"/>
  <c r="J32" i="3"/>
  <c r="A43" i="3"/>
  <c r="M47" i="3"/>
  <c r="P12" i="3"/>
  <c r="E23" i="3"/>
  <c r="Q39" i="3"/>
  <c r="Q4" i="3"/>
  <c r="N9" i="3"/>
  <c r="A14" i="3"/>
  <c r="D18" i="3"/>
  <c r="O25" i="3"/>
  <c r="O35" i="3"/>
  <c r="Q48" i="3"/>
  <c r="D45" i="3"/>
  <c r="H41" i="3"/>
  <c r="L37" i="3"/>
  <c r="H33" i="3"/>
  <c r="L29" i="3"/>
  <c r="P25" i="3"/>
  <c r="C22" i="3"/>
  <c r="Q47" i="3"/>
  <c r="D44" i="3"/>
  <c r="A46" i="3"/>
  <c r="E42" i="3"/>
  <c r="I38" i="3"/>
  <c r="E34" i="3"/>
  <c r="I30" i="3"/>
  <c r="M26" i="3"/>
  <c r="F48" i="3"/>
  <c r="J44" i="3"/>
  <c r="N40" i="3"/>
  <c r="N36" i="3"/>
  <c r="N32" i="3"/>
  <c r="A29" i="3"/>
  <c r="E25" i="3"/>
  <c r="I21" i="3"/>
  <c r="N47" i="3"/>
  <c r="A44" i="3"/>
  <c r="E40" i="3"/>
  <c r="A36" i="3"/>
  <c r="E32" i="3"/>
  <c r="I28" i="3"/>
  <c r="M24" i="3"/>
  <c r="Q20" i="3"/>
  <c r="C48" i="3"/>
  <c r="G44" i="3"/>
  <c r="K40" i="3"/>
  <c r="K36" i="3"/>
  <c r="K32" i="3"/>
  <c r="O28" i="3"/>
  <c r="B25" i="3"/>
  <c r="F21" i="3"/>
  <c r="H17" i="3"/>
  <c r="P10" i="3"/>
  <c r="M18" i="3"/>
  <c r="H42" i="3"/>
  <c r="H6" i="3"/>
  <c r="A11" i="3"/>
  <c r="C15" i="3"/>
  <c r="M19" i="3"/>
  <c r="H28" i="3"/>
  <c r="A39" i="3"/>
  <c r="P3" i="3"/>
  <c r="M8" i="3"/>
  <c r="C13" i="3"/>
  <c r="D17" i="3"/>
  <c r="K23" i="3"/>
  <c r="K33" i="3"/>
  <c r="H44" i="3"/>
  <c r="Q3" i="3"/>
  <c r="N8" i="3"/>
  <c r="D13" i="3"/>
  <c r="D11" i="4" s="1"/>
  <c r="E17" i="3"/>
  <c r="M23" i="3"/>
  <c r="O33" i="3"/>
  <c r="N44" i="3"/>
  <c r="J3" i="3"/>
  <c r="G8" i="3"/>
  <c r="M12" i="3"/>
  <c r="N16" i="3"/>
  <c r="Q22" i="3"/>
  <c r="L32" i="3"/>
  <c r="E43" i="3"/>
  <c r="A3" i="3"/>
  <c r="I14" i="3"/>
  <c r="K25" i="3"/>
  <c r="C41" i="3"/>
  <c r="L5" i="3"/>
  <c r="I10" i="3"/>
  <c r="J14" i="3"/>
  <c r="N18" i="3"/>
  <c r="A27" i="3"/>
  <c r="K37" i="3"/>
  <c r="I48" i="3"/>
  <c r="M44" i="3"/>
  <c r="Q40" i="3"/>
  <c r="Q36" i="3"/>
  <c r="Q32" i="3"/>
  <c r="D29" i="3"/>
  <c r="H25" i="3"/>
  <c r="L21" i="3"/>
  <c r="I47" i="3"/>
  <c r="M43" i="3"/>
  <c r="J45" i="3"/>
  <c r="N41" i="3"/>
  <c r="A38" i="3"/>
  <c r="N33" i="3"/>
  <c r="A30" i="3"/>
  <c r="E26" i="3"/>
  <c r="O47" i="3"/>
  <c r="B44" i="3"/>
  <c r="F40" i="3"/>
  <c r="F36" i="3"/>
  <c r="F32" i="3"/>
  <c r="J28" i="3"/>
  <c r="N24" i="3"/>
  <c r="A21" i="3"/>
  <c r="F47" i="3"/>
  <c r="J43" i="3"/>
  <c r="N39" i="3"/>
  <c r="J35" i="3"/>
  <c r="N31" i="3"/>
  <c r="A28" i="3"/>
  <c r="E24" i="3"/>
  <c r="I20" i="3"/>
  <c r="L47" i="3"/>
  <c r="P43" i="3"/>
  <c r="C40" i="3"/>
  <c r="P35" i="3"/>
  <c r="C32" i="3"/>
  <c r="G28" i="3"/>
  <c r="K24" i="3"/>
  <c r="O20" i="3"/>
  <c r="M3" i="3"/>
  <c r="O11" i="3"/>
  <c r="H20" i="3"/>
  <c r="P6" i="3"/>
  <c r="I11" i="3"/>
  <c r="K15" i="3"/>
  <c r="L20" i="3"/>
  <c r="M29" i="3"/>
  <c r="D40" i="3"/>
  <c r="K4" i="3"/>
  <c r="H9" i="3"/>
  <c r="L13" i="3"/>
  <c r="M17" i="3"/>
  <c r="P24" i="3"/>
  <c r="P34" i="3"/>
  <c r="F46" i="3"/>
  <c r="L4" i="3"/>
  <c r="I9" i="3"/>
  <c r="M13" i="3"/>
  <c r="N17" i="3"/>
  <c r="A25" i="3"/>
  <c r="A35" i="3"/>
  <c r="L46" i="3"/>
  <c r="A4" i="3"/>
  <c r="O8" i="3"/>
  <c r="F13" i="3"/>
  <c r="F17" i="3"/>
  <c r="L30" i="3"/>
  <c r="J15" i="3"/>
  <c r="J47" i="3"/>
  <c r="A32" i="3"/>
  <c r="J46" i="3"/>
  <c r="O36" i="3"/>
  <c r="P46" i="3"/>
  <c r="G31" i="3"/>
  <c r="G46" i="3"/>
  <c r="O30" i="3"/>
  <c r="M46" i="3"/>
  <c r="D31" i="3"/>
  <c r="K5" i="3"/>
  <c r="J7" i="3"/>
  <c r="A31" i="3"/>
  <c r="D14" i="3"/>
  <c r="D48" i="3"/>
  <c r="L10" i="3"/>
  <c r="B38" i="3"/>
  <c r="H5" i="3"/>
  <c r="O17" i="3"/>
  <c r="E35" i="3"/>
  <c r="N7" i="3"/>
  <c r="N12" i="3"/>
  <c r="G17" i="3"/>
  <c r="G25" i="3"/>
  <c r="P36" i="3"/>
  <c r="A6" i="3"/>
  <c r="O10" i="3"/>
  <c r="P14" i="3"/>
  <c r="G19" i="3"/>
  <c r="Q27" i="3"/>
  <c r="J38" i="3"/>
  <c r="O43" i="3"/>
  <c r="L19" i="3"/>
  <c r="E44" i="3"/>
  <c r="M28" i="3"/>
  <c r="O48" i="3"/>
  <c r="F33" i="3"/>
  <c r="K43" i="3"/>
  <c r="B28" i="3"/>
  <c r="B43" i="3"/>
  <c r="J27" i="3"/>
  <c r="H43" i="3"/>
  <c r="P27" i="3"/>
  <c r="H12" i="3"/>
  <c r="A8" i="3"/>
  <c r="D32" i="3"/>
  <c r="L14" i="3"/>
  <c r="E14" i="3"/>
  <c r="J48" i="3"/>
  <c r="M7" i="3"/>
  <c r="I18" i="3"/>
  <c r="L36" i="3"/>
  <c r="H8" i="3"/>
  <c r="G13" i="3"/>
  <c r="Q17" i="3"/>
  <c r="J26" i="3"/>
  <c r="F38" i="3"/>
  <c r="M6" i="3"/>
  <c r="F11" i="3"/>
  <c r="H15" i="3"/>
  <c r="F20" i="3"/>
  <c r="E29" i="3"/>
  <c r="M39" i="3"/>
  <c r="M45" i="3"/>
  <c r="K20" i="3"/>
  <c r="N43" i="3"/>
  <c r="E28" i="3"/>
  <c r="G48" i="3"/>
  <c r="O32" i="3"/>
  <c r="C43" i="3"/>
  <c r="K27" i="3"/>
  <c r="K42" i="3"/>
  <c r="B27" i="3"/>
  <c r="Q42" i="3"/>
  <c r="H27" i="3"/>
  <c r="I13" i="3"/>
  <c r="Q11" i="3"/>
  <c r="I41" i="3"/>
  <c r="F18" i="3"/>
  <c r="M14" i="3"/>
  <c r="J9" i="3"/>
  <c r="A22" i="3"/>
  <c r="I39" i="3"/>
  <c r="P8" i="3"/>
  <c r="O13" i="3"/>
  <c r="K18" i="3"/>
  <c r="O27" i="3"/>
  <c r="K39" i="3"/>
  <c r="G7" i="3"/>
  <c r="N11" i="3"/>
  <c r="P15" i="3"/>
  <c r="E21" i="3"/>
  <c r="J30" i="3"/>
  <c r="A41" i="3"/>
  <c r="P4" i="3"/>
  <c r="G6" i="3"/>
  <c r="F28" i="3"/>
  <c r="I40" i="3"/>
  <c r="Q24" i="3"/>
  <c r="B45" i="3"/>
  <c r="J29" i="3"/>
  <c r="O39" i="3"/>
  <c r="F24" i="3"/>
  <c r="F39" i="3"/>
  <c r="N23" i="3"/>
  <c r="L39" i="3"/>
  <c r="C24" i="3"/>
  <c r="F22" i="3"/>
  <c r="J12" i="3"/>
  <c r="N42" i="3"/>
  <c r="Q18" i="3"/>
  <c r="G18" i="3"/>
  <c r="A10" i="3"/>
  <c r="Q23" i="3"/>
  <c r="Q41" i="3"/>
  <c r="K3" i="3"/>
  <c r="K9" i="3"/>
  <c r="G14" i="3"/>
  <c r="F19" i="3"/>
  <c r="C29" i="3"/>
  <c r="B42" i="3"/>
  <c r="O7" i="3"/>
  <c r="G12" i="3"/>
  <c r="H16" i="3"/>
  <c r="D22" i="3"/>
  <c r="M31" i="3"/>
  <c r="F42" i="3"/>
  <c r="F6" i="3"/>
  <c r="O6" i="3"/>
  <c r="K29" i="3"/>
  <c r="A40" i="3"/>
  <c r="I24" i="3"/>
  <c r="K44" i="3"/>
  <c r="B29" i="3"/>
  <c r="G39" i="3"/>
  <c r="O23" i="3"/>
  <c r="O38" i="3"/>
  <c r="F23" i="3"/>
  <c r="D39" i="3"/>
  <c r="L23" i="3"/>
  <c r="H24" i="3"/>
  <c r="C16" i="3"/>
  <c r="F5" i="3"/>
  <c r="B26" i="3"/>
  <c r="D19" i="3"/>
  <c r="D12" i="3"/>
  <c r="C25" i="3"/>
  <c r="P44" i="3"/>
  <c r="F4" i="3"/>
  <c r="F10" i="3"/>
  <c r="O14" i="3"/>
  <c r="D20" i="3"/>
  <c r="K31" i="3"/>
  <c r="G43" i="3"/>
  <c r="L3" i="3"/>
  <c r="I8" i="3"/>
  <c r="O12" i="3"/>
  <c r="P16" i="3"/>
  <c r="C23" i="3"/>
  <c r="A33" i="3"/>
  <c r="I43" i="3"/>
  <c r="Q14" i="3"/>
  <c r="Q10" i="3"/>
  <c r="N38" i="3"/>
  <c r="I36" i="3"/>
  <c r="D21" i="3"/>
  <c r="F41" i="3"/>
  <c r="N25" i="3"/>
  <c r="K35" i="3"/>
  <c r="J20" i="3"/>
  <c r="B35" i="3"/>
  <c r="A20" i="3"/>
  <c r="H35" i="3"/>
  <c r="G20" i="3"/>
  <c r="K16" i="3"/>
  <c r="N5" i="3"/>
  <c r="G27" i="3"/>
  <c r="G5" i="3"/>
  <c r="F26" i="3"/>
  <c r="N13" i="3"/>
  <c r="H26" i="3"/>
  <c r="N46" i="3"/>
  <c r="N4" i="3"/>
  <c r="N10" i="3"/>
  <c r="G15" i="3"/>
  <c r="B22" i="3"/>
  <c r="P32" i="3"/>
  <c r="E45" i="3"/>
  <c r="G4" i="3"/>
  <c r="Q8" i="3"/>
  <c r="H13" i="3"/>
  <c r="I17" i="3"/>
  <c r="D24" i="3"/>
  <c r="F34" i="3"/>
  <c r="G45" i="3"/>
  <c r="Q15" i="3"/>
  <c r="H11" i="3"/>
  <c r="B40" i="3"/>
  <c r="N35" i="3"/>
  <c r="M20" i="3"/>
  <c r="O40" i="3"/>
  <c r="F25" i="3"/>
  <c r="C35" i="3"/>
  <c r="B20" i="3"/>
  <c r="K34" i="3"/>
  <c r="J19" i="3"/>
  <c r="Q34" i="3"/>
  <c r="P19" i="3"/>
  <c r="K21" i="3"/>
  <c r="P9" i="3"/>
  <c r="H36" i="3"/>
  <c r="O5" i="3"/>
  <c r="I27" i="3"/>
  <c r="F14" i="3"/>
  <c r="I31" i="3"/>
  <c r="I5" i="3"/>
  <c r="E11" i="3"/>
  <c r="G16" i="3"/>
  <c r="A23" i="3"/>
  <c r="B34" i="3"/>
  <c r="C47" i="3"/>
  <c r="O4" i="3"/>
  <c r="L9" i="3"/>
  <c r="P13" i="3"/>
  <c r="A18" i="3"/>
  <c r="I25" i="3"/>
  <c r="I35" i="3"/>
  <c r="E47" i="3"/>
  <c r="L31" i="3"/>
  <c r="H4" i="3"/>
  <c r="G3" i="3"/>
  <c r="J22" i="3"/>
  <c r="K10" i="3"/>
  <c r="O37" i="3"/>
  <c r="Q9" i="3"/>
  <c r="J36" i="3"/>
  <c r="M4" i="3"/>
  <c r="F16" i="3"/>
  <c r="Q33" i="3"/>
  <c r="L6" i="3"/>
  <c r="F12" i="3"/>
  <c r="O16" i="3"/>
  <c r="B24" i="3"/>
  <c r="G35" i="3"/>
  <c r="J5" i="3"/>
  <c r="G10" i="3"/>
  <c r="H14" i="3"/>
  <c r="L18" i="3"/>
  <c r="N26" i="3"/>
  <c r="A37" i="3"/>
  <c r="D28" i="3"/>
  <c r="A15" i="3"/>
  <c r="A48" i="3"/>
  <c r="I32" i="3"/>
  <c r="A47" i="3"/>
  <c r="J37" i="3"/>
  <c r="G47" i="3"/>
  <c r="O31" i="3"/>
  <c r="O46" i="3"/>
  <c r="F31" i="3"/>
  <c r="D47" i="3"/>
  <c r="A6" i="5" l="1"/>
  <c r="A6" i="4"/>
  <c r="B28" i="5"/>
  <c r="B28" i="4"/>
  <c r="B9" i="4"/>
  <c r="B9" i="5"/>
  <c r="B26" i="5"/>
  <c r="B26" i="4"/>
  <c r="A13" i="5"/>
  <c r="A13" i="4"/>
  <c r="B21" i="5"/>
  <c r="B21" i="4"/>
  <c r="A11" i="5"/>
  <c r="A11" i="4"/>
  <c r="B22" i="5"/>
  <c r="B22" i="4"/>
  <c r="A2" i="5"/>
  <c r="A2" i="4"/>
  <c r="A19" i="4"/>
  <c r="C19" i="4" s="1"/>
  <c r="A19" i="5"/>
  <c r="C19" i="5" s="1"/>
  <c r="A24" i="5"/>
  <c r="C24" i="5" s="1"/>
  <c r="A24" i="4"/>
  <c r="C24" i="4" s="1"/>
  <c r="A7" i="4"/>
  <c r="A7" i="5"/>
  <c r="A14" i="5"/>
  <c r="A14" i="4"/>
  <c r="A21" i="4"/>
  <c r="C21" i="4" s="1"/>
  <c r="A21" i="5"/>
  <c r="C21" i="5" s="1"/>
  <c r="B20" i="5"/>
  <c r="B20" i="4"/>
  <c r="A20" i="5"/>
  <c r="C20" i="5" s="1"/>
  <c r="A20" i="4"/>
  <c r="C20" i="4" s="1"/>
  <c r="A4" i="5"/>
  <c r="A4" i="4"/>
  <c r="A28" i="5"/>
  <c r="C28" i="5" s="1"/>
  <c r="A28" i="4"/>
  <c r="C28" i="4" s="1"/>
  <c r="A25" i="4"/>
  <c r="C25" i="4" s="1"/>
  <c r="A25" i="5"/>
  <c r="C25" i="5" s="1"/>
  <c r="A1" i="5"/>
  <c r="A1" i="4"/>
  <c r="A15" i="4"/>
  <c r="A15" i="5"/>
  <c r="B19" i="5"/>
  <c r="B19" i="4"/>
  <c r="B27" i="5"/>
  <c r="D27" i="5" s="1"/>
  <c r="B27" i="4"/>
  <c r="D27" i="4" s="1"/>
  <c r="A16" i="4"/>
  <c r="A16" i="5"/>
  <c r="B25" i="5"/>
  <c r="B25" i="4"/>
  <c r="A26" i="5"/>
  <c r="C26" i="5" s="1"/>
  <c r="A26" i="4"/>
  <c r="C26" i="4" s="1"/>
  <c r="B23" i="5"/>
  <c r="B23" i="4"/>
  <c r="A3" i="5"/>
  <c r="A3" i="4"/>
  <c r="A5" i="5"/>
  <c r="A5" i="4"/>
  <c r="A12" i="5"/>
  <c r="A12" i="4"/>
  <c r="B24" i="5"/>
  <c r="D24" i="5" s="1"/>
  <c r="B24" i="4"/>
  <c r="D24" i="4" s="1"/>
  <c r="A23" i="4"/>
  <c r="C23" i="4" s="1"/>
  <c r="A23" i="5"/>
  <c r="C23" i="5" s="1"/>
  <c r="A27" i="4"/>
  <c r="C27" i="4" s="1"/>
  <c r="A27" i="5"/>
  <c r="C27" i="5" s="1"/>
  <c r="A22" i="5"/>
  <c r="C22" i="5" s="1"/>
  <c r="A22" i="4"/>
  <c r="C22" i="4" s="1"/>
  <c r="D20" i="4" l="1"/>
  <c r="D23" i="4"/>
  <c r="D22" i="4"/>
  <c r="D26" i="4"/>
  <c r="D22" i="5"/>
  <c r="D26" i="5"/>
  <c r="D23" i="5"/>
  <c r="D20" i="5"/>
  <c r="D21" i="4"/>
  <c r="D28" i="4"/>
  <c r="D19" i="5"/>
  <c r="D21" i="5"/>
  <c r="D28" i="5"/>
  <c r="D19" i="4"/>
  <c r="D30" i="4" s="1"/>
  <c r="D31" i="4" s="1"/>
  <c r="D32" i="4" s="1"/>
  <c r="D25" i="4"/>
  <c r="D25" i="5"/>
  <c r="D30" i="5" l="1"/>
  <c r="D31" i="5" s="1"/>
  <c r="D32" i="5" s="1"/>
</calcChain>
</file>

<file path=xl/sharedStrings.xml><?xml version="1.0" encoding="utf-8"?>
<sst xmlns="http://schemas.openxmlformats.org/spreadsheetml/2006/main" count="116" uniqueCount="74">
  <si>
    <t>Company</t>
  </si>
  <si>
    <t>INVOICE</t>
  </si>
  <si>
    <t>Number</t>
  </si>
  <si>
    <t>Bill To:</t>
  </si>
  <si>
    <t>Date:</t>
  </si>
  <si>
    <t>First Name Middle Name Last Name</t>
  </si>
  <si>
    <t>Description</t>
  </si>
  <si>
    <t>Quantity</t>
  </si>
  <si>
    <t>Unit Price</t>
  </si>
  <si>
    <t>Total</t>
  </si>
  <si>
    <t>Item Description</t>
  </si>
  <si>
    <t>Subtotal:</t>
  </si>
  <si>
    <t>Tax (10%):</t>
  </si>
  <si>
    <t>Total:</t>
  </si>
  <si>
    <t>Payment Instructions:</t>
  </si>
  <si>
    <t>[Your Payment Instructions]</t>
  </si>
  <si>
    <t>Date Paid:</t>
  </si>
  <si>
    <t>Via:</t>
  </si>
  <si>
    <t>Date Shipped:</t>
  </si>
  <si>
    <t>Log 6</t>
  </si>
  <si>
    <t>Log 7</t>
  </si>
  <si>
    <t>Log 8</t>
  </si>
  <si>
    <t>Log 9</t>
  </si>
  <si>
    <t>Log 10</t>
  </si>
  <si>
    <t>Log 11</t>
  </si>
  <si>
    <t>Log 12</t>
  </si>
  <si>
    <t>Number- Date:- Bill To:- Total:- Log 5- Log 6- Log 7- Log 8- Log 9- Log 10- Log 11- Log 12</t>
  </si>
  <si>
    <t>RECEIPT</t>
  </si>
  <si>
    <t>Thank you for your order!</t>
  </si>
  <si>
    <t>PACKING SLIP</t>
  </si>
  <si>
    <t>Quantity in Stock</t>
  </si>
  <si>
    <t>Category</t>
  </si>
  <si>
    <t>Supplier</t>
  </si>
  <si>
    <t>Item 1</t>
  </si>
  <si>
    <t>Category 1</t>
  </si>
  <si>
    <t>Supplier A</t>
  </si>
  <si>
    <t>Item 2</t>
  </si>
  <si>
    <t>Category 2</t>
  </si>
  <si>
    <t>Supplier B</t>
  </si>
  <si>
    <t>Item 3</t>
  </si>
  <si>
    <t>Category 3</t>
  </si>
  <si>
    <t>Supplier C</t>
  </si>
  <si>
    <t>Item 4</t>
  </si>
  <si>
    <t>Invoice Log</t>
  </si>
  <si>
    <t>Date</t>
  </si>
  <si>
    <t>First Name</t>
  </si>
  <si>
    <t>Middle Name</t>
  </si>
  <si>
    <t>Last Name</t>
  </si>
  <si>
    <t>Title</t>
  </si>
  <si>
    <t>E-mail Address</t>
  </si>
  <si>
    <t>Home Phone</t>
  </si>
  <si>
    <t>Mobile Phone</t>
  </si>
  <si>
    <t>Home Street</t>
  </si>
  <si>
    <t>Home City</t>
  </si>
  <si>
    <t>Home State</t>
  </si>
  <si>
    <t>Home Postal Code</t>
  </si>
  <si>
    <t>Business Phone</t>
  </si>
  <si>
    <t>Business Fax</t>
  </si>
  <si>
    <t>Business Street</t>
  </si>
  <si>
    <t>Business City</t>
  </si>
  <si>
    <t>Business State</t>
  </si>
  <si>
    <t>Business Postal Code</t>
  </si>
  <si>
    <t>Other Street</t>
  </si>
  <si>
    <t>Other City</t>
  </si>
  <si>
    <t>Other State</t>
  </si>
  <si>
    <t>Other Postal Code</t>
  </si>
  <si>
    <t>Target Cell on Sheet1</t>
  </si>
  <si>
    <t>Vlookup by Name</t>
  </si>
  <si>
    <t>Xlookup by Company</t>
  </si>
  <si>
    <t>To import contacts: Export your selected Gmail™ contacts to an Outlook™ CSV file. Open it and Select all (Ctrl+A) then press (Ctrl+C) to copy. Paste them (Ctl+V) in the green shaded (First Name) cell (B1) on the contacts sheet.</t>
  </si>
  <si>
    <t>Enter information and select New Contact.</t>
  </si>
  <si>
    <t>Totals</t>
  </si>
  <si>
    <t>Helper Column</t>
  </si>
  <si>
    <t>Quantity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</si>
</sst>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8">
    <font>
      <sz val="10"/>
      <color rgb="FF000000"/>
      <name val="Arial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9"/>
      <color theme="1"/>
      <name val="Google Sans Mono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2"/>
      <color rgb="FF0066CC"/>
      <name val="Arial"/>
      <family val="2"/>
    </font>
    <font>
      <b/>
      <i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4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9" fillId="3" borderId="4" xfId="0" applyFont="1" applyFill="1" applyBorder="1"/>
    <xf numFmtId="0" fontId="9" fillId="3" borderId="0" xfId="0" applyFont="1" applyFill="1"/>
    <xf numFmtId="0" fontId="9" fillId="0" borderId="4" xfId="0" applyFont="1" applyBorder="1"/>
    <xf numFmtId="14" fontId="9" fillId="0" borderId="4" xfId="0" applyNumberFormat="1" applyFont="1" applyBorder="1"/>
    <xf numFmtId="164" fontId="9" fillId="0" borderId="4" xfId="0" applyNumberFormat="1" applyFont="1" applyBorder="1"/>
    <xf numFmtId="0" fontId="9" fillId="4" borderId="0" xfId="0" applyFont="1" applyFill="1"/>
    <xf numFmtId="0" fontId="9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14" fontId="9" fillId="0" borderId="0" xfId="0" applyNumberFormat="1" applyFont="1"/>
    <xf numFmtId="0" fontId="9" fillId="5" borderId="7" xfId="0" applyFont="1" applyFill="1" applyBorder="1"/>
    <xf numFmtId="0" fontId="9" fillId="0" borderId="7" xfId="0" applyFont="1" applyBorder="1"/>
    <xf numFmtId="0" fontId="9" fillId="5" borderId="0" xfId="0" applyFont="1" applyFill="1"/>
    <xf numFmtId="14" fontId="9" fillId="5" borderId="0" xfId="0" applyNumberFormat="1" applyFont="1" applyFill="1"/>
    <xf numFmtId="0" fontId="15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9" fillId="3" borderId="0" xfId="0" applyFont="1" applyFill="1"/>
    <xf numFmtId="0" fontId="10" fillId="3" borderId="0" xfId="0" applyFont="1" applyFill="1" applyAlignment="1">
      <alignment horizontal="center" vertical="center" wrapText="1"/>
    </xf>
    <xf numFmtId="0" fontId="9" fillId="4" borderId="0" xfId="0" applyFont="1" applyFill="1"/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vertical="top" wrapText="1"/>
    </xf>
    <xf numFmtId="0" fontId="16" fillId="0" borderId="0" xfId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723900</xdr:colOff>
      <xdr:row>1</xdr:row>
      <xdr:rowOff>200025</xdr:rowOff>
    </xdr:from>
    <xdr:ext cx="1047750" cy="104775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790575</xdr:colOff>
      <xdr:row>2</xdr:row>
      <xdr:rowOff>47625</xdr:rowOff>
    </xdr:from>
    <xdr:ext cx="1047750" cy="10477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742950</xdr:colOff>
      <xdr:row>0</xdr:row>
      <xdr:rowOff>38100</xdr:rowOff>
    </xdr:from>
    <xdr:ext cx="1047750" cy="10477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790575</xdr:colOff>
      <xdr:row>0</xdr:row>
      <xdr:rowOff>28575</xdr:rowOff>
    </xdr:from>
    <xdr:ext cx="1047750" cy="10477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fed9c0cf3f584e6/Documents/DataMate/INVOICE_INVENTORY1.xlsx" TargetMode="External"/><Relationship Id="rId1" Type="http://schemas.openxmlformats.org/officeDocument/2006/relationships/externalLinkPath" Target="INVOICE_INVENTOR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acts"/>
      <sheetName val="Inventory"/>
      <sheetName val="Sheet1"/>
      <sheetName val="Input"/>
      <sheetName val="View_Print"/>
      <sheetName val="Receipt"/>
      <sheetName val="Packing Slip"/>
      <sheetName val="Log"/>
      <sheetName val="Update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4"/>
  <sheetViews>
    <sheetView showGridLines="0" showZeros="0" workbookViewId="0">
      <selection activeCell="D21" sqref="D21:D30"/>
    </sheetView>
  </sheetViews>
  <sheetFormatPr defaultColWidth="12.6328125" defaultRowHeight="15.75" customHeight="1"/>
  <cols>
    <col min="1" max="1" width="30.6328125" customWidth="1"/>
  </cols>
  <sheetData>
    <row r="1" spans="1:17" ht="15.7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>
      <c r="A3" s="38" t="s">
        <v>0</v>
      </c>
      <c r="B3" s="39"/>
      <c r="C3" s="39"/>
      <c r="D3" s="39"/>
      <c r="E3" s="3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pans="1:17" ht="15.75" customHeight="1">
      <c r="A4" s="40" t="str">
        <f t="array" ref="A4">IFERROR(INDEX(contacts!A:A, MATCH(A3, contacts!AR:AR, 0)), "Not Found")</f>
        <v>First Name Middle Name Last Name</v>
      </c>
      <c r="B4" s="39"/>
      <c r="C4" s="39"/>
      <c r="D4" s="39"/>
      <c r="E4" s="3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</row>
    <row r="5" spans="1:17" ht="15.75" customHeight="1">
      <c r="A5" s="40" t="str">
        <f t="array" ref="A5">IFERROR(INDEX(contacts!AZ:AZ, MATCH(A3, contacts!AR:AR, 0)), "Not Found")</f>
        <v>Business Street</v>
      </c>
      <c r="B5" s="39"/>
      <c r="C5" s="39"/>
      <c r="D5" s="39"/>
      <c r="E5" s="3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5"/>
    </row>
    <row r="6" spans="1:17" ht="15.75" customHeight="1">
      <c r="A6" s="40" t="str">
        <f t="array" ref="A6">IFERROR(INDEX(contacts!BD:BD, MATCH(A3, contacts!AR:AR, 0)), "") &amp; ", " &amp; IFERROR(INDEX(contacts!BE:BE, MATCH(A3, contacts!AR:AR, 0)), "") &amp; " " &amp; IFERROR(INDEX(contacts!BF:BF, MATCH(A3, contacts!AR:AR, 0)), "Not Found")</f>
        <v>Business City, Business State Business Postal Code</v>
      </c>
      <c r="B6" s="39"/>
      <c r="C6" s="39"/>
      <c r="D6" s="39"/>
      <c r="E6" s="3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</row>
    <row r="7" spans="1:17" ht="15.75" customHeight="1">
      <c r="A7" s="41" t="str">
        <f t="array" ref="A7">IFERROR(INDEX(contacts!P:P, MATCH(A3, contacts!AR:AR, 0)), "Not Found")</f>
        <v>E-mail Address</v>
      </c>
      <c r="B7" s="39"/>
      <c r="C7" s="39"/>
      <c r="D7" s="39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</row>
    <row r="8" spans="1:17" ht="15.75" customHeight="1">
      <c r="A8" s="41" t="str">
        <f t="array" ref="A8">IFERROR(INDEX(contacts!AN:AN, MATCH(A3, contacts!AR:AR, 0)), "Not Found")</f>
        <v>Business Phone</v>
      </c>
      <c r="B8" s="39"/>
      <c r="C8" s="39"/>
      <c r="D8" s="39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</row>
    <row r="9" spans="1:17" ht="15.75" customHeight="1">
      <c r="A9" s="42"/>
      <c r="B9" s="39"/>
      <c r="C9" s="39"/>
      <c r="D9" s="39"/>
      <c r="E9" s="3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/>
    </row>
    <row r="10" spans="1:17" ht="15.75" customHeight="1">
      <c r="A10" s="42" t="s">
        <v>1</v>
      </c>
      <c r="B10" s="39"/>
      <c r="C10" s="39"/>
      <c r="D10" s="39"/>
      <c r="E10" s="3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</row>
    <row r="11" spans="1:17">
      <c r="A11" s="7" t="s">
        <v>2</v>
      </c>
      <c r="B11" s="8">
        <f>Log!A10+1</f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</row>
    <row r="12" spans="1:17">
      <c r="A12" s="44" t="s">
        <v>3</v>
      </c>
      <c r="B12" s="39"/>
      <c r="C12" s="2"/>
      <c r="D12" s="45" t="s">
        <v>4</v>
      </c>
      <c r="E12" s="3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</row>
    <row r="13" spans="1:17" ht="15.75" customHeight="1">
      <c r="A13" s="40" t="s">
        <v>5</v>
      </c>
      <c r="B13" s="39"/>
      <c r="C13" s="2"/>
      <c r="D13" s="46">
        <f ca="1">TODAY()</f>
        <v>45666</v>
      </c>
      <c r="E13" s="3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</row>
    <row r="14" spans="1:17" ht="15.75" customHeight="1">
      <c r="A14" s="40" t="str">
        <f>VLOOKUP(A13, contacts!A:CJ, 44, FALSE)</f>
        <v>Company</v>
      </c>
      <c r="B14" s="3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</row>
    <row r="15" spans="1:17" ht="15.75" customHeight="1">
      <c r="A15" s="40" t="str">
        <f>VLOOKUP(A13, contacts!A:CJ, 52, FALSE)</f>
        <v>Business Street</v>
      </c>
      <c r="B15" s="3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</row>
    <row r="16" spans="1:17" ht="15.75" customHeight="1">
      <c r="A16" s="40" t="str">
        <f>VLOOKUP(A13, contacts!A:CJ, 56, FALSE) &amp; ", " &amp; VLOOKUP(A13, contacts!A:CJ, 57, FALSE) &amp; " " &amp; VLOOKUP(A13, contacts!A:CJ, 58, FALSE)</f>
        <v>Business City, Business State Business Postal Code</v>
      </c>
      <c r="B16" s="3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</row>
    <row r="17" spans="1:17" ht="15.75" customHeight="1">
      <c r="A17" s="43" t="str">
        <f>HYPERLINK(VLOOKUP(A13, contacts!A:CJ, 16, FALSE))</f>
        <v>E-mail Address</v>
      </c>
      <c r="B17" s="3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</row>
    <row r="18" spans="1:17" ht="15.75" customHeight="1">
      <c r="A18" s="40" t="str">
        <f>VLOOKUP(A13, contacts!A:CJ, 40, FALSE)</f>
        <v>Business Phone</v>
      </c>
      <c r="B18" s="3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</row>
    <row r="19" spans="1:17" ht="15.75" customHeight="1">
      <c r="A19" s="40"/>
      <c r="B19" s="39"/>
      <c r="C19" s="2"/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</row>
    <row r="20" spans="1:17">
      <c r="A20" s="11" t="s">
        <v>6</v>
      </c>
      <c r="B20" s="11" t="s">
        <v>7</v>
      </c>
      <c r="C20" s="11" t="s">
        <v>8</v>
      </c>
      <c r="D20" s="11" t="s">
        <v>9</v>
      </c>
      <c r="E20" s="2"/>
      <c r="F20" s="2" t="str">
        <f>Inventory!B1</f>
        <v>Quantity in Stock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</row>
    <row r="21" spans="1:17" ht="15.75" customHeight="1">
      <c r="A21" s="12" t="s">
        <v>10</v>
      </c>
      <c r="B21" s="12"/>
      <c r="C21" s="13" t="str">
        <f>IFERROR(VLOOKUP(A21,Inventory!$A$2:$CL$9341,3,FALSE), "")</f>
        <v/>
      </c>
      <c r="D21" s="13">
        <f>IFERROR($B21*$C21,0)</f>
        <v>0</v>
      </c>
      <c r="E21" s="2"/>
      <c r="F21" s="14" t="str">
        <f>IFERROR(VLOOKUP(A21,Inventory!$A$2:$CL$9341,2,FALSE), "")</f>
        <v/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5"/>
    </row>
    <row r="22" spans="1:17" ht="15.75" customHeight="1">
      <c r="A22" s="12"/>
      <c r="B22" s="12"/>
      <c r="C22" s="13" t="str">
        <f>IFERROR(VLOOKUP(A22,Inventory!$A$2:$CL$9341,3,FALSE), "")</f>
        <v/>
      </c>
      <c r="D22" s="13">
        <f t="shared" ref="D22:D30" si="0">IFERROR($B22*$C22,0)</f>
        <v>0</v>
      </c>
      <c r="E22" s="2"/>
      <c r="F22" s="14" t="str">
        <f>IFERROR(VLOOKUP(A22,Inventory!$A$2:$CL$9341,2,FALSE), "")</f>
        <v/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5"/>
    </row>
    <row r="23" spans="1:17" ht="15.75" customHeight="1">
      <c r="A23" s="12"/>
      <c r="B23" s="12"/>
      <c r="C23" s="13" t="str">
        <f>IFERROR(VLOOKUP(A23,Inventory!$A$2:$CL$9341,3,FALSE), "")</f>
        <v/>
      </c>
      <c r="D23" s="13">
        <f t="shared" si="0"/>
        <v>0</v>
      </c>
      <c r="E23" s="2"/>
      <c r="F23" s="14" t="str">
        <f>IFERROR(VLOOKUP(A23,Inventory!$A$2:$CL$9341,2,FALSE), "")</f>
        <v/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5"/>
    </row>
    <row r="24" spans="1:17" ht="15.75" customHeight="1">
      <c r="A24" s="12"/>
      <c r="B24" s="12"/>
      <c r="C24" s="13" t="str">
        <f>IFERROR(VLOOKUP(A24,Inventory!$A$2:$CL$9341,3,FALSE), "")</f>
        <v/>
      </c>
      <c r="D24" s="13">
        <f t="shared" si="0"/>
        <v>0</v>
      </c>
      <c r="E24" s="2"/>
      <c r="F24" s="14" t="str">
        <f>IFERROR(VLOOKUP(A24,Inventory!$A$2:$CL$9341,2,FALSE), "")</f>
        <v/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/>
    </row>
    <row r="25" spans="1:17" ht="15.75" customHeight="1">
      <c r="A25" s="12"/>
      <c r="B25" s="12"/>
      <c r="C25" s="13" t="str">
        <f>IFERROR(VLOOKUP(A25,Inventory!$A$2:$CL$9341,3,FALSE), "")</f>
        <v/>
      </c>
      <c r="D25" s="13">
        <f t="shared" si="0"/>
        <v>0</v>
      </c>
      <c r="E25" s="2"/>
      <c r="F25" s="14" t="str">
        <f>IFERROR(VLOOKUP(A25,Inventory!$A$2:$CL$9341,2,FALSE), "")</f>
        <v/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5"/>
    </row>
    <row r="26" spans="1:17" ht="15.75" customHeight="1">
      <c r="A26" s="12"/>
      <c r="B26" s="12"/>
      <c r="C26" s="13" t="str">
        <f>IFERROR(VLOOKUP(A26,Inventory!$A$2:$CL$9341,3,FALSE), "")</f>
        <v/>
      </c>
      <c r="D26" s="13">
        <f t="shared" si="0"/>
        <v>0</v>
      </c>
      <c r="E26" s="2"/>
      <c r="F26" s="14" t="str">
        <f>IFERROR(VLOOKUP(A26,Inventory!$A$2:$CL$9341,2,FALSE), "")</f>
        <v/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5"/>
    </row>
    <row r="27" spans="1:17" ht="15.75" customHeight="1">
      <c r="A27" s="12"/>
      <c r="B27" s="12"/>
      <c r="C27" s="13" t="str">
        <f>IFERROR(VLOOKUP(A27,Inventory!$A$2:$CL$9341,3,FALSE), "")</f>
        <v/>
      </c>
      <c r="D27" s="13">
        <f t="shared" si="0"/>
        <v>0</v>
      </c>
      <c r="E27" s="2"/>
      <c r="F27" s="14" t="str">
        <f>IFERROR(VLOOKUP(A27,Inventory!$A$2:$CL$9341,2,FALSE), "")</f>
        <v/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5"/>
    </row>
    <row r="28" spans="1:17" ht="15.75" customHeight="1">
      <c r="A28" s="12"/>
      <c r="B28" s="12"/>
      <c r="C28" s="13" t="str">
        <f>IFERROR(VLOOKUP(A28,Inventory!$A$2:$CL$9341,3,FALSE), "")</f>
        <v/>
      </c>
      <c r="D28" s="13">
        <f t="shared" si="0"/>
        <v>0</v>
      </c>
      <c r="E28" s="2"/>
      <c r="F28" s="14" t="str">
        <f>IFERROR(VLOOKUP(A28,Inventory!$A$2:$CL$9341,2,FALSE), "")</f>
        <v/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/>
    </row>
    <row r="29" spans="1:17" ht="15.75" customHeight="1">
      <c r="A29" s="12"/>
      <c r="B29" s="12"/>
      <c r="C29" s="13" t="str">
        <f>IFERROR(VLOOKUP(A29,Inventory!$A$2:$CL$9341,3,FALSE), "")</f>
        <v/>
      </c>
      <c r="D29" s="13">
        <f t="shared" si="0"/>
        <v>0</v>
      </c>
      <c r="E29" s="2"/>
      <c r="F29" s="14" t="str">
        <f>IFERROR(VLOOKUP(A29,Inventory!$A$2:$CL$9341,2,FALSE), "")</f>
        <v/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/>
    </row>
    <row r="30" spans="1:17" ht="15.75" customHeight="1">
      <c r="A30" s="12"/>
      <c r="B30" s="12"/>
      <c r="C30" s="13" t="str">
        <f>IFERROR(VLOOKUP(A30,Inventory!$A$2:$CL$9341,3,FALSE), "")</f>
        <v/>
      </c>
      <c r="D30" s="13">
        <f t="shared" si="0"/>
        <v>0</v>
      </c>
      <c r="E30" s="2"/>
      <c r="F30" s="14" t="str">
        <f>IFERROR(VLOOKUP(A30,Inventory!$A$2:$CL$9341,2,FALSE), "")</f>
        <v/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"/>
    </row>
    <row r="32" spans="1:17">
      <c r="A32" s="2"/>
      <c r="B32" s="2"/>
      <c r="C32" s="9" t="s">
        <v>11</v>
      </c>
      <c r="D32" s="15">
        <f>SUM(D21:D30)</f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"/>
    </row>
    <row r="33" spans="1:17">
      <c r="A33" s="2"/>
      <c r="B33" s="2"/>
      <c r="C33" s="9" t="s">
        <v>12</v>
      </c>
      <c r="D33" s="15">
        <f>D32*0.1</f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/>
    </row>
    <row r="34" spans="1:17">
      <c r="A34" s="2"/>
      <c r="B34" s="2"/>
      <c r="C34" s="9" t="s">
        <v>13</v>
      </c>
      <c r="D34" s="15">
        <f>D32+D33</f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</row>
    <row r="36" spans="1:17">
      <c r="A36" s="44" t="s">
        <v>14</v>
      </c>
      <c r="B36" s="39"/>
      <c r="C36" s="39"/>
      <c r="D36" s="39"/>
      <c r="E36" s="3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/>
    </row>
    <row r="37" spans="1:17" ht="15.75" customHeight="1">
      <c r="A37" s="40" t="s">
        <v>15</v>
      </c>
      <c r="B37" s="39"/>
      <c r="C37" s="39"/>
      <c r="D37" s="39"/>
      <c r="E37" s="3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/>
    </row>
    <row r="38" spans="1:17">
      <c r="A38" s="16" t="s">
        <v>16</v>
      </c>
      <c r="B38" s="7" t="s">
        <v>17</v>
      </c>
      <c r="C38" s="7" t="s">
        <v>18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5"/>
    </row>
    <row r="39" spans="1:17" ht="15.75" customHeight="1">
      <c r="A39" s="1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5"/>
    </row>
    <row r="40" spans="1:17" ht="12.5">
      <c r="A40" s="1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"/>
    </row>
    <row r="41" spans="1:17" ht="12.5">
      <c r="A41" s="1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5"/>
    </row>
    <row r="42" spans="1:17" ht="12.5">
      <c r="A42" s="1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5"/>
    </row>
    <row r="43" spans="1:17" ht="12.5">
      <c r="A43" s="1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5"/>
    </row>
    <row r="44" spans="1:17" ht="12.5">
      <c r="A44" s="1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5"/>
    </row>
    <row r="45" spans="1:17" ht="12.5">
      <c r="A45" s="1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5"/>
    </row>
    <row r="46" spans="1:17" ht="12.5">
      <c r="A46" s="1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5"/>
    </row>
    <row r="47" spans="1:17" ht="12.5">
      <c r="A47" s="1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5"/>
    </row>
    <row r="48" spans="1:17" ht="12.5">
      <c r="A48" s="1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5"/>
    </row>
    <row r="49" spans="1:17" ht="12.5">
      <c r="A49" s="1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5"/>
    </row>
    <row r="50" spans="1:17" ht="12.5">
      <c r="A50" s="1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5"/>
    </row>
    <row r="51" spans="1:17" ht="12.5">
      <c r="A51" s="1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5"/>
    </row>
    <row r="52" spans="1:17" ht="12.5">
      <c r="A52" s="1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/>
    </row>
    <row r="53" spans="1:17" ht="12.5">
      <c r="A53" s="1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5"/>
    </row>
    <row r="54" spans="1:17" ht="12.5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0"/>
    </row>
  </sheetData>
  <mergeCells count="20">
    <mergeCell ref="A19:B19"/>
    <mergeCell ref="A36:E36"/>
    <mergeCell ref="A37:E37"/>
    <mergeCell ref="A10:E10"/>
    <mergeCell ref="A12:B12"/>
    <mergeCell ref="D12:E12"/>
    <mergeCell ref="A13:B13"/>
    <mergeCell ref="D13:E13"/>
    <mergeCell ref="A14:B14"/>
    <mergeCell ref="A15:B15"/>
    <mergeCell ref="A8:D8"/>
    <mergeCell ref="A9:E9"/>
    <mergeCell ref="A16:B16"/>
    <mergeCell ref="A17:B17"/>
    <mergeCell ref="A18:B18"/>
    <mergeCell ref="A3:E3"/>
    <mergeCell ref="A4:E4"/>
    <mergeCell ref="A5:E5"/>
    <mergeCell ref="A6:E6"/>
    <mergeCell ref="A7:D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contacts!$AR:$AR</xm:f>
          </x14:formula1>
          <xm:sqref>A3</xm:sqref>
        </x14:dataValidation>
        <x14:dataValidation type="list" allowBlank="1" showErrorMessage="1" xr:uid="{00000000-0002-0000-0000-000001000000}">
          <x14:formula1>
            <xm:f>contacts!$A:$A</xm:f>
          </x14:formula1>
          <xm:sqref>A13</xm:sqref>
        </x14:dataValidation>
        <x14:dataValidation type="list" allowBlank="1" showErrorMessage="1" xr:uid="{00000000-0002-0000-0000-000002000000}">
          <x14:formula1>
            <xm:f>Inventory!$A:$A</xm:f>
          </x14:formula1>
          <xm:sqref>A21:A30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54"/>
  <sheetViews>
    <sheetView showGridLines="0" showZeros="0" tabSelected="1" workbookViewId="0">
      <selection activeCell="A13" sqref="A13:B13"/>
    </sheetView>
  </sheetViews>
  <sheetFormatPr defaultColWidth="12.6328125" defaultRowHeight="15.75" customHeight="1"/>
  <cols>
    <col min="1" max="1" width="30.6328125" customWidth="1"/>
  </cols>
  <sheetData>
    <row r="1" spans="1:17" ht="15.75" customHeight="1">
      <c r="A1" s="21" t="str">
        <f>A11</f>
        <v>Number</v>
      </c>
      <c r="B1" s="21" t="str">
        <f t="shared" ref="B1:B2" si="0">D12</f>
        <v>Date:</v>
      </c>
      <c r="C1" s="21" t="str">
        <f t="shared" ref="C1:C2" si="1">A12</f>
        <v>Bill To:</v>
      </c>
      <c r="D1" s="21" t="str">
        <f>C34</f>
        <v>Total:</v>
      </c>
      <c r="E1" s="21" t="str">
        <f>C32</f>
        <v>Subtotal:</v>
      </c>
      <c r="F1" s="21" t="s">
        <v>19</v>
      </c>
      <c r="G1" s="21" t="s">
        <v>20</v>
      </c>
      <c r="H1" s="21" t="s">
        <v>21</v>
      </c>
      <c r="I1" s="21" t="s">
        <v>22</v>
      </c>
      <c r="J1" s="21" t="s">
        <v>23</v>
      </c>
      <c r="K1" s="21" t="s">
        <v>24</v>
      </c>
      <c r="L1" s="21" t="s">
        <v>25</v>
      </c>
      <c r="M1" s="21" t="str">
        <f t="shared" ref="M1:O1" si="2">A38</f>
        <v>Date Paid:</v>
      </c>
      <c r="N1" s="21" t="str">
        <f t="shared" si="2"/>
        <v>Via:</v>
      </c>
      <c r="O1" s="21" t="str">
        <f t="shared" si="2"/>
        <v>Date Shipped:</v>
      </c>
      <c r="P1" s="47"/>
      <c r="Q1" s="48"/>
    </row>
    <row r="2" spans="1:17" ht="15.75" customHeight="1">
      <c r="A2" s="23">
        <f>B11</f>
        <v>1</v>
      </c>
      <c r="B2" s="24">
        <f t="shared" ca="1" si="0"/>
        <v>45666</v>
      </c>
      <c r="C2" s="23" t="str">
        <f t="shared" si="1"/>
        <v>First Name Middle Name Last Name</v>
      </c>
      <c r="D2" s="25">
        <f>D34</f>
        <v>0</v>
      </c>
      <c r="E2" s="25">
        <f>D32</f>
        <v>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39"/>
      <c r="Q2" s="39"/>
    </row>
    <row r="3" spans="1:17" ht="15.75" customHeight="1">
      <c r="A3" s="38" t="s">
        <v>0</v>
      </c>
      <c r="B3" s="39"/>
      <c r="C3" s="39"/>
      <c r="D3" s="39"/>
      <c r="E3" s="3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pans="1:17" ht="15.75" customHeight="1">
      <c r="A4" s="40" t="str">
        <f>IFERROR(INDEX(contacts!A:A, MATCH(A3, contacts!AR:AR, 0)), "Not Found")</f>
        <v>First Name Middle Name Last Name</v>
      </c>
      <c r="B4" s="39"/>
      <c r="C4" s="39"/>
      <c r="D4" s="39"/>
      <c r="E4" s="3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</row>
    <row r="5" spans="1:17" ht="15.75" customHeight="1">
      <c r="A5" s="40" t="str">
        <f>IFERROR(INDEX(contacts!AZ:AZ, MATCH(A3, contacts!AR:AR, 0)), "Not Found")</f>
        <v>Business Street</v>
      </c>
      <c r="B5" s="39"/>
      <c r="C5" s="39"/>
      <c r="D5" s="39"/>
      <c r="E5" s="3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5"/>
    </row>
    <row r="6" spans="1:17" ht="15.75" customHeight="1">
      <c r="A6" s="40" t="str">
        <f>IFERROR(INDEX(contacts!BD:BD, MATCH(A3, contacts!AR:AR, 0)), "") &amp; ", " &amp; IFERROR(INDEX(contacts!BE:BE, MATCH(A3, contacts!AR:AR, 0)), "") &amp; " " &amp; IFERROR(INDEX(contacts!BF:BF, MATCH(A3, contacts!AR:AR, 0)), "Not Found")</f>
        <v>Business City, Business State Business Postal Code</v>
      </c>
      <c r="B6" s="39"/>
      <c r="C6" s="39"/>
      <c r="D6" s="39"/>
      <c r="E6" s="3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</row>
    <row r="7" spans="1:17" ht="15.75" customHeight="1">
      <c r="A7" s="41" t="str">
        <f>IFERROR(INDEX(contacts!P:P, MATCH(A3, contacts!AR:AR, 0)), "Not Found")</f>
        <v>E-mail Address</v>
      </c>
      <c r="B7" s="39"/>
      <c r="C7" s="39"/>
      <c r="D7" s="39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</row>
    <row r="8" spans="1:17" ht="15.75" customHeight="1">
      <c r="A8" s="41" t="str">
        <f>IFERROR(INDEX(contacts!AN:AN, MATCH(A3, contacts!AR:AR, 0)), "Not Found")</f>
        <v>Business Phone</v>
      </c>
      <c r="B8" s="39"/>
      <c r="C8" s="39"/>
      <c r="D8" s="39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</row>
    <row r="9" spans="1:17" ht="15.75" customHeight="1">
      <c r="A9" s="42"/>
      <c r="B9" s="39"/>
      <c r="C9" s="39"/>
      <c r="D9" s="39"/>
      <c r="E9" s="3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/>
    </row>
    <row r="10" spans="1:17" ht="15.75" customHeight="1">
      <c r="A10" s="42" t="s">
        <v>1</v>
      </c>
      <c r="B10" s="39"/>
      <c r="C10" s="39"/>
      <c r="D10" s="39"/>
      <c r="E10" s="3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</row>
    <row r="11" spans="1:17" ht="15.75" customHeight="1">
      <c r="A11" s="7" t="s">
        <v>2</v>
      </c>
      <c r="B11" s="8">
        <f>Log!A10+1</f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</row>
    <row r="12" spans="1:17" ht="15.75" customHeight="1">
      <c r="A12" s="44" t="s">
        <v>3</v>
      </c>
      <c r="B12" s="39"/>
      <c r="C12" s="2"/>
      <c r="D12" s="45" t="s">
        <v>4</v>
      </c>
      <c r="E12" s="3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</row>
    <row r="13" spans="1:17" ht="15.75" customHeight="1">
      <c r="A13" s="40" t="s">
        <v>5</v>
      </c>
      <c r="B13" s="39"/>
      <c r="C13" s="2"/>
      <c r="D13" s="46">
        <f ca="1">TODAY()</f>
        <v>45666</v>
      </c>
      <c r="E13" s="3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</row>
    <row r="14" spans="1:17" ht="15.75" customHeight="1">
      <c r="A14" s="40" t="str">
        <f>VLOOKUP(A13, contacts!A:CJ, 44, FALSE)</f>
        <v>Company</v>
      </c>
      <c r="B14" s="3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</row>
    <row r="15" spans="1:17" ht="15.75" customHeight="1">
      <c r="A15" s="40" t="str">
        <f>VLOOKUP(A13, contacts!A:CJ, 52, FALSE)</f>
        <v>Business Street</v>
      </c>
      <c r="B15" s="3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</row>
    <row r="16" spans="1:17" ht="15.75" customHeight="1">
      <c r="A16" s="40" t="str">
        <f>VLOOKUP(A13, contacts!A:CJ, 56, FALSE) &amp; ", " &amp; VLOOKUP(A13, contacts!A:CJ, 57, FALSE) &amp; " " &amp; VLOOKUP(A13, contacts!A:CJ, 58, FALSE)</f>
        <v>Business City, Business State Business Postal Code</v>
      </c>
      <c r="B16" s="3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</row>
    <row r="17" spans="1:17" ht="15.75" customHeight="1">
      <c r="A17" s="52" t="str">
        <f>HYPERLINK(VLOOKUP(A13, contacts!A:CJ, 16, FALSE))</f>
        <v>E-mail Address</v>
      </c>
      <c r="B17" s="3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</row>
    <row r="18" spans="1:17" ht="15.75" customHeight="1">
      <c r="A18" s="40" t="str">
        <f>VLOOKUP(A13, contacts!A:CJ, 40, FALSE)</f>
        <v>Business Phone</v>
      </c>
      <c r="B18" s="3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</row>
    <row r="19" spans="1:17" ht="15.75" customHeight="1">
      <c r="A19" s="40"/>
      <c r="B19" s="39"/>
      <c r="C19" s="2"/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</row>
    <row r="20" spans="1:17" ht="15.75" customHeight="1">
      <c r="A20" s="11" t="s">
        <v>6</v>
      </c>
      <c r="B20" s="11" t="s">
        <v>7</v>
      </c>
      <c r="C20" s="11" t="s">
        <v>8</v>
      </c>
      <c r="D20" s="11" t="s">
        <v>9</v>
      </c>
      <c r="E20" s="2"/>
      <c r="F20" s="2" t="str">
        <f>Inventory!B1</f>
        <v>Quantity in Stock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</row>
    <row r="21" spans="1:17" ht="15.75" customHeight="1">
      <c r="A21" s="12" t="s">
        <v>10</v>
      </c>
      <c r="B21" s="12"/>
      <c r="C21" s="13" t="str">
        <f>IFERROR(VLOOKUP(A21,Inventory!$A$2:$CL$9341,3,FALSE), "")</f>
        <v/>
      </c>
      <c r="D21" s="13">
        <f>IFERROR($B21*$C21,0)</f>
        <v>0</v>
      </c>
      <c r="E21" s="2"/>
      <c r="F21" s="14" t="str">
        <f>IFERROR(VLOOKUP(A21,Inventory!$A$2:$CL$9341,2,FALSE), "")</f>
        <v/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5"/>
    </row>
    <row r="22" spans="1:17" ht="15.75" customHeight="1">
      <c r="A22" s="12"/>
      <c r="B22" s="12"/>
      <c r="C22" s="13" t="str">
        <f>IFERROR(VLOOKUP(A22,Inventory!$A$2:$CL$9341,3,FALSE), "")</f>
        <v/>
      </c>
      <c r="D22" s="13">
        <f>IFERROR($B22*$C22,0)</f>
        <v>0</v>
      </c>
      <c r="E22" s="2"/>
      <c r="F22" s="14" t="str">
        <f>IFERROR(VLOOKUP(A22,Inventory!$A$2:$CL$9341,2,FALSE), "")</f>
        <v/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5"/>
    </row>
    <row r="23" spans="1:17" ht="15.75" customHeight="1">
      <c r="A23" s="12"/>
      <c r="B23" s="12"/>
      <c r="C23" s="13" t="str">
        <f>IFERROR(VLOOKUP(A23,Inventory!$A$2:$CL$9341,3,FALSE), "")</f>
        <v/>
      </c>
      <c r="D23" s="13">
        <f>IFERROR($B23*$C23,0)</f>
        <v>0</v>
      </c>
      <c r="E23" s="2"/>
      <c r="F23" s="14" t="str">
        <f>IFERROR(VLOOKUP(A23,Inventory!$A$2:$CL$9341,2,FALSE), "")</f>
        <v/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5"/>
    </row>
    <row r="24" spans="1:17" ht="15.75" customHeight="1">
      <c r="A24" s="12"/>
      <c r="B24" s="12"/>
      <c r="C24" s="13" t="str">
        <f>IFERROR(VLOOKUP(A24,Inventory!$A$2:$CL$9341,3,FALSE), "")</f>
        <v/>
      </c>
      <c r="D24" s="13">
        <f>IFERROR($B24*$C24,0)</f>
        <v>0</v>
      </c>
      <c r="E24" s="2"/>
      <c r="F24" s="14" t="str">
        <f>IFERROR(VLOOKUP(A24,Inventory!$A$2:$CL$9341,2,FALSE), "")</f>
        <v/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5"/>
    </row>
    <row r="25" spans="1:17" ht="15.75" customHeight="1">
      <c r="A25" s="12"/>
      <c r="B25" s="12"/>
      <c r="C25" s="13" t="str">
        <f>IFERROR(VLOOKUP(A25,Inventory!$A$2:$CL$9341,3,FALSE), "")</f>
        <v/>
      </c>
      <c r="D25" s="13">
        <f>IFERROR($B25*$C25,0)</f>
        <v>0</v>
      </c>
      <c r="E25" s="2"/>
      <c r="F25" s="14" t="str">
        <f>IFERROR(VLOOKUP(A25,Inventory!$A$2:$CL$9341,2,FALSE), "")</f>
        <v/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5"/>
    </row>
    <row r="26" spans="1:17" ht="15.75" customHeight="1">
      <c r="A26" s="12"/>
      <c r="B26" s="12"/>
      <c r="C26" s="13" t="str">
        <f>IFERROR(VLOOKUP(A26,Inventory!$A$2:$CL$9341,3,FALSE), "")</f>
        <v/>
      </c>
      <c r="D26" s="13">
        <f>IFERROR($B26*$C26,0)</f>
        <v>0</v>
      </c>
      <c r="E26" s="2"/>
      <c r="F26" s="14" t="str">
        <f>IFERROR(VLOOKUP(A26,Inventory!$A$2:$CL$9341,2,FALSE), "")</f>
        <v/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5"/>
    </row>
    <row r="27" spans="1:17" ht="15.75" customHeight="1">
      <c r="A27" s="12"/>
      <c r="B27" s="12"/>
      <c r="C27" s="13" t="str">
        <f>IFERROR(VLOOKUP(A27,Inventory!$A$2:$CL$9341,3,FALSE), "")</f>
        <v/>
      </c>
      <c r="D27" s="13">
        <f>IFERROR($B27*$C27,0)</f>
        <v>0</v>
      </c>
      <c r="E27" s="2"/>
      <c r="F27" s="14" t="str">
        <f>IFERROR(VLOOKUP(A27,Inventory!$A$2:$CL$9341,2,FALSE), "")</f>
        <v/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5"/>
    </row>
    <row r="28" spans="1:17" ht="15.75" customHeight="1">
      <c r="A28" s="12"/>
      <c r="B28" s="12"/>
      <c r="C28" s="13" t="str">
        <f>IFERROR(VLOOKUP(A28,Inventory!$A$2:$CL$9341,3,FALSE), "")</f>
        <v/>
      </c>
      <c r="D28" s="13">
        <f>IFERROR($B28*$C28,0)</f>
        <v>0</v>
      </c>
      <c r="E28" s="2"/>
      <c r="F28" s="14" t="str">
        <f>IFERROR(VLOOKUP(A28,Inventory!$A$2:$CL$9341,2,FALSE), "")</f>
        <v/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5"/>
    </row>
    <row r="29" spans="1:17" ht="15.75" customHeight="1">
      <c r="A29" s="12"/>
      <c r="B29" s="12"/>
      <c r="C29" s="13" t="str">
        <f>IFERROR(VLOOKUP(A29,Inventory!$A$2:$CL$9341,3,FALSE), "")</f>
        <v/>
      </c>
      <c r="D29" s="13">
        <f>IFERROR($B29*$C29,0)</f>
        <v>0</v>
      </c>
      <c r="E29" s="2"/>
      <c r="F29" s="14" t="str">
        <f>IFERROR(VLOOKUP(A29,Inventory!$A$2:$CL$9341,2,FALSE), "")</f>
        <v/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/>
    </row>
    <row r="30" spans="1:17" ht="15.75" customHeight="1">
      <c r="A30" s="12"/>
      <c r="B30" s="12"/>
      <c r="C30" s="13" t="str">
        <f>IFERROR(VLOOKUP(A30,Inventory!$A$2:$CL$9341,3,FALSE), "")</f>
        <v/>
      </c>
      <c r="D30" s="13">
        <f>IFERROR($B30*$C30,0)</f>
        <v>0</v>
      </c>
      <c r="E30" s="2"/>
      <c r="F30" s="14" t="str">
        <f>IFERROR(VLOOKUP(A30,Inventory!$A$2:$CL$9341,2,FALSE), "")</f>
        <v/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"/>
    </row>
    <row r="32" spans="1:17" ht="15.75" customHeight="1">
      <c r="A32" s="2"/>
      <c r="B32" s="2"/>
      <c r="C32" s="9" t="s">
        <v>11</v>
      </c>
      <c r="D32" s="15">
        <f>SUM(D21:D30)</f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"/>
    </row>
    <row r="33" spans="1:17" ht="15.75" customHeight="1">
      <c r="A33" s="2"/>
      <c r="B33" s="2"/>
      <c r="C33" s="9" t="s">
        <v>12</v>
      </c>
      <c r="D33" s="15">
        <f>D32*0.1</f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/>
    </row>
    <row r="34" spans="1:17" ht="15.75" customHeight="1">
      <c r="A34" s="2"/>
      <c r="B34" s="2"/>
      <c r="C34" s="9" t="s">
        <v>13</v>
      </c>
      <c r="D34" s="15">
        <f>D32+D33</f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</row>
    <row r="36" spans="1:17" ht="15.75" customHeight="1">
      <c r="A36" s="44" t="s">
        <v>14</v>
      </c>
      <c r="B36" s="39"/>
      <c r="C36" s="39"/>
      <c r="D36" s="39"/>
      <c r="E36" s="3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/>
    </row>
    <row r="37" spans="1:17" ht="15.75" customHeight="1">
      <c r="A37" s="40" t="s">
        <v>15</v>
      </c>
      <c r="B37" s="39"/>
      <c r="C37" s="39"/>
      <c r="D37" s="39"/>
      <c r="E37" s="3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/>
    </row>
    <row r="38" spans="1:17" ht="15.75" customHeight="1">
      <c r="A38" s="16" t="s">
        <v>16</v>
      </c>
      <c r="B38" s="7" t="s">
        <v>17</v>
      </c>
      <c r="C38" s="7" t="s">
        <v>18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5"/>
    </row>
    <row r="39" spans="1:17" ht="15.75" customHeight="1">
      <c r="A39" s="1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5"/>
    </row>
    <row r="40" spans="1:17" ht="12.5">
      <c r="A40" s="1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"/>
    </row>
    <row r="41" spans="1:17" ht="12.5">
      <c r="A41" s="1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5"/>
    </row>
    <row r="42" spans="1:17" ht="12.5">
      <c r="A42" s="1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5"/>
    </row>
    <row r="43" spans="1:17" ht="12.5">
      <c r="A43" s="1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5"/>
    </row>
    <row r="44" spans="1:17" ht="12.5">
      <c r="A44" s="1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5"/>
    </row>
    <row r="45" spans="1:17" ht="12.5">
      <c r="A45" s="1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5"/>
    </row>
    <row r="46" spans="1:17" ht="12.5">
      <c r="A46" s="1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5"/>
    </row>
    <row r="47" spans="1:17" ht="12.5">
      <c r="A47" s="1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5"/>
    </row>
    <row r="48" spans="1:17" ht="12.5">
      <c r="A48" s="1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5"/>
    </row>
    <row r="49" spans="1:17" ht="15.75" customHeight="1">
      <c r="A49" s="1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5"/>
    </row>
    <row r="50" spans="1:17" ht="15.75" customHeight="1">
      <c r="A50" s="1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5"/>
    </row>
    <row r="51" spans="1:17" ht="15.75" customHeight="1">
      <c r="A51" s="1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5"/>
    </row>
    <row r="52" spans="1:17" ht="15.75" customHeight="1">
      <c r="A52" s="1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/>
    </row>
    <row r="53" spans="1:17" ht="15.75" customHeight="1">
      <c r="A53" s="1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5"/>
    </row>
    <row r="54" spans="1:17" ht="15.75" customHeight="1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0"/>
    </row>
  </sheetData>
  <mergeCells count="22">
    <mergeCell ref="A37:E37"/>
    <mergeCell ref="A16:B16"/>
    <mergeCell ref="A17:B17"/>
    <mergeCell ref="A18:B18"/>
    <mergeCell ref="A19:B19"/>
    <mergeCell ref="A36:E36"/>
    <mergeCell ref="A13:B13"/>
    <mergeCell ref="D13:E13"/>
    <mergeCell ref="A14:B14"/>
    <mergeCell ref="A15:B15"/>
    <mergeCell ref="A8:D8"/>
    <mergeCell ref="A6:E6"/>
    <mergeCell ref="A7:D7"/>
    <mergeCell ref="A9:E9"/>
    <mergeCell ref="A10:E10"/>
    <mergeCell ref="A12:B12"/>
    <mergeCell ref="D12:E12"/>
    <mergeCell ref="P1:P2"/>
    <mergeCell ref="Q1:Q2"/>
    <mergeCell ref="A3:E3"/>
    <mergeCell ref="A4:E4"/>
    <mergeCell ref="A5:E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7C76995B-C07A-4F98-B149-3230A2936FA5}">
          <x14:formula1>
            <xm:f>contacts!$AR:$AR</xm:f>
          </x14:formula1>
          <xm:sqref>A3</xm:sqref>
        </x14:dataValidation>
        <x14:dataValidation type="list" allowBlank="1" showErrorMessage="1" xr:uid="{51A75C83-A7F5-4F5F-BE75-4F2EDA29A18D}">
          <x14:formula1>
            <xm:f>contacts!$A:$A</xm:f>
          </x14:formula1>
          <xm:sqref>A13</xm:sqref>
        </x14:dataValidation>
        <x14:dataValidation type="list" allowBlank="1" showErrorMessage="1" xr:uid="{8F622D3B-DACB-4859-8B4B-98DB385D65EB}">
          <x14:formula1>
            <xm:f>Inventory!$A:$A</xm:f>
          </x14:formula1>
          <xm:sqref>A21:A30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48"/>
  <sheetViews>
    <sheetView showGridLines="0" showZeros="0" workbookViewId="0"/>
  </sheetViews>
  <sheetFormatPr defaultColWidth="12.6328125" defaultRowHeight="15.75" customHeight="1"/>
  <cols>
    <col min="1" max="1" width="30.6328125" customWidth="1"/>
    <col min="2" max="6" width="12.6328125" customWidth="1"/>
  </cols>
  <sheetData>
    <row r="1" spans="1:17" ht="15.75" customHeight="1">
      <c r="A1" s="22" t="str">
        <f>View_Print!B2</f>
        <v>Number- Date:- Bill To:- Total:- Log 5- Log 6- Log 7- Log 8- Log 9- Log 10- Log 11- Log 12</v>
      </c>
      <c r="B1" s="50" t="str">
        <f>HYPERLINK("https://datamateapp.github.io/Donate%205%20per%20mo.html", "All Apps are free of charge with no ads. Please support DataMateApp and help us grow!")</f>
        <v>All Apps are free of charge with no ads. Please support DataMateApp and help us grow!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22" t="str">
        <f>Input!M1</f>
        <v>Date Paid:</v>
      </c>
      <c r="N1" s="22" t="str">
        <f>Input!N1</f>
        <v>Via:</v>
      </c>
      <c r="O1" s="22" t="str">
        <f>Input!O1</f>
        <v>Date Shipped:</v>
      </c>
      <c r="P1" s="22"/>
      <c r="Q1" s="22"/>
    </row>
    <row r="2" spans="1:17" ht="15.75" customHeight="1">
      <c r="A2" s="22"/>
      <c r="B2" s="49" t="s">
        <v>26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27" t="e">
        <f>VLOOKUP(A1,Update!$A$1:$P$10000,2,FALSE)</f>
        <v>#N/A</v>
      </c>
      <c r="N2" s="27" t="e">
        <f>VLOOKUP(A1,Update!$A$1:$P$10000,3,FALSE)</f>
        <v>#N/A</v>
      </c>
      <c r="O2" s="27" t="e">
        <f>VLOOKUP(A1,Update!$A$1:$P$10000,4,FALSE)</f>
        <v>#N/A</v>
      </c>
      <c r="P2" s="22"/>
      <c r="Q2" s="22"/>
    </row>
    <row r="3" spans="1:17" ht="15.75" customHeight="1">
      <c r="A3" s="38" t="e">
        <f>VLOOKUP(A1,Data!$A$1:$DZU$10000,36,FALSE)</f>
        <v>#N/A</v>
      </c>
      <c r="B3" s="39"/>
      <c r="C3" s="39"/>
      <c r="D3" s="39"/>
      <c r="E3" s="39"/>
      <c r="F3" s="3" t="e">
        <f>VLOOKUP(A1,Data!$A$1:$DZU$10000,41,FALSE)</f>
        <v>#N/A</v>
      </c>
      <c r="G3" s="3" t="e">
        <f>VLOOKUP(A1,Data!$A$1:$DZU$10000,42,FALSE)</f>
        <v>#N/A</v>
      </c>
      <c r="H3" s="3" t="e">
        <f>VLOOKUP(A1,Data!$A$1:$DZU$10000,43,FALSE)</f>
        <v>#N/A</v>
      </c>
      <c r="I3" s="3" t="e">
        <f>VLOOKUP(A1,Data!$A$1:$DZU$10000,44,FALSE)</f>
        <v>#N/A</v>
      </c>
      <c r="J3" s="3" t="e">
        <f>VLOOKUP(A1,Data!$A$1:$DZU$10000,45,FALSE)</f>
        <v>#N/A</v>
      </c>
      <c r="K3" s="3" t="e">
        <f>VLOOKUP(A1,Data!$A$1:$DZU$10000,46,FALSE)</f>
        <v>#N/A</v>
      </c>
      <c r="L3" s="3" t="e">
        <f>VLOOKUP(A1,Data!$A$1:$DZU$10000,47,FALSE)</f>
        <v>#N/A</v>
      </c>
      <c r="M3" s="3" t="e">
        <f>VLOOKUP(A1,Data!$A$1:$DZU$10000,48,FALSE)</f>
        <v>#N/A</v>
      </c>
      <c r="N3" s="3" t="e">
        <f>VLOOKUP(A1,Data!$A$1:$DZU$10000,49,FALSE)</f>
        <v>#N/A</v>
      </c>
      <c r="O3" s="3" t="e">
        <f>VLOOKUP(A1,Data!$A$1:$DZU$10000,50,FALSE)</f>
        <v>#N/A</v>
      </c>
      <c r="P3" s="3" t="e">
        <f>VLOOKUP(A1,Data!$A$1:$DZU$10000,51,FALSE)</f>
        <v>#N/A</v>
      </c>
      <c r="Q3" s="4" t="e">
        <f>VLOOKUP(A1,Data!$A$1:$DZU$10000,52,FALSE)</f>
        <v>#N/A</v>
      </c>
    </row>
    <row r="4" spans="1:17" ht="15.75" customHeight="1">
      <c r="A4" s="40" t="e">
        <f>VLOOKUP(A1,Data!$A$1:$DZU$10000,53,FALSE)</f>
        <v>#N/A</v>
      </c>
      <c r="B4" s="39"/>
      <c r="C4" s="39"/>
      <c r="D4" s="39"/>
      <c r="E4" s="39"/>
      <c r="F4" s="2" t="e">
        <f>VLOOKUP(A1,Data!$A$1:$DZU$10000,58,FALSE)</f>
        <v>#N/A</v>
      </c>
      <c r="G4" s="2" t="e">
        <f>VLOOKUP(A1,Data!$A$1:$DZU$10000,59,FALSE)</f>
        <v>#N/A</v>
      </c>
      <c r="H4" s="2" t="e">
        <f>VLOOKUP(A1,Data!$A$1:$DZU$10000,60,FALSE)</f>
        <v>#N/A</v>
      </c>
      <c r="I4" s="2" t="e">
        <f>VLOOKUP(A1,Data!$A$1:$DZU$10000,61,FALSE)</f>
        <v>#N/A</v>
      </c>
      <c r="J4" s="2" t="e">
        <f>VLOOKUP(A1,Data!$A$1:$DZU$10000,62,FALSE)</f>
        <v>#N/A</v>
      </c>
      <c r="K4" s="2" t="e">
        <f>VLOOKUP(A1,Data!$A$1:$DZU$10000,63,FALSE)</f>
        <v>#N/A</v>
      </c>
      <c r="L4" s="2" t="e">
        <f>VLOOKUP(A1,Data!$A$1:$DZU$10000,64,FALSE)</f>
        <v>#N/A</v>
      </c>
      <c r="M4" s="2" t="e">
        <f>VLOOKUP(A1,Data!$A$1:$DZU$10000,65,FALSE)</f>
        <v>#N/A</v>
      </c>
      <c r="N4" s="2" t="e">
        <f>VLOOKUP(A1,Data!$A$1:$DZU$10000,66,FALSE)</f>
        <v>#N/A</v>
      </c>
      <c r="O4" s="2" t="e">
        <f>VLOOKUP(A1,Data!$A$1:$DZU$10000,67,FALSE)</f>
        <v>#N/A</v>
      </c>
      <c r="P4" s="2" t="e">
        <f>VLOOKUP(A1,Data!$A$1:$DZU$10000,68,FALSE)</f>
        <v>#N/A</v>
      </c>
      <c r="Q4" s="5" t="e">
        <f>VLOOKUP(A1,Data!$A$1:$DZU$10000,69,FALSE)</f>
        <v>#N/A</v>
      </c>
    </row>
    <row r="5" spans="1:17" ht="15.75" customHeight="1">
      <c r="A5" s="40" t="e">
        <f>VLOOKUP(A1,Data!$A$1:$DZU$10000,70,FALSE)</f>
        <v>#N/A</v>
      </c>
      <c r="B5" s="39"/>
      <c r="C5" s="39"/>
      <c r="D5" s="39"/>
      <c r="E5" s="39"/>
      <c r="F5" s="2" t="e">
        <f>VLOOKUP(A1,Data!$A$1:$DZU$10000,75,FALSE)</f>
        <v>#N/A</v>
      </c>
      <c r="G5" s="2" t="e">
        <f>VLOOKUP(A1,Data!$A$1:$DZU$10000,76,FALSE)</f>
        <v>#N/A</v>
      </c>
      <c r="H5" s="2" t="e">
        <f>VLOOKUP(A1,Data!$A$1:$DZU$10000,77,FALSE)</f>
        <v>#N/A</v>
      </c>
      <c r="I5" s="2" t="e">
        <f>VLOOKUP(A1,Data!$A$1:$DZU$10000,78,FALSE)</f>
        <v>#N/A</v>
      </c>
      <c r="J5" s="2" t="e">
        <f>VLOOKUP(A1,Data!$A$1:$DZU$10000,79,FALSE)</f>
        <v>#N/A</v>
      </c>
      <c r="K5" s="2" t="e">
        <f>VLOOKUP(A1,Data!$A$1:$DZU$10000,80,FALSE)</f>
        <v>#N/A</v>
      </c>
      <c r="L5" s="2" t="e">
        <f>VLOOKUP(A1,Data!$A$1:$DZU$10000,81,FALSE)</f>
        <v>#N/A</v>
      </c>
      <c r="M5" s="2" t="e">
        <f>VLOOKUP(A1,Data!$A$1:$DZU$10000,82,FALSE)</f>
        <v>#N/A</v>
      </c>
      <c r="N5" s="2" t="e">
        <f>VLOOKUP(A1,Data!$A$1:$DZU$10000,83,FALSE)</f>
        <v>#N/A</v>
      </c>
      <c r="O5" s="2" t="e">
        <f>VLOOKUP(A1,Data!$A$1:$DZU$10000,84,FALSE)</f>
        <v>#N/A</v>
      </c>
      <c r="P5" s="2" t="e">
        <f>VLOOKUP(A1,Data!$A$1:$DZU$10000,85,FALSE)</f>
        <v>#N/A</v>
      </c>
      <c r="Q5" s="5" t="e">
        <f>VLOOKUP(A1,Data!$A$1:$DZU$10000,86,FALSE)</f>
        <v>#N/A</v>
      </c>
    </row>
    <row r="6" spans="1:17" ht="15.75" customHeight="1">
      <c r="A6" s="40" t="e">
        <f>VLOOKUP(A1,Data!$A$1:$DZU$10000,87,FALSE)</f>
        <v>#N/A</v>
      </c>
      <c r="B6" s="39"/>
      <c r="C6" s="39"/>
      <c r="D6" s="39"/>
      <c r="E6" s="39"/>
      <c r="F6" s="2" t="e">
        <f>VLOOKUP(A1,Data!$A$1:$DZU$10000,92,FALSE)</f>
        <v>#N/A</v>
      </c>
      <c r="G6" s="2" t="e">
        <f>VLOOKUP(A1,Data!$A$1:$DZU$10000,93,FALSE)</f>
        <v>#N/A</v>
      </c>
      <c r="H6" s="2" t="e">
        <f>VLOOKUP(A1,Data!$A$1:$DZU$10000,94,FALSE)</f>
        <v>#N/A</v>
      </c>
      <c r="I6" s="2" t="e">
        <f>VLOOKUP(A1,Data!$A$1:$DZU$10000,95,FALSE)</f>
        <v>#N/A</v>
      </c>
      <c r="J6" s="2" t="e">
        <f>VLOOKUP(A1,Data!$A$1:$DZU$10000,96,FALSE)</f>
        <v>#N/A</v>
      </c>
      <c r="K6" s="2" t="e">
        <f>VLOOKUP(A1,Data!$A$1:$DZU$10000,97,FALSE)</f>
        <v>#N/A</v>
      </c>
      <c r="L6" s="2" t="e">
        <f>VLOOKUP(A1,Data!$A$1:$DZU$10000,98,FALSE)</f>
        <v>#N/A</v>
      </c>
      <c r="M6" s="2" t="e">
        <f>VLOOKUP(A1,Data!$A$1:$DZU$10000,99,FALSE)</f>
        <v>#N/A</v>
      </c>
      <c r="N6" s="2" t="e">
        <f>VLOOKUP(A1,Data!$A$1:$DZU$10000,100,FALSE)</f>
        <v>#N/A</v>
      </c>
      <c r="O6" s="2" t="e">
        <f>VLOOKUP(A1,Data!$A$1:$DZU$10000,101,FALSE)</f>
        <v>#N/A</v>
      </c>
      <c r="P6" s="2" t="e">
        <f>VLOOKUP(A1,Data!$A$1:$DZU$10000,102,FALSE)</f>
        <v>#N/A</v>
      </c>
      <c r="Q6" s="5" t="e">
        <f>VLOOKUP(A1,Data!$A$1:$DZU$10000,103,FALSE)</f>
        <v>#N/A</v>
      </c>
    </row>
    <row r="7" spans="1:17" ht="15.75" customHeight="1">
      <c r="A7" s="41" t="e">
        <f>VLOOKUP(A1,Data!$A$1:$DZU$10000,104,FALSE)</f>
        <v>#N/A</v>
      </c>
      <c r="B7" s="39"/>
      <c r="C7" s="39"/>
      <c r="D7" s="39"/>
      <c r="E7" s="6" t="e">
        <f>VLOOKUP(A1,Data!$A$1:$DZU$10000,108,FALSE)</f>
        <v>#N/A</v>
      </c>
      <c r="F7" s="2" t="e">
        <f>VLOOKUP(A1,Data!$A$1:$DZU$10000,109,FALSE)</f>
        <v>#N/A</v>
      </c>
      <c r="G7" s="2" t="e">
        <f>VLOOKUP(A1,Data!$A$1:$DZU$10000,110,FALSE)</f>
        <v>#N/A</v>
      </c>
      <c r="H7" s="2" t="e">
        <f>VLOOKUP(A1,Data!$A$1:$DZU$10000,111,FALSE)</f>
        <v>#N/A</v>
      </c>
      <c r="I7" s="2" t="e">
        <f>VLOOKUP(A1,Data!$A$1:$DZU$10000,112,FALSE)</f>
        <v>#N/A</v>
      </c>
      <c r="J7" s="2" t="e">
        <f>VLOOKUP(A1,Data!$A$1:$DZU$10000,113,FALSE)</f>
        <v>#N/A</v>
      </c>
      <c r="K7" s="2" t="e">
        <f>VLOOKUP(A1,Data!$A$1:$DZU$10000,114,FALSE)</f>
        <v>#N/A</v>
      </c>
      <c r="L7" s="2" t="e">
        <f>VLOOKUP(A1,Data!$A$1:$DZU$10000,115,FALSE)</f>
        <v>#N/A</v>
      </c>
      <c r="M7" s="2" t="e">
        <f>VLOOKUP(A1,Data!$A$1:$DZU$10000,116,FALSE)</f>
        <v>#N/A</v>
      </c>
      <c r="N7" s="2" t="e">
        <f>VLOOKUP(A1,Data!$A$1:$DZU$10000,117,FALSE)</f>
        <v>#N/A</v>
      </c>
      <c r="O7" s="2" t="e">
        <f>VLOOKUP(A1,Data!$A$1:$DZU$10000,118,FALSE)</f>
        <v>#N/A</v>
      </c>
      <c r="P7" s="2" t="e">
        <f>VLOOKUP(A1,Data!$A$1:$DZU$10000,119,FALSE)</f>
        <v>#N/A</v>
      </c>
      <c r="Q7" s="5" t="e">
        <f>VLOOKUP(A1,Data!$A$1:$DZU$10000,120,FALSE)</f>
        <v>#N/A</v>
      </c>
    </row>
    <row r="8" spans="1:17" ht="15.75" customHeight="1">
      <c r="A8" s="41" t="e">
        <f>VLOOKUP(A1,Data!$A$1:$DZU$10000,121,FALSE)</f>
        <v>#N/A</v>
      </c>
      <c r="B8" s="39"/>
      <c r="C8" s="39"/>
      <c r="D8" s="39"/>
      <c r="E8" s="6" t="e">
        <f>VLOOKUP(A1,Data!$A$1:$DZU$10000,125,FALSE)</f>
        <v>#N/A</v>
      </c>
      <c r="F8" s="2" t="e">
        <f>VLOOKUP(A1,Data!$A$1:$DZU$10000,126,FALSE)</f>
        <v>#N/A</v>
      </c>
      <c r="G8" s="2" t="e">
        <f>VLOOKUP(A1,Data!$A$1:$DZU$10000,127,FALSE)</f>
        <v>#N/A</v>
      </c>
      <c r="H8" s="2" t="e">
        <f>VLOOKUP(A1,Data!$A$1:$DZU$10000,128,FALSE)</f>
        <v>#N/A</v>
      </c>
      <c r="I8" s="2" t="e">
        <f>VLOOKUP(A1,Data!$A$1:$DZU$10000,129,FALSE)</f>
        <v>#N/A</v>
      </c>
      <c r="J8" s="2" t="e">
        <f>VLOOKUP(A1,Data!$A$1:$DZU$10000,130,FALSE)</f>
        <v>#N/A</v>
      </c>
      <c r="K8" s="2" t="e">
        <f>VLOOKUP(A1,Data!$A$1:$DZU$10000,131,FALSE)</f>
        <v>#N/A</v>
      </c>
      <c r="L8" s="2" t="e">
        <f>VLOOKUP(A1,Data!$A$1:$DZU$10000,132,FALSE)</f>
        <v>#N/A</v>
      </c>
      <c r="M8" s="2" t="e">
        <f>VLOOKUP(A1,Data!$A$1:$DZU$10000,133,FALSE)</f>
        <v>#N/A</v>
      </c>
      <c r="N8" s="2" t="e">
        <f>VLOOKUP(A1,Data!$A$1:$DZU$10000,134,FALSE)</f>
        <v>#N/A</v>
      </c>
      <c r="O8" s="2" t="e">
        <f>VLOOKUP(A1,Data!$A$1:$DZU$10000,135,FALSE)</f>
        <v>#N/A</v>
      </c>
      <c r="P8" s="2" t="e">
        <f>VLOOKUP(A1,Data!$A$1:$DZU$10000,136,FALSE)</f>
        <v>#N/A</v>
      </c>
      <c r="Q8" s="5" t="e">
        <f>VLOOKUP(A1,Data!$A$1:$DZU$10000,137,FALSE)</f>
        <v>#N/A</v>
      </c>
    </row>
    <row r="9" spans="1:17" ht="15.75" customHeight="1">
      <c r="A9" s="42" t="e">
        <f>VLOOKUP(A1,Data!$A$1:$DZU$10000,138,FALSE)</f>
        <v>#N/A</v>
      </c>
      <c r="B9" s="39"/>
      <c r="C9" s="39"/>
      <c r="D9" s="39"/>
      <c r="E9" s="39"/>
      <c r="F9" s="2" t="e">
        <f>VLOOKUP(A1,Data!$A$1:$DZU$10000,143,FALSE)</f>
        <v>#N/A</v>
      </c>
      <c r="G9" s="2" t="e">
        <f>VLOOKUP(A1,Data!$A$1:$DZU$10000,144,FALSE)</f>
        <v>#N/A</v>
      </c>
      <c r="H9" s="2" t="e">
        <f>VLOOKUP(A1,Data!$A$1:$DZU$10000,145,FALSE)</f>
        <v>#N/A</v>
      </c>
      <c r="I9" s="2" t="e">
        <f>VLOOKUP(A1,Data!$A$1:$DZU$10000,146,FALSE)</f>
        <v>#N/A</v>
      </c>
      <c r="J9" s="2" t="e">
        <f>VLOOKUP(A1,Data!$A$1:$DZU$10000,147,FALSE)</f>
        <v>#N/A</v>
      </c>
      <c r="K9" s="2" t="e">
        <f>VLOOKUP(A1,Data!$A$1:$DZU$10000,148,FALSE)</f>
        <v>#N/A</v>
      </c>
      <c r="L9" s="2" t="e">
        <f>VLOOKUP(A1,Data!$A$1:$DZU$10000,149,FALSE)</f>
        <v>#N/A</v>
      </c>
      <c r="M9" s="2" t="e">
        <f>VLOOKUP(A1,Data!$A$1:$DZU$10000,150,FALSE)</f>
        <v>#N/A</v>
      </c>
      <c r="N9" s="2" t="e">
        <f>VLOOKUP(A1,Data!$A$1:$DZU$10000,151,FALSE)</f>
        <v>#N/A</v>
      </c>
      <c r="O9" s="2" t="e">
        <f>VLOOKUP(A1,Data!$A$1:$DZU$10000,152,FALSE)</f>
        <v>#N/A</v>
      </c>
      <c r="P9" s="2" t="e">
        <f>VLOOKUP(A1,Data!$A$1:$DZU$10000,153,FALSE)</f>
        <v>#N/A</v>
      </c>
      <c r="Q9" s="5" t="e">
        <f>VLOOKUP(A1,Data!$A$1:$DZU$10000,154,FALSE)</f>
        <v>#N/A</v>
      </c>
    </row>
    <row r="10" spans="1:17" ht="15.75" customHeight="1">
      <c r="A10" s="42" t="e">
        <f>VLOOKUP(A1,Data!$A$1:$DZU$10000,155,FALSE)</f>
        <v>#N/A</v>
      </c>
      <c r="B10" s="39"/>
      <c r="C10" s="39"/>
      <c r="D10" s="39"/>
      <c r="E10" s="39"/>
      <c r="F10" s="2" t="e">
        <f>VLOOKUP(A1,Data!$A$1:$DZU$10000,160,FALSE)</f>
        <v>#N/A</v>
      </c>
      <c r="G10" s="2" t="e">
        <f>VLOOKUP(A1,Data!$A$1:$DZU$10000,161,FALSE)</f>
        <v>#N/A</v>
      </c>
      <c r="H10" s="2" t="e">
        <f>VLOOKUP(A1,Data!$A$1:$DZU$10000,162,FALSE)</f>
        <v>#N/A</v>
      </c>
      <c r="I10" s="2" t="e">
        <f>VLOOKUP(A1,Data!$A$1:$DZU$10000,163,FALSE)</f>
        <v>#N/A</v>
      </c>
      <c r="J10" s="2" t="e">
        <f>VLOOKUP(A1,Data!$A$1:$DZU$10000,164,FALSE)</f>
        <v>#N/A</v>
      </c>
      <c r="K10" s="2" t="e">
        <f>VLOOKUP(A1,Data!$A$1:$DZU$10000,165,FALSE)</f>
        <v>#N/A</v>
      </c>
      <c r="L10" s="2" t="e">
        <f>VLOOKUP(A1,Data!$A$1:$DZU$10000,166,FALSE)</f>
        <v>#N/A</v>
      </c>
      <c r="M10" s="2" t="e">
        <f>VLOOKUP(A1,Data!$A$1:$DZU$10000,167,FALSE)</f>
        <v>#N/A</v>
      </c>
      <c r="N10" s="2" t="e">
        <f>VLOOKUP(A1,Data!$A$1:$DZU$10000,168,FALSE)</f>
        <v>#N/A</v>
      </c>
      <c r="O10" s="2" t="e">
        <f>VLOOKUP(A1,Data!$A$1:$DZU$10000,169,FALSE)</f>
        <v>#N/A</v>
      </c>
      <c r="P10" s="2" t="e">
        <f>VLOOKUP(A1,Data!$A$1:$DZU$10000,170,FALSE)</f>
        <v>#N/A</v>
      </c>
      <c r="Q10" s="5" t="e">
        <f>VLOOKUP(A1,Data!$A$1:$DZU$10000,171,FALSE)</f>
        <v>#N/A</v>
      </c>
    </row>
    <row r="11" spans="1:17">
      <c r="A11" s="7" t="e">
        <f>VLOOKUP(A1,Data!$A$1:$DZU$10000,172,FALSE)</f>
        <v>#N/A</v>
      </c>
      <c r="B11" s="8" t="e">
        <f>VLOOKUP(A1,Data!$A$1:$DZU$10000,173,FALSE)</f>
        <v>#N/A</v>
      </c>
      <c r="C11" s="2" t="e">
        <f>VLOOKUP(A1,Data!$A$1:$DZU$10000,174,FALSE)</f>
        <v>#N/A</v>
      </c>
      <c r="D11" s="2" t="e">
        <f>VLOOKUP(A1,Data!$A$1:$DZU$10000,175,FALSE)</f>
        <v>#N/A</v>
      </c>
      <c r="E11" s="2" t="e">
        <f>VLOOKUP(A1,Data!$A$1:$DZU$10000,176,FALSE)</f>
        <v>#N/A</v>
      </c>
      <c r="F11" s="2" t="e">
        <f>VLOOKUP(A1,Data!$A$1:$DZU$10000,177,FALSE)</f>
        <v>#N/A</v>
      </c>
      <c r="G11" s="2" t="e">
        <f>VLOOKUP(A1,Data!$A$1:$DZU$10000,178,FALSE)</f>
        <v>#N/A</v>
      </c>
      <c r="H11" s="2" t="e">
        <f>VLOOKUP(A1,Data!$A$1:$DZU$10000,179,FALSE)</f>
        <v>#N/A</v>
      </c>
      <c r="I11" s="2" t="e">
        <f>VLOOKUP(A1,Data!$A$1:$DZU$10000,180,FALSE)</f>
        <v>#N/A</v>
      </c>
      <c r="J11" s="2" t="e">
        <f>VLOOKUP(A1,Data!$A$1:$DZU$10000,181,FALSE)</f>
        <v>#N/A</v>
      </c>
      <c r="K11" s="2" t="e">
        <f>VLOOKUP(A1,Data!$A$1:$DZU$10000,182,FALSE)</f>
        <v>#N/A</v>
      </c>
      <c r="L11" s="2" t="e">
        <f>VLOOKUP(A1,Data!$A$1:$DZU$10000,183,FALSE)</f>
        <v>#N/A</v>
      </c>
      <c r="M11" s="2" t="e">
        <f>VLOOKUP(A1,Data!$A$1:$DZU$10000,184,FALSE)</f>
        <v>#N/A</v>
      </c>
      <c r="N11" s="2" t="e">
        <f>VLOOKUP(A1,Data!$A$1:$DZU$10000,185,FALSE)</f>
        <v>#N/A</v>
      </c>
      <c r="O11" s="2" t="e">
        <f>VLOOKUP(A1,Data!$A$1:$DZU$10000,186,FALSE)</f>
        <v>#N/A</v>
      </c>
      <c r="P11" s="2" t="e">
        <f>VLOOKUP(A1,Data!$A$1:$DZU$10000,187,FALSE)</f>
        <v>#N/A</v>
      </c>
      <c r="Q11" s="5" t="e">
        <f>VLOOKUP(A1,Data!$A$1:$DZU$10000,188,FALSE)</f>
        <v>#N/A</v>
      </c>
    </row>
    <row r="12" spans="1:17">
      <c r="A12" s="44" t="e">
        <f>VLOOKUP(A1,Data!$A$1:$DZU$10000,189,FALSE)</f>
        <v>#N/A</v>
      </c>
      <c r="B12" s="39"/>
      <c r="C12" s="2" t="e">
        <f>VLOOKUP(A1,Data!$A$1:$DZU$10000,191,FALSE)</f>
        <v>#N/A</v>
      </c>
      <c r="D12" s="45" t="e">
        <f>VLOOKUP(A1,Data!$A$1:$DZU$10000,192,FALSE)</f>
        <v>#N/A</v>
      </c>
      <c r="E12" s="39"/>
      <c r="F12" s="2" t="e">
        <f>VLOOKUP(A1,Data!$A$1:$DZU$10000,194,FALSE)</f>
        <v>#N/A</v>
      </c>
      <c r="G12" s="2" t="e">
        <f>VLOOKUP(A1,Data!$A$1:$DZU$10000,195,FALSE)</f>
        <v>#N/A</v>
      </c>
      <c r="H12" s="2" t="e">
        <f>VLOOKUP(A1,Data!$A$1:$DZU$10000,196,FALSE)</f>
        <v>#N/A</v>
      </c>
      <c r="I12" s="2" t="e">
        <f>VLOOKUP(A1,Data!$A$1:$DZU$10000,197,FALSE)</f>
        <v>#N/A</v>
      </c>
      <c r="J12" s="2" t="e">
        <f>VLOOKUP(A1,Data!$A$1:$DZU$10000,198,FALSE)</f>
        <v>#N/A</v>
      </c>
      <c r="K12" s="2" t="e">
        <f>VLOOKUP(A1,Data!$A$1:$DZU$10000,199,FALSE)</f>
        <v>#N/A</v>
      </c>
      <c r="L12" s="2" t="e">
        <f>VLOOKUP(A1,Data!$A$1:$DZU$10000,200,FALSE)</f>
        <v>#N/A</v>
      </c>
      <c r="M12" s="2" t="e">
        <f>VLOOKUP(A1,Data!$A$1:$DZU$10000,201,FALSE)</f>
        <v>#N/A</v>
      </c>
      <c r="N12" s="2" t="e">
        <f>VLOOKUP(A1,Data!$A$1:$DZU$10000,202,FALSE)</f>
        <v>#N/A</v>
      </c>
      <c r="O12" s="2" t="e">
        <f>VLOOKUP(A1,Data!$A$1:$DZU$10000,203,FALSE)</f>
        <v>#N/A</v>
      </c>
      <c r="P12" s="2" t="e">
        <f>VLOOKUP(A1,Data!$A$1:$DZU$10000,204,FALSE)</f>
        <v>#N/A</v>
      </c>
      <c r="Q12" s="5" t="e">
        <f>VLOOKUP(A1,Data!$A$1:$DZU$10000,205,FALSE)</f>
        <v>#N/A</v>
      </c>
    </row>
    <row r="13" spans="1:17" ht="15.75" customHeight="1">
      <c r="A13" s="40" t="e">
        <f>VLOOKUP(A1,Data!$A$1:$DZU$10000,206,FALSE)</f>
        <v>#N/A</v>
      </c>
      <c r="B13" s="39"/>
      <c r="C13" s="2" t="e">
        <f>VLOOKUP(A1,Data!$A$1:$DZU$10000,208,FALSE)</f>
        <v>#N/A</v>
      </c>
      <c r="D13" s="46" t="e">
        <f>VLOOKUP(A1,Data!$A$1:$DZU$10000,209,FALSE)</f>
        <v>#N/A</v>
      </c>
      <c r="E13" s="39"/>
      <c r="F13" s="2" t="e">
        <f>VLOOKUP(A1,Data!$A$1:$DZU$10000,211,FALSE)</f>
        <v>#N/A</v>
      </c>
      <c r="G13" s="2" t="e">
        <f>VLOOKUP(A1,Data!$A$1:$DZU$10000,212,FALSE)</f>
        <v>#N/A</v>
      </c>
      <c r="H13" s="2" t="e">
        <f>VLOOKUP(A1,Data!$A$1:$DZU$10000,213,FALSE)</f>
        <v>#N/A</v>
      </c>
      <c r="I13" s="2" t="e">
        <f>VLOOKUP(A1,Data!$A$1:$DZU$10000,214,FALSE)</f>
        <v>#N/A</v>
      </c>
      <c r="J13" s="2" t="e">
        <f>VLOOKUP(A1,Data!$A$1:$DZU$10000,215,FALSE)</f>
        <v>#N/A</v>
      </c>
      <c r="K13" s="2" t="e">
        <f>VLOOKUP(A1,Data!$A$1:$DZU$10000,216,FALSE)</f>
        <v>#N/A</v>
      </c>
      <c r="L13" s="2" t="e">
        <f>VLOOKUP(A1,Data!$A$1:$DZU$10000,217,FALSE)</f>
        <v>#N/A</v>
      </c>
      <c r="M13" s="2" t="e">
        <f>VLOOKUP(A1,Data!$A$1:$DZU$10000,218,FALSE)</f>
        <v>#N/A</v>
      </c>
      <c r="N13" s="2" t="e">
        <f>VLOOKUP(A1,Data!$A$1:$DZU$10000,219,FALSE)</f>
        <v>#N/A</v>
      </c>
      <c r="O13" s="2" t="e">
        <f>VLOOKUP(A1,Data!$A$1:$DZU$10000,220,FALSE)</f>
        <v>#N/A</v>
      </c>
      <c r="P13" s="2" t="e">
        <f>VLOOKUP(A1,Data!$A$1:$DZU$10000,221,FALSE)</f>
        <v>#N/A</v>
      </c>
      <c r="Q13" s="5" t="e">
        <f>VLOOKUP(A1,Data!$A$1:$DZU$10000,222,FALSE)</f>
        <v>#N/A</v>
      </c>
    </row>
    <row r="14" spans="1:17" ht="15.75" customHeight="1">
      <c r="A14" s="40" t="e">
        <f>VLOOKUP(A1,Data!$A$1:$DZU$10000,223,FALSE)</f>
        <v>#N/A</v>
      </c>
      <c r="B14" s="39"/>
      <c r="C14" s="2" t="e">
        <f>VLOOKUP(A1,Data!$A$1:$DZU$10000,225,FALSE)</f>
        <v>#N/A</v>
      </c>
      <c r="D14" s="2" t="e">
        <f>VLOOKUP(A1,Data!$A$1:$DZU$10000,226,FALSE)</f>
        <v>#N/A</v>
      </c>
      <c r="E14" s="2" t="e">
        <f>VLOOKUP(A1,Data!$A$1:$DZU$10000,227,FALSE)</f>
        <v>#N/A</v>
      </c>
      <c r="F14" s="2" t="e">
        <f>VLOOKUP(A1,Data!$A$1:$DZU$10000,228,FALSE)</f>
        <v>#N/A</v>
      </c>
      <c r="G14" s="2" t="e">
        <f>VLOOKUP(A1,Data!$A$1:$DZU$10000,229,FALSE)</f>
        <v>#N/A</v>
      </c>
      <c r="H14" s="2" t="e">
        <f>VLOOKUP(A1,Data!$A$1:$DZU$10000,230,FALSE)</f>
        <v>#N/A</v>
      </c>
      <c r="I14" s="2" t="e">
        <f>VLOOKUP(A1,Data!$A$1:$DZU$10000,231,FALSE)</f>
        <v>#N/A</v>
      </c>
      <c r="J14" s="2" t="e">
        <f>VLOOKUP(A1,Data!$A$1:$DZU$10000,232,FALSE)</f>
        <v>#N/A</v>
      </c>
      <c r="K14" s="2" t="e">
        <f>VLOOKUP(A1,Data!$A$1:$DZU$10000,233,FALSE)</f>
        <v>#N/A</v>
      </c>
      <c r="L14" s="2" t="e">
        <f>VLOOKUP(A1,Data!$A$1:$DZU$10000,234,FALSE)</f>
        <v>#N/A</v>
      </c>
      <c r="M14" s="2" t="e">
        <f>VLOOKUP(A1,Data!$A$1:$DZU$10000,235,FALSE)</f>
        <v>#N/A</v>
      </c>
      <c r="N14" s="2" t="e">
        <f>VLOOKUP(A1,Data!$A$1:$DZU$10000,236,FALSE)</f>
        <v>#N/A</v>
      </c>
      <c r="O14" s="2" t="e">
        <f>VLOOKUP(A1,Data!$A$1:$DZU$10000,237,FALSE)</f>
        <v>#N/A</v>
      </c>
      <c r="P14" s="2" t="e">
        <f>VLOOKUP(A1,Data!$A$1:$DZU$10000,238,FALSE)</f>
        <v>#N/A</v>
      </c>
      <c r="Q14" s="5" t="e">
        <f>VLOOKUP(A1,Data!$A$1:$DZU$10000,239,FALSE)</f>
        <v>#N/A</v>
      </c>
    </row>
    <row r="15" spans="1:17" ht="15.75" customHeight="1">
      <c r="A15" s="40" t="e">
        <f>VLOOKUP(A1,Data!$A$1:$DZU$10000,240,FALSE)</f>
        <v>#N/A</v>
      </c>
      <c r="B15" s="39"/>
      <c r="C15" s="2" t="e">
        <f>VLOOKUP(A1,Data!$A$1:$DZU$10000,242,FALSE)</f>
        <v>#N/A</v>
      </c>
      <c r="D15" s="2" t="e">
        <f>VLOOKUP(A1,Data!$A$1:$DZU$10000,243,FALSE)</f>
        <v>#N/A</v>
      </c>
      <c r="E15" s="2" t="e">
        <f>VLOOKUP(A1,Data!$A$1:$DZU$10000,244,FALSE)</f>
        <v>#N/A</v>
      </c>
      <c r="F15" s="2" t="e">
        <f>VLOOKUP(A1,Data!$A$1:$DZU$10000,245,FALSE)</f>
        <v>#N/A</v>
      </c>
      <c r="G15" s="2" t="e">
        <f>VLOOKUP(A1,Data!$A$1:$DZU$10000,246,FALSE)</f>
        <v>#N/A</v>
      </c>
      <c r="H15" s="2" t="e">
        <f>VLOOKUP(A1,Data!$A$1:$DZU$10000,247,FALSE)</f>
        <v>#N/A</v>
      </c>
      <c r="I15" s="2" t="e">
        <f>VLOOKUP(A1,Data!$A$1:$DZU$10000,248,FALSE)</f>
        <v>#N/A</v>
      </c>
      <c r="J15" s="2" t="e">
        <f>VLOOKUP(A1,Data!$A$1:$DZU$10000,249,FALSE)</f>
        <v>#N/A</v>
      </c>
      <c r="K15" s="2" t="e">
        <f>VLOOKUP(A1,Data!$A$1:$DZU$10000,250,FALSE)</f>
        <v>#N/A</v>
      </c>
      <c r="L15" s="2" t="e">
        <f>VLOOKUP(A1,Data!$A$1:$DZU$10000,251,FALSE)</f>
        <v>#N/A</v>
      </c>
      <c r="M15" s="2" t="e">
        <f>VLOOKUP(A1,Data!$A$1:$DZU$10000,252,FALSE)</f>
        <v>#N/A</v>
      </c>
      <c r="N15" s="2" t="e">
        <f>VLOOKUP(A1,Data!$A$1:$DZU$10000,253,FALSE)</f>
        <v>#N/A</v>
      </c>
      <c r="O15" s="2" t="e">
        <f>VLOOKUP(A1,Data!$A$1:$DZU$10000,254,FALSE)</f>
        <v>#N/A</v>
      </c>
      <c r="P15" s="2" t="e">
        <f>VLOOKUP(A1,Data!$A$1:$DZU$10000,255,FALSE)</f>
        <v>#N/A</v>
      </c>
      <c r="Q15" s="5" t="e">
        <f>VLOOKUP(A1,Data!$A$1:$DZU$10000,256,FALSE)</f>
        <v>#N/A</v>
      </c>
    </row>
    <row r="16" spans="1:17" ht="15.75" customHeight="1">
      <c r="A16" s="40" t="e">
        <f>VLOOKUP(A1,Data!$A$1:$DZU$10000,257,FALSE)</f>
        <v>#N/A</v>
      </c>
      <c r="B16" s="39"/>
      <c r="C16" s="2" t="e">
        <f>VLOOKUP(A1,Data!$A$1:$DZU$10000,259,FALSE)</f>
        <v>#N/A</v>
      </c>
      <c r="D16" s="2" t="e">
        <f>VLOOKUP(A1,Data!$A$1:$DZU$10000,260,FALSE)</f>
        <v>#N/A</v>
      </c>
      <c r="E16" s="2" t="e">
        <f>VLOOKUP(A1,Data!$A$1:$DZU$10000,261,FALSE)</f>
        <v>#N/A</v>
      </c>
      <c r="F16" s="2" t="e">
        <f>VLOOKUP(A1,Data!$A$1:$DZU$10000,262,FALSE)</f>
        <v>#N/A</v>
      </c>
      <c r="G16" s="2" t="e">
        <f>VLOOKUP(A1,Data!$A$1:$DZU$10000,263,FALSE)</f>
        <v>#N/A</v>
      </c>
      <c r="H16" s="2" t="e">
        <f>VLOOKUP(A1,Data!$A$1:$DZU$10000,264,FALSE)</f>
        <v>#N/A</v>
      </c>
      <c r="I16" s="2" t="e">
        <f>VLOOKUP(A1,Data!$A$1:$DZU$10000,265,FALSE)</f>
        <v>#N/A</v>
      </c>
      <c r="J16" s="2" t="e">
        <f>VLOOKUP(A1,Data!$A$1:$DZU$10000,266,FALSE)</f>
        <v>#N/A</v>
      </c>
      <c r="K16" s="2" t="e">
        <f>VLOOKUP(A1,Data!$A$1:$DZU$10000,267,FALSE)</f>
        <v>#N/A</v>
      </c>
      <c r="L16" s="2" t="e">
        <f>VLOOKUP(A1,Data!$A$1:$DZU$10000,268,FALSE)</f>
        <v>#N/A</v>
      </c>
      <c r="M16" s="2" t="e">
        <f>VLOOKUP(A1,Data!$A$1:$DZU$10000,269,FALSE)</f>
        <v>#N/A</v>
      </c>
      <c r="N16" s="2" t="e">
        <f>VLOOKUP(A1,Data!$A$1:$DZU$10000,270,FALSE)</f>
        <v>#N/A</v>
      </c>
      <c r="O16" s="2" t="e">
        <f>VLOOKUP(A1,Data!$A$1:$DZU$10000,271,FALSE)</f>
        <v>#N/A</v>
      </c>
      <c r="P16" s="2" t="e">
        <f>VLOOKUP(A1,Data!$A$1:$DZU$10000,272,FALSE)</f>
        <v>#N/A</v>
      </c>
      <c r="Q16" s="5" t="e">
        <f>VLOOKUP(A1,Data!$A$1:$DZU$10000,273,FALSE)</f>
        <v>#N/A</v>
      </c>
    </row>
    <row r="17" spans="1:17" ht="15.75" customHeight="1">
      <c r="A17" s="40" t="e">
        <f>VLOOKUP(A1,Data!$A$1:$DZU$10000,274,FALSE)</f>
        <v>#N/A</v>
      </c>
      <c r="B17" s="39"/>
      <c r="C17" s="2" t="e">
        <f>VLOOKUP(A1,Data!$A$1:$DZU$10000,276,FALSE)</f>
        <v>#N/A</v>
      </c>
      <c r="D17" s="2" t="e">
        <f>VLOOKUP(A1,Data!$A$1:$DZU$10000,277,FALSE)</f>
        <v>#N/A</v>
      </c>
      <c r="E17" s="2" t="e">
        <f>VLOOKUP(A1,Data!$A$1:$DZU$10000,278,FALSE)</f>
        <v>#N/A</v>
      </c>
      <c r="F17" s="2" t="e">
        <f>VLOOKUP(A1,Data!$A$1:$DZU$10000,279,FALSE)</f>
        <v>#N/A</v>
      </c>
      <c r="G17" s="2" t="e">
        <f>VLOOKUP(A1,Data!$A$1:$DZU$10000,280,FALSE)</f>
        <v>#N/A</v>
      </c>
      <c r="H17" s="2" t="e">
        <f>VLOOKUP(A1,Data!$A$1:$DZU$10000,281,FALSE)</f>
        <v>#N/A</v>
      </c>
      <c r="I17" s="2" t="e">
        <f>VLOOKUP(A1,Data!$A$1:$DZU$10000,282,FALSE)</f>
        <v>#N/A</v>
      </c>
      <c r="J17" s="2" t="e">
        <f>VLOOKUP(A1,Data!$A$1:$DZU$10000,283,FALSE)</f>
        <v>#N/A</v>
      </c>
      <c r="K17" s="2" t="e">
        <f>VLOOKUP(A1,Data!$A$1:$DZU$10000,284,FALSE)</f>
        <v>#N/A</v>
      </c>
      <c r="L17" s="2" t="e">
        <f>VLOOKUP(A1,Data!$A$1:$DZU$10000,285,FALSE)</f>
        <v>#N/A</v>
      </c>
      <c r="M17" s="2" t="e">
        <f>VLOOKUP(A1,Data!$A$1:$DZU$10000,286,FALSE)</f>
        <v>#N/A</v>
      </c>
      <c r="N17" s="2" t="e">
        <f>VLOOKUP(A1,Data!$A$1:$DZU$10000,287,FALSE)</f>
        <v>#N/A</v>
      </c>
      <c r="O17" s="2" t="e">
        <f>VLOOKUP(A1,Data!$A$1:$DZU$10000,288,FALSE)</f>
        <v>#N/A</v>
      </c>
      <c r="P17" s="2" t="e">
        <f>VLOOKUP(A1,Data!$A$1:$DZU$10000,289,FALSE)</f>
        <v>#N/A</v>
      </c>
      <c r="Q17" s="5" t="e">
        <f>VLOOKUP(A1,Data!$A$1:$DZU$10000,290,FALSE)</f>
        <v>#N/A</v>
      </c>
    </row>
    <row r="18" spans="1:17" ht="15.75" customHeight="1">
      <c r="A18" s="40" t="e">
        <f>VLOOKUP(A1,Data!$A$1:$DZU$10000,291,FALSE)</f>
        <v>#N/A</v>
      </c>
      <c r="B18" s="39"/>
      <c r="C18" s="2" t="e">
        <f>VLOOKUP(A1,Data!$A$1:$DZU$10000,293,FALSE)</f>
        <v>#N/A</v>
      </c>
      <c r="D18" s="2" t="e">
        <f>VLOOKUP(A1,Data!$A$1:$DZU$10000,294,FALSE)</f>
        <v>#N/A</v>
      </c>
      <c r="E18" s="2" t="e">
        <f>VLOOKUP(A1,Data!$A$1:$DZU$10000,295,FALSE)</f>
        <v>#N/A</v>
      </c>
      <c r="F18" s="2" t="e">
        <f>VLOOKUP(A1,Data!$A$1:$DZU$10000,296,FALSE)</f>
        <v>#N/A</v>
      </c>
      <c r="G18" s="2" t="e">
        <f>VLOOKUP(A1,Data!$A$1:$DZU$10000,297,FALSE)</f>
        <v>#N/A</v>
      </c>
      <c r="H18" s="2" t="e">
        <f>VLOOKUP(A1,Data!$A$1:$DZU$10000,298,FALSE)</f>
        <v>#N/A</v>
      </c>
      <c r="I18" s="2" t="e">
        <f>VLOOKUP(A1,Data!$A$1:$DZU$10000,299,FALSE)</f>
        <v>#N/A</v>
      </c>
      <c r="J18" s="2" t="e">
        <f>VLOOKUP(A1,Data!$A$1:$DZU$10000,300,FALSE)</f>
        <v>#N/A</v>
      </c>
      <c r="K18" s="2" t="e">
        <f>VLOOKUP(A1,Data!$A$1:$DZU$10000,301,FALSE)</f>
        <v>#N/A</v>
      </c>
      <c r="L18" s="2" t="e">
        <f>VLOOKUP(A1,Data!$A$1:$DZU$10000,302,FALSE)</f>
        <v>#N/A</v>
      </c>
      <c r="M18" s="2" t="e">
        <f>VLOOKUP(A1,Data!$A$1:$DZU$10000,303,FALSE)</f>
        <v>#N/A</v>
      </c>
      <c r="N18" s="2" t="e">
        <f>VLOOKUP(A1,Data!$A$1:$DZU$10000,304,FALSE)</f>
        <v>#N/A</v>
      </c>
      <c r="O18" s="2" t="e">
        <f>VLOOKUP(A1,Data!$A$1:$DZU$10000,305,FALSE)</f>
        <v>#N/A</v>
      </c>
      <c r="P18" s="2" t="e">
        <f>VLOOKUP(A1,Data!$A$1:$DZU$10000,306,FALSE)</f>
        <v>#N/A</v>
      </c>
      <c r="Q18" s="5" t="e">
        <f>VLOOKUP(A1,Data!$A$1:$DZU$10000,307,FALSE)</f>
        <v>#N/A</v>
      </c>
    </row>
    <row r="19" spans="1:17" ht="15.75" customHeight="1">
      <c r="A19" s="40" t="e">
        <f>VLOOKUP(A1,Data!$A$1:$DZU$10000,308,FALSE)</f>
        <v>#N/A</v>
      </c>
      <c r="B19" s="39"/>
      <c r="C19" s="2" t="e">
        <f>VLOOKUP(A1,Data!$A$1:$DZU$10000,310,FALSE)</f>
        <v>#N/A</v>
      </c>
      <c r="D19" s="10" t="e">
        <f>VLOOKUP(A1,Data!$A$1:$DZU$10000,311,FALSE)</f>
        <v>#N/A</v>
      </c>
      <c r="E19" s="2" t="e">
        <f>VLOOKUP(A1,Data!$A$1:$DZU$10000,312,FALSE)</f>
        <v>#N/A</v>
      </c>
      <c r="F19" s="2" t="e">
        <f>VLOOKUP(A1,Data!$A$1:$DZU$10000,313,FALSE)</f>
        <v>#N/A</v>
      </c>
      <c r="G19" s="2" t="e">
        <f>VLOOKUP(A1,Data!$A$1:$DZU$10000,314,FALSE)</f>
        <v>#N/A</v>
      </c>
      <c r="H19" s="2" t="e">
        <f>VLOOKUP(A1,Data!$A$1:$DZU$10000,315,FALSE)</f>
        <v>#N/A</v>
      </c>
      <c r="I19" s="2" t="e">
        <f>VLOOKUP(A1,Data!$A$1:$DZU$10000,316,FALSE)</f>
        <v>#N/A</v>
      </c>
      <c r="J19" s="2" t="e">
        <f>VLOOKUP(A1,Data!$A$1:$DZU$10000,317,FALSE)</f>
        <v>#N/A</v>
      </c>
      <c r="K19" s="2" t="e">
        <f>VLOOKUP(A1,Data!$A$1:$DZU$10000,318,FALSE)</f>
        <v>#N/A</v>
      </c>
      <c r="L19" s="2" t="e">
        <f>VLOOKUP(A1,Data!$A$1:$DZU$10000,319,FALSE)</f>
        <v>#N/A</v>
      </c>
      <c r="M19" s="2" t="e">
        <f>VLOOKUP(A1,Data!$A$1:$DZU$10000,320,FALSE)</f>
        <v>#N/A</v>
      </c>
      <c r="N19" s="2" t="e">
        <f>VLOOKUP(A1,Data!$A$1:$DZU$10000,321,FALSE)</f>
        <v>#N/A</v>
      </c>
      <c r="O19" s="2" t="e">
        <f>VLOOKUP(A1,Data!$A$1:$DZU$10000,322,FALSE)</f>
        <v>#N/A</v>
      </c>
      <c r="P19" s="2" t="e">
        <f>VLOOKUP(A1,Data!$A$1:$DZU$10000,323,FALSE)</f>
        <v>#N/A</v>
      </c>
      <c r="Q19" s="5" t="e">
        <f>VLOOKUP(A1,Data!$A$1:$DZU$10000,324,FALSE)</f>
        <v>#N/A</v>
      </c>
    </row>
    <row r="20" spans="1:17">
      <c r="A20" s="11" t="e">
        <f>VLOOKUP(A1,Data!$A$1:$DZU$10000,325,FALSE)</f>
        <v>#N/A</v>
      </c>
      <c r="B20" s="11" t="e">
        <f>VLOOKUP(A1,Data!$A$1:$DZU$10000,326,FALSE)</f>
        <v>#N/A</v>
      </c>
      <c r="C20" s="11" t="e">
        <f>VLOOKUP(A1,Data!$A$1:$DZU$10000,327,FALSE)</f>
        <v>#N/A</v>
      </c>
      <c r="D20" s="11" t="e">
        <f>VLOOKUP(A1,Data!$A$1:$DZU$10000,328,FALSE)</f>
        <v>#N/A</v>
      </c>
      <c r="E20" s="2" t="e">
        <f>VLOOKUP(A1,Data!$A$1:$DZU$10000,329,FALSE)</f>
        <v>#N/A</v>
      </c>
      <c r="F20" s="2" t="e">
        <f>VLOOKUP(A1,Data!$A$1:$DZU$10000,330,FALSE)</f>
        <v>#N/A</v>
      </c>
      <c r="G20" s="2" t="e">
        <f>VLOOKUP(A1,Data!$A$1:$DZU$10000,331,FALSE)</f>
        <v>#N/A</v>
      </c>
      <c r="H20" s="2" t="e">
        <f>VLOOKUP(A1,Data!$A$1:$DZU$10000,332,FALSE)</f>
        <v>#N/A</v>
      </c>
      <c r="I20" s="2" t="e">
        <f>VLOOKUP(A1,Data!$A$1:$DZU$10000,333,FALSE)</f>
        <v>#N/A</v>
      </c>
      <c r="J20" s="2" t="e">
        <f>VLOOKUP(A1,Data!$A$1:$DZU$10000,334,FALSE)</f>
        <v>#N/A</v>
      </c>
      <c r="K20" s="2" t="e">
        <f>VLOOKUP(A1,Data!$A$1:$DZU$10000,335,FALSE)</f>
        <v>#N/A</v>
      </c>
      <c r="L20" s="2" t="e">
        <f>VLOOKUP(A1,Data!$A$1:$DZU$10000,336,FALSE)</f>
        <v>#N/A</v>
      </c>
      <c r="M20" s="2" t="e">
        <f>VLOOKUP(A1,Data!$A$1:$DZU$10000,337,FALSE)</f>
        <v>#N/A</v>
      </c>
      <c r="N20" s="2" t="e">
        <f>VLOOKUP(A1,Data!$A$1:$DZU$10000,338,FALSE)</f>
        <v>#N/A</v>
      </c>
      <c r="O20" s="2" t="e">
        <f>VLOOKUP(A1,Data!$A$1:$DZU$10000,339,FALSE)</f>
        <v>#N/A</v>
      </c>
      <c r="P20" s="2" t="e">
        <f>VLOOKUP(A1,Data!$A$1:$DZU$10000,340,FALSE)</f>
        <v>#N/A</v>
      </c>
      <c r="Q20" s="5" t="e">
        <f>VLOOKUP(A1,Data!$A$1:$DZU$10000,341,FALSE)</f>
        <v>#N/A</v>
      </c>
    </row>
    <row r="21" spans="1:17" ht="15.75" customHeight="1">
      <c r="A21" s="12" t="e">
        <f>VLOOKUP(A1,Data!$A$1:$DZU$10000,342,FALSE)</f>
        <v>#N/A</v>
      </c>
      <c r="B21" s="12" t="e">
        <f>VLOOKUP(A1,Data!$A$1:$DZU$10000,343,FALSE)</f>
        <v>#N/A</v>
      </c>
      <c r="C21" s="13" t="e">
        <f>VLOOKUP(A1,Data!$A$1:$DZU$10000,344,FALSE)</f>
        <v>#N/A</v>
      </c>
      <c r="D21" s="13" t="e">
        <f>VLOOKUP(A1,Data!$A$1:$DZU$10000,345,FALSE)</f>
        <v>#N/A</v>
      </c>
      <c r="E21" s="2" t="e">
        <f>VLOOKUP(A1,Data!$A$1:$DZU$10000,346,FALSE)</f>
        <v>#N/A</v>
      </c>
      <c r="F21" s="14" t="e">
        <f>VLOOKUP(A1,Data!$A$1:$DZU$10000,347,FALSE)</f>
        <v>#N/A</v>
      </c>
      <c r="G21" s="2" t="e">
        <f>VLOOKUP(A1,Data!$A$1:$DZU$10000,348,FALSE)</f>
        <v>#N/A</v>
      </c>
      <c r="H21" s="2" t="e">
        <f>VLOOKUP(A1,Data!$A$1:$DZU$10000,349,FALSE)</f>
        <v>#N/A</v>
      </c>
      <c r="I21" s="2" t="e">
        <f>VLOOKUP(A1,Data!$A$1:$DZU$10000,350,FALSE)</f>
        <v>#N/A</v>
      </c>
      <c r="J21" s="2" t="e">
        <f>VLOOKUP(A1,Data!$A$1:$DZU$10000,351,FALSE)</f>
        <v>#N/A</v>
      </c>
      <c r="K21" s="2" t="e">
        <f>VLOOKUP(A1,Data!$A$1:$DZU$10000,352,FALSE)</f>
        <v>#N/A</v>
      </c>
      <c r="L21" s="2" t="e">
        <f>VLOOKUP(A1,Data!$A$1:$DZU$10000,353,FALSE)</f>
        <v>#N/A</v>
      </c>
      <c r="M21" s="2" t="e">
        <f>VLOOKUP(A1,Data!$A$1:$DZU$10000,354,FALSE)</f>
        <v>#N/A</v>
      </c>
      <c r="N21" s="2" t="e">
        <f>VLOOKUP(A1,Data!$A$1:$DZU$10000,355,FALSE)</f>
        <v>#N/A</v>
      </c>
      <c r="O21" s="2" t="e">
        <f>VLOOKUP(A1,Data!$A$1:$DZU$10000,356,FALSE)</f>
        <v>#N/A</v>
      </c>
      <c r="P21" s="2" t="e">
        <f>VLOOKUP(A1,Data!$A$1:$DZU$10000,357,FALSE)</f>
        <v>#N/A</v>
      </c>
      <c r="Q21" s="5" t="e">
        <f>VLOOKUP(A1,Data!$A$1:$DZU$10000,358,FALSE)</f>
        <v>#N/A</v>
      </c>
    </row>
    <row r="22" spans="1:17" ht="15.75" customHeight="1">
      <c r="A22" s="12" t="e">
        <f>VLOOKUP(A1,Data!$A$1:$DZU$10000,359,FALSE)</f>
        <v>#N/A</v>
      </c>
      <c r="B22" s="12" t="e">
        <f>VLOOKUP(A1,Data!$A$1:$DZU$10000,360,FALSE)</f>
        <v>#N/A</v>
      </c>
      <c r="C22" s="13" t="e">
        <f>VLOOKUP(A1,Data!$A$1:$DZU$10000,361,FALSE)</f>
        <v>#N/A</v>
      </c>
      <c r="D22" s="13" t="e">
        <f>VLOOKUP(A1,Data!$A$1:$DZU$10000,362,FALSE)</f>
        <v>#N/A</v>
      </c>
      <c r="E22" s="2" t="e">
        <f>VLOOKUP(A1,Data!$A$1:$DZU$10000,363,FALSE)</f>
        <v>#N/A</v>
      </c>
      <c r="F22" s="14" t="e">
        <f>VLOOKUP(A1,Data!$A$1:$DZU$10000,364,FALSE)</f>
        <v>#N/A</v>
      </c>
      <c r="G22" s="2" t="e">
        <f>VLOOKUP(A1,Data!$A$1:$DZU$10000,365,FALSE)</f>
        <v>#N/A</v>
      </c>
      <c r="H22" s="2" t="e">
        <f>VLOOKUP(A1,Data!$A$1:$DZU$10000,366,FALSE)</f>
        <v>#N/A</v>
      </c>
      <c r="I22" s="2" t="e">
        <f>VLOOKUP(A1,Data!$A$1:$DZU$10000,367,FALSE)</f>
        <v>#N/A</v>
      </c>
      <c r="J22" s="2" t="e">
        <f>VLOOKUP(A1,Data!$A$1:$DZU$10000,368,FALSE)</f>
        <v>#N/A</v>
      </c>
      <c r="K22" s="2" t="e">
        <f>VLOOKUP(A1,Data!$A$1:$DZU$10000,369,FALSE)</f>
        <v>#N/A</v>
      </c>
      <c r="L22" s="2" t="e">
        <f>VLOOKUP(A1,Data!$A$1:$DZU$10000,370,FALSE)</f>
        <v>#N/A</v>
      </c>
      <c r="M22" s="2" t="e">
        <f>VLOOKUP(A1,Data!$A$1:$DZU$10000,371,FALSE)</f>
        <v>#N/A</v>
      </c>
      <c r="N22" s="2" t="e">
        <f>VLOOKUP(A1,Data!$A$1:$DZU$10000,372,FALSE)</f>
        <v>#N/A</v>
      </c>
      <c r="O22" s="2" t="e">
        <f>VLOOKUP(A1,Data!$A$1:$DZU$10000,373,FALSE)</f>
        <v>#N/A</v>
      </c>
      <c r="P22" s="2" t="e">
        <f>VLOOKUP(A1,Data!$A$1:$DZU$10000,374,FALSE)</f>
        <v>#N/A</v>
      </c>
      <c r="Q22" s="5" t="e">
        <f>VLOOKUP(A1,Data!$A$1:$DZU$10000,375,FALSE)</f>
        <v>#N/A</v>
      </c>
    </row>
    <row r="23" spans="1:17" ht="15.75" customHeight="1">
      <c r="A23" s="12" t="e">
        <f>VLOOKUP(A1,Data!$A$1:$DZU$10000,376,FALSE)</f>
        <v>#N/A</v>
      </c>
      <c r="B23" s="12" t="e">
        <f>VLOOKUP(A1,Data!$A$1:$DZU$10000,377,FALSE)</f>
        <v>#N/A</v>
      </c>
      <c r="C23" s="13" t="e">
        <f>VLOOKUP(A1,Data!$A$1:$DZU$10000,378,FALSE)</f>
        <v>#N/A</v>
      </c>
      <c r="D23" s="13" t="e">
        <f>VLOOKUP(A1,Data!$A$1:$DZU$10000,379,FALSE)</f>
        <v>#N/A</v>
      </c>
      <c r="E23" s="2" t="e">
        <f>VLOOKUP(A1,Data!$A$1:$DZU$10000,380,FALSE)</f>
        <v>#N/A</v>
      </c>
      <c r="F23" s="14" t="e">
        <f>VLOOKUP(A1,Data!$A$1:$DZU$10000,381,FALSE)</f>
        <v>#N/A</v>
      </c>
      <c r="G23" s="2" t="e">
        <f>VLOOKUP(A1,Data!$A$1:$DZU$10000,382,FALSE)</f>
        <v>#N/A</v>
      </c>
      <c r="H23" s="2" t="e">
        <f>VLOOKUP(A1,Data!$A$1:$DZU$10000,383,FALSE)</f>
        <v>#N/A</v>
      </c>
      <c r="I23" s="2" t="e">
        <f>VLOOKUP(A1,Data!$A$1:$DZU$10000,384,FALSE)</f>
        <v>#N/A</v>
      </c>
      <c r="J23" s="2" t="e">
        <f>VLOOKUP(A1,Data!$A$1:$DZU$10000,385,FALSE)</f>
        <v>#N/A</v>
      </c>
      <c r="K23" s="2" t="e">
        <f>VLOOKUP(A1,Data!$A$1:$DZU$10000,386,FALSE)</f>
        <v>#N/A</v>
      </c>
      <c r="L23" s="2" t="e">
        <f>VLOOKUP(A1,Data!$A$1:$DZU$10000,387,FALSE)</f>
        <v>#N/A</v>
      </c>
      <c r="M23" s="2" t="e">
        <f>VLOOKUP(A1,Data!$A$1:$DZU$10000,388,FALSE)</f>
        <v>#N/A</v>
      </c>
      <c r="N23" s="2" t="e">
        <f>VLOOKUP(A1,Data!$A$1:$DZU$10000,389,FALSE)</f>
        <v>#N/A</v>
      </c>
      <c r="O23" s="2" t="e">
        <f>VLOOKUP(A1,Data!$A$1:$DZU$10000,390,FALSE)</f>
        <v>#N/A</v>
      </c>
      <c r="P23" s="2" t="e">
        <f>VLOOKUP(A1,Data!$A$1:$DZU$10000,391,FALSE)</f>
        <v>#N/A</v>
      </c>
      <c r="Q23" s="5" t="e">
        <f>VLOOKUP(A1,Data!$A$1:$DZU$10000,392,FALSE)</f>
        <v>#N/A</v>
      </c>
    </row>
    <row r="24" spans="1:17" ht="15.75" customHeight="1">
      <c r="A24" s="12" t="e">
        <f>VLOOKUP(A1,Data!$A$1:$DZU$10000,393,FALSE)</f>
        <v>#N/A</v>
      </c>
      <c r="B24" s="12" t="e">
        <f>VLOOKUP(A1,Data!$A$1:$DZU$10000,394,FALSE)</f>
        <v>#N/A</v>
      </c>
      <c r="C24" s="13" t="e">
        <f>VLOOKUP(A1,Data!$A$1:$DZU$10000,395,FALSE)</f>
        <v>#N/A</v>
      </c>
      <c r="D24" s="13" t="e">
        <f>VLOOKUP(A1,Data!$A$1:$DZU$10000,396,FALSE)</f>
        <v>#N/A</v>
      </c>
      <c r="E24" s="2" t="e">
        <f>VLOOKUP(A1,Data!$A$1:$DZU$10000,397,FALSE)</f>
        <v>#N/A</v>
      </c>
      <c r="F24" s="14" t="e">
        <f>VLOOKUP(A1,Data!$A$1:$DZU$10000,398,FALSE)</f>
        <v>#N/A</v>
      </c>
      <c r="G24" s="2" t="e">
        <f>VLOOKUP(A1,Data!$A$1:$DZU$10000,399,FALSE)</f>
        <v>#N/A</v>
      </c>
      <c r="H24" s="2" t="e">
        <f>VLOOKUP(A1,Data!$A$1:$DZU$10000,400,FALSE)</f>
        <v>#N/A</v>
      </c>
      <c r="I24" s="2" t="e">
        <f>VLOOKUP(A1,Data!$A$1:$DZU$10000,401,FALSE)</f>
        <v>#N/A</v>
      </c>
      <c r="J24" s="2" t="e">
        <f>VLOOKUP(A1,Data!$A$1:$DZU$10000,402,FALSE)</f>
        <v>#N/A</v>
      </c>
      <c r="K24" s="2" t="e">
        <f>VLOOKUP(A1,Data!$A$1:$DZU$10000,403,FALSE)</f>
        <v>#N/A</v>
      </c>
      <c r="L24" s="2" t="e">
        <f>VLOOKUP(A1,Data!$A$1:$DZU$10000,404,FALSE)</f>
        <v>#N/A</v>
      </c>
      <c r="M24" s="2" t="e">
        <f>VLOOKUP(A1,Data!$A$1:$DZU$10000,405,FALSE)</f>
        <v>#N/A</v>
      </c>
      <c r="N24" s="2" t="e">
        <f>VLOOKUP(A1,Data!$A$1:$DZU$10000,406,FALSE)</f>
        <v>#N/A</v>
      </c>
      <c r="O24" s="2" t="e">
        <f>VLOOKUP(A1,Data!$A$1:$DZU$10000,407,FALSE)</f>
        <v>#N/A</v>
      </c>
      <c r="P24" s="2" t="e">
        <f>VLOOKUP(A1,Data!$A$1:$DZU$10000,408,FALSE)</f>
        <v>#N/A</v>
      </c>
      <c r="Q24" s="5" t="e">
        <f>VLOOKUP(A1,Data!$A$1:$DZU$10000,409,FALSE)</f>
        <v>#N/A</v>
      </c>
    </row>
    <row r="25" spans="1:17" ht="15.75" customHeight="1">
      <c r="A25" s="12" t="e">
        <f>VLOOKUP(A1,Data!$A$1:$DZU$10000,410,FALSE)</f>
        <v>#N/A</v>
      </c>
      <c r="B25" s="12" t="e">
        <f>VLOOKUP(A1,Data!$A$1:$DZU$10000,411,FALSE)</f>
        <v>#N/A</v>
      </c>
      <c r="C25" s="13" t="e">
        <f>VLOOKUP(A1,Data!$A$1:$DZU$10000,412,FALSE)</f>
        <v>#N/A</v>
      </c>
      <c r="D25" s="13" t="e">
        <f>VLOOKUP(A1,Data!$A$1:$DZU$10000,413,FALSE)</f>
        <v>#N/A</v>
      </c>
      <c r="E25" s="2" t="e">
        <f>VLOOKUP(A1,Data!$A$1:$DZU$10000,414,FALSE)</f>
        <v>#N/A</v>
      </c>
      <c r="F25" s="14" t="e">
        <f>VLOOKUP(A1,Data!$A$1:$DZU$10000,415,FALSE)</f>
        <v>#N/A</v>
      </c>
      <c r="G25" s="2" t="e">
        <f>VLOOKUP(A1,Data!$A$1:$DZU$10000,416,FALSE)</f>
        <v>#N/A</v>
      </c>
      <c r="H25" s="2" t="e">
        <f>VLOOKUP(A1,Data!$A$1:$DZU$10000,417,FALSE)</f>
        <v>#N/A</v>
      </c>
      <c r="I25" s="2" t="e">
        <f>VLOOKUP(A1,Data!$A$1:$DZU$10000,418,FALSE)</f>
        <v>#N/A</v>
      </c>
      <c r="J25" s="2" t="e">
        <f>VLOOKUP(A1,Data!$A$1:$DZU$10000,419,FALSE)</f>
        <v>#N/A</v>
      </c>
      <c r="K25" s="2" t="e">
        <f>VLOOKUP(A1,Data!$A$1:$DZU$10000,420,FALSE)</f>
        <v>#N/A</v>
      </c>
      <c r="L25" s="2" t="e">
        <f>VLOOKUP(A1,Data!$A$1:$DZU$10000,421,FALSE)</f>
        <v>#N/A</v>
      </c>
      <c r="M25" s="2" t="e">
        <f>VLOOKUP(A1,Data!$A$1:$DZU$10000,422,FALSE)</f>
        <v>#N/A</v>
      </c>
      <c r="N25" s="2" t="e">
        <f>VLOOKUP(A1,Data!$A$1:$DZU$10000,423,FALSE)</f>
        <v>#N/A</v>
      </c>
      <c r="O25" s="2" t="e">
        <f>VLOOKUP(A1,Data!$A$1:$DZU$10000,424,FALSE)</f>
        <v>#N/A</v>
      </c>
      <c r="P25" s="2" t="e">
        <f>VLOOKUP(A1,Data!$A$1:$DZU$10000,425,FALSE)</f>
        <v>#N/A</v>
      </c>
      <c r="Q25" s="5" t="e">
        <f>VLOOKUP(A1,Data!$A$1:$DZU$10000,426,FALSE)</f>
        <v>#N/A</v>
      </c>
    </row>
    <row r="26" spans="1:17" ht="15.75" customHeight="1">
      <c r="A26" s="12" t="e">
        <f>VLOOKUP(A1,Data!$A$1:$DZU$10000,427,FALSE)</f>
        <v>#N/A</v>
      </c>
      <c r="B26" s="12" t="e">
        <f>VLOOKUP(A1,Data!$A$1:$DZU$10000,428,FALSE)</f>
        <v>#N/A</v>
      </c>
      <c r="C26" s="13" t="e">
        <f>VLOOKUP(A1,Data!$A$1:$DZU$10000,429,FALSE)</f>
        <v>#N/A</v>
      </c>
      <c r="D26" s="13" t="e">
        <f>VLOOKUP(A1,Data!$A$1:$DZU$10000,430,FALSE)</f>
        <v>#N/A</v>
      </c>
      <c r="E26" s="2" t="e">
        <f>VLOOKUP(A1,Data!$A$1:$DZU$10000,431,FALSE)</f>
        <v>#N/A</v>
      </c>
      <c r="F26" s="14" t="e">
        <f>VLOOKUP(A1,Data!$A$1:$DZU$10000,432,FALSE)</f>
        <v>#N/A</v>
      </c>
      <c r="G26" s="2" t="e">
        <f>VLOOKUP(A1,Data!$A$1:$DZU$10000,433,FALSE)</f>
        <v>#N/A</v>
      </c>
      <c r="H26" s="2" t="e">
        <f>VLOOKUP(A1,Data!$A$1:$DZU$10000,434,FALSE)</f>
        <v>#N/A</v>
      </c>
      <c r="I26" s="2" t="e">
        <f>VLOOKUP(A1,Data!$A$1:$DZU$10000,435,FALSE)</f>
        <v>#N/A</v>
      </c>
      <c r="J26" s="2" t="e">
        <f>VLOOKUP(A1,Data!$A$1:$DZU$10000,436,FALSE)</f>
        <v>#N/A</v>
      </c>
      <c r="K26" s="2" t="e">
        <f>VLOOKUP(A1,Data!$A$1:$DZU$10000,437,FALSE)</f>
        <v>#N/A</v>
      </c>
      <c r="L26" s="2" t="e">
        <f>VLOOKUP(A1,Data!$A$1:$DZU$10000,438,FALSE)</f>
        <v>#N/A</v>
      </c>
      <c r="M26" s="2" t="e">
        <f>VLOOKUP(A1,Data!$A$1:$DZU$10000,439,FALSE)</f>
        <v>#N/A</v>
      </c>
      <c r="N26" s="2" t="e">
        <f>VLOOKUP(A1,Data!$A$1:$DZU$10000,440,FALSE)</f>
        <v>#N/A</v>
      </c>
      <c r="O26" s="2" t="e">
        <f>VLOOKUP(A1,Data!$A$1:$DZU$10000,441,FALSE)</f>
        <v>#N/A</v>
      </c>
      <c r="P26" s="2" t="e">
        <f>VLOOKUP(A1,Data!$A$1:$DZU$10000,442,FALSE)</f>
        <v>#N/A</v>
      </c>
      <c r="Q26" s="5" t="e">
        <f>VLOOKUP(A1,Data!$A$1:$DZU$10000,443,FALSE)</f>
        <v>#N/A</v>
      </c>
    </row>
    <row r="27" spans="1:17" ht="15.75" customHeight="1">
      <c r="A27" s="12" t="e">
        <f>VLOOKUP(A1,Data!$A$1:$DZU$10000,444,FALSE)</f>
        <v>#N/A</v>
      </c>
      <c r="B27" s="12" t="e">
        <f>VLOOKUP(A1,Data!$A$1:$DZU$10000,445,FALSE)</f>
        <v>#N/A</v>
      </c>
      <c r="C27" s="13" t="e">
        <f>VLOOKUP(A1,Data!$A$1:$DZU$10000,446,FALSE)</f>
        <v>#N/A</v>
      </c>
      <c r="D27" s="13" t="e">
        <f>VLOOKUP(A1,Data!$A$1:$DZU$10000,447,FALSE)</f>
        <v>#N/A</v>
      </c>
      <c r="E27" s="2" t="e">
        <f>VLOOKUP(A1,Data!$A$1:$DZU$10000,448,FALSE)</f>
        <v>#N/A</v>
      </c>
      <c r="F27" s="14" t="e">
        <f>VLOOKUP(A1,Data!$A$1:$DZU$10000,449,FALSE)</f>
        <v>#N/A</v>
      </c>
      <c r="G27" s="2" t="e">
        <f>VLOOKUP(A1,Data!$A$1:$DZU$10000,450,FALSE)</f>
        <v>#N/A</v>
      </c>
      <c r="H27" s="2" t="e">
        <f>VLOOKUP(A1,Data!$A$1:$DZU$10000,451,FALSE)</f>
        <v>#N/A</v>
      </c>
      <c r="I27" s="2" t="e">
        <f>VLOOKUP(A1,Data!$A$1:$DZU$10000,452,FALSE)</f>
        <v>#N/A</v>
      </c>
      <c r="J27" s="2" t="e">
        <f>VLOOKUP(A1,Data!$A$1:$DZU$10000,453,FALSE)</f>
        <v>#N/A</v>
      </c>
      <c r="K27" s="2" t="e">
        <f>VLOOKUP(A1,Data!$A$1:$DZU$10000,454,FALSE)</f>
        <v>#N/A</v>
      </c>
      <c r="L27" s="2" t="e">
        <f>VLOOKUP(A1,Data!$A$1:$DZU$10000,455,FALSE)</f>
        <v>#N/A</v>
      </c>
      <c r="M27" s="2" t="e">
        <f>VLOOKUP(A1,Data!$A$1:$DZU$10000,456,FALSE)</f>
        <v>#N/A</v>
      </c>
      <c r="N27" s="2" t="e">
        <f>VLOOKUP(A1,Data!$A$1:$DZU$10000,457,FALSE)</f>
        <v>#N/A</v>
      </c>
      <c r="O27" s="2" t="e">
        <f>VLOOKUP(A1,Data!$A$1:$DZU$10000,458,FALSE)</f>
        <v>#N/A</v>
      </c>
      <c r="P27" s="2" t="e">
        <f>VLOOKUP(A1,Data!$A$1:$DZU$10000,459,FALSE)</f>
        <v>#N/A</v>
      </c>
      <c r="Q27" s="5" t="e">
        <f>VLOOKUP(A1,Data!$A$1:$DZU$10000,460,FALSE)</f>
        <v>#N/A</v>
      </c>
    </row>
    <row r="28" spans="1:17" ht="15.75" customHeight="1">
      <c r="A28" s="12" t="e">
        <f>VLOOKUP(A1,Data!$A$1:$DZU$10000,461,FALSE)</f>
        <v>#N/A</v>
      </c>
      <c r="B28" s="12" t="e">
        <f>VLOOKUP(A1,Data!$A$1:$DZU$10000,462,FALSE)</f>
        <v>#N/A</v>
      </c>
      <c r="C28" s="13" t="e">
        <f>VLOOKUP(A1,Data!$A$1:$DZU$10000,463,FALSE)</f>
        <v>#N/A</v>
      </c>
      <c r="D28" s="13" t="e">
        <f>VLOOKUP(A1,Data!$A$1:$DZU$10000,464,FALSE)</f>
        <v>#N/A</v>
      </c>
      <c r="E28" s="2" t="e">
        <f>VLOOKUP(A1,Data!$A$1:$DZU$10000,465,FALSE)</f>
        <v>#N/A</v>
      </c>
      <c r="F28" s="14" t="e">
        <f>VLOOKUP(A1,Data!$A$1:$DZU$10000,466,FALSE)</f>
        <v>#N/A</v>
      </c>
      <c r="G28" s="2" t="e">
        <f>VLOOKUP(A1,Data!$A$1:$DZU$10000,467,FALSE)</f>
        <v>#N/A</v>
      </c>
      <c r="H28" s="2" t="e">
        <f>VLOOKUP(A1,Data!$A$1:$DZU$10000,468,FALSE)</f>
        <v>#N/A</v>
      </c>
      <c r="I28" s="2" t="e">
        <f>VLOOKUP(A1,Data!$A$1:$DZU$10000,469,FALSE)</f>
        <v>#N/A</v>
      </c>
      <c r="J28" s="2" t="e">
        <f>VLOOKUP(A1,Data!$A$1:$DZU$10000,470,FALSE)</f>
        <v>#N/A</v>
      </c>
      <c r="K28" s="2" t="e">
        <f>VLOOKUP(A1,Data!$A$1:$DZU$10000,471,FALSE)</f>
        <v>#N/A</v>
      </c>
      <c r="L28" s="2" t="e">
        <f>VLOOKUP(A1,Data!$A$1:$DZU$10000,472,FALSE)</f>
        <v>#N/A</v>
      </c>
      <c r="M28" s="2" t="e">
        <f>VLOOKUP(A1,Data!$A$1:$DZU$10000,473,FALSE)</f>
        <v>#N/A</v>
      </c>
      <c r="N28" s="2" t="e">
        <f>VLOOKUP(A1,Data!$A$1:$DZU$10000,474,FALSE)</f>
        <v>#N/A</v>
      </c>
      <c r="O28" s="2" t="e">
        <f>VLOOKUP(A1,Data!$A$1:$DZU$10000,475,FALSE)</f>
        <v>#N/A</v>
      </c>
      <c r="P28" s="2" t="e">
        <f>VLOOKUP(A1,Data!$A$1:$DZU$10000,476,FALSE)</f>
        <v>#N/A</v>
      </c>
      <c r="Q28" s="5" t="e">
        <f>VLOOKUP(A1,Data!$A$1:$DZU$10000,477,FALSE)</f>
        <v>#N/A</v>
      </c>
    </row>
    <row r="29" spans="1:17" ht="15.75" customHeight="1">
      <c r="A29" s="12" t="e">
        <f>VLOOKUP(A1,Data!$A$1:$DZU$10000,478,FALSE)</f>
        <v>#N/A</v>
      </c>
      <c r="B29" s="12" t="e">
        <f>VLOOKUP(A1,Data!$A$1:$DZU$10000,479,FALSE)</f>
        <v>#N/A</v>
      </c>
      <c r="C29" s="13" t="e">
        <f>VLOOKUP(A1,Data!$A$1:$DZU$10000,480,FALSE)</f>
        <v>#N/A</v>
      </c>
      <c r="D29" s="13" t="e">
        <f>VLOOKUP(A1,Data!$A$1:$DZU$10000,481,FALSE)</f>
        <v>#N/A</v>
      </c>
      <c r="E29" s="2" t="e">
        <f>VLOOKUP(A1,Data!$A$1:$DZU$10000,482,FALSE)</f>
        <v>#N/A</v>
      </c>
      <c r="F29" s="14" t="e">
        <f>VLOOKUP(A1,Data!$A$1:$DZU$10000,483,FALSE)</f>
        <v>#N/A</v>
      </c>
      <c r="G29" s="2" t="e">
        <f>VLOOKUP(A1,Data!$A$1:$DZU$10000,484,FALSE)</f>
        <v>#N/A</v>
      </c>
      <c r="H29" s="2" t="e">
        <f>VLOOKUP(A1,Data!$A$1:$DZU$10000,485,FALSE)</f>
        <v>#N/A</v>
      </c>
      <c r="I29" s="2" t="e">
        <f>VLOOKUP(A1,Data!$A$1:$DZU$10000,486,FALSE)</f>
        <v>#N/A</v>
      </c>
      <c r="J29" s="2" t="e">
        <f>VLOOKUP(A1,Data!$A$1:$DZU$10000,487,FALSE)</f>
        <v>#N/A</v>
      </c>
      <c r="K29" s="2" t="e">
        <f>VLOOKUP(A1,Data!$A$1:$DZU$10000,488,FALSE)</f>
        <v>#N/A</v>
      </c>
      <c r="L29" s="2" t="e">
        <f>VLOOKUP(A1,Data!$A$1:$DZU$10000,489,FALSE)</f>
        <v>#N/A</v>
      </c>
      <c r="M29" s="2" t="e">
        <f>VLOOKUP(A1,Data!$A$1:$DZU$10000,490,FALSE)</f>
        <v>#N/A</v>
      </c>
      <c r="N29" s="2" t="e">
        <f>VLOOKUP(A1,Data!$A$1:$DZU$10000,491,FALSE)</f>
        <v>#N/A</v>
      </c>
      <c r="O29" s="2" t="e">
        <f>VLOOKUP(A1,Data!$A$1:$DZU$10000,492,FALSE)</f>
        <v>#N/A</v>
      </c>
      <c r="P29" s="2" t="e">
        <f>VLOOKUP(A1,Data!$A$1:$DZU$10000,493,FALSE)</f>
        <v>#N/A</v>
      </c>
      <c r="Q29" s="5" t="e">
        <f>VLOOKUP(A1,Data!$A$1:$DZU$10000,494,FALSE)</f>
        <v>#N/A</v>
      </c>
    </row>
    <row r="30" spans="1:17" ht="15.75" customHeight="1">
      <c r="A30" s="12" t="e">
        <f>VLOOKUP(A1,Data!$A$1:$DZU$10000,495,FALSE)</f>
        <v>#N/A</v>
      </c>
      <c r="B30" s="12" t="e">
        <f>VLOOKUP(A1,Data!$A$1:$DZU$10000,496,FALSE)</f>
        <v>#N/A</v>
      </c>
      <c r="C30" s="13" t="e">
        <f>VLOOKUP(A1,Data!$A$1:$DZU$10000,497,FALSE)</f>
        <v>#N/A</v>
      </c>
      <c r="D30" s="13" t="e">
        <f>VLOOKUP(A1,Data!$A$1:$DZU$10000,498,FALSE)</f>
        <v>#N/A</v>
      </c>
      <c r="E30" s="2" t="e">
        <f>VLOOKUP(A1,Data!$A$1:$DZU$10000,499,FALSE)</f>
        <v>#N/A</v>
      </c>
      <c r="F30" s="14" t="e">
        <f>VLOOKUP(A1,Data!$A$1:$DZU$10000,500,FALSE)</f>
        <v>#N/A</v>
      </c>
      <c r="G30" s="2" t="e">
        <f>VLOOKUP(A1,Data!$A$1:$DZU$10000,501,FALSE)</f>
        <v>#N/A</v>
      </c>
      <c r="H30" s="2" t="e">
        <f>VLOOKUP(A1,Data!$A$1:$DZU$10000,502,FALSE)</f>
        <v>#N/A</v>
      </c>
      <c r="I30" s="2" t="e">
        <f>VLOOKUP(A1,Data!$A$1:$DZU$10000,503,FALSE)</f>
        <v>#N/A</v>
      </c>
      <c r="J30" s="2" t="e">
        <f>VLOOKUP(A1,Data!$A$1:$DZU$10000,504,FALSE)</f>
        <v>#N/A</v>
      </c>
      <c r="K30" s="2" t="e">
        <f>VLOOKUP(A1,Data!$A$1:$DZU$10000,505,FALSE)</f>
        <v>#N/A</v>
      </c>
      <c r="L30" s="2" t="e">
        <f>VLOOKUP(A1,Data!$A$1:$DZU$10000,506,FALSE)</f>
        <v>#N/A</v>
      </c>
      <c r="M30" s="2" t="e">
        <f>VLOOKUP(A1,Data!$A$1:$DZU$10000,507,FALSE)</f>
        <v>#N/A</v>
      </c>
      <c r="N30" s="2" t="e">
        <f>VLOOKUP(A1,Data!$A$1:$DZU$10000,508,FALSE)</f>
        <v>#N/A</v>
      </c>
      <c r="O30" s="2" t="e">
        <f>VLOOKUP(A1,Data!$A$1:$DZU$10000,509,FALSE)</f>
        <v>#N/A</v>
      </c>
      <c r="P30" s="2" t="e">
        <f>VLOOKUP(A1,Data!$A$1:$DZU$10000,510,FALSE)</f>
        <v>#N/A</v>
      </c>
      <c r="Q30" s="5" t="e">
        <f>VLOOKUP(A1,Data!$A$1:$DZU$10000,511,FALSE)</f>
        <v>#N/A</v>
      </c>
    </row>
    <row r="31" spans="1:17" ht="15.75" customHeight="1">
      <c r="A31" s="2" t="e">
        <f>VLOOKUP(A1,Data!$A$1:$DZU$10000,512,FALSE)</f>
        <v>#N/A</v>
      </c>
      <c r="B31" s="2" t="e">
        <f>VLOOKUP(A1,Data!$A$1:$DZU$10000,513,FALSE)</f>
        <v>#N/A</v>
      </c>
      <c r="C31" s="2" t="e">
        <f>VLOOKUP(A1,Data!$A$1:$DZU$10000,514,FALSE)</f>
        <v>#N/A</v>
      </c>
      <c r="D31" s="2" t="e">
        <f>VLOOKUP(A1,Data!$A$1:$DZU$10000,515,FALSE)</f>
        <v>#N/A</v>
      </c>
      <c r="E31" s="2" t="e">
        <f>VLOOKUP(A1,Data!$A$1:$DZU$10000,516,FALSE)</f>
        <v>#N/A</v>
      </c>
      <c r="F31" s="2" t="e">
        <f>VLOOKUP(A1,Data!$A$1:$DZU$10000,517,FALSE)</f>
        <v>#N/A</v>
      </c>
      <c r="G31" s="2" t="e">
        <f>VLOOKUP(A1,Data!$A$1:$DZU$10000,518,FALSE)</f>
        <v>#N/A</v>
      </c>
      <c r="H31" s="2" t="e">
        <f>VLOOKUP(A1,Data!$A$1:$DZU$10000,519,FALSE)</f>
        <v>#N/A</v>
      </c>
      <c r="I31" s="2" t="e">
        <f>VLOOKUP(A1,Data!$A$1:$DZU$10000,520,FALSE)</f>
        <v>#N/A</v>
      </c>
      <c r="J31" s="2" t="e">
        <f>VLOOKUP(A1,Data!$A$1:$DZU$10000,521,FALSE)</f>
        <v>#N/A</v>
      </c>
      <c r="K31" s="2" t="e">
        <f>VLOOKUP(A1,Data!$A$1:$DZU$10000,522,FALSE)</f>
        <v>#N/A</v>
      </c>
      <c r="L31" s="2" t="e">
        <f>VLOOKUP(A1,Data!$A$1:$DZU$10000,523,FALSE)</f>
        <v>#N/A</v>
      </c>
      <c r="M31" s="2" t="e">
        <f>VLOOKUP(A1,Data!$A$1:$DZU$10000,524,FALSE)</f>
        <v>#N/A</v>
      </c>
      <c r="N31" s="2" t="e">
        <f>VLOOKUP(A1,Data!$A$1:$DZU$10000,525,FALSE)</f>
        <v>#N/A</v>
      </c>
      <c r="O31" s="2" t="e">
        <f>VLOOKUP(A1,Data!$A$1:$DZU$10000,526,FALSE)</f>
        <v>#N/A</v>
      </c>
      <c r="P31" s="2" t="e">
        <f>VLOOKUP(A1,Data!$A$1:$DZU$10000,527,FALSE)</f>
        <v>#N/A</v>
      </c>
      <c r="Q31" s="5" t="e">
        <f>VLOOKUP(A1,Data!$A$1:$DZU$10000,528,FALSE)</f>
        <v>#N/A</v>
      </c>
    </row>
    <row r="32" spans="1:17">
      <c r="A32" s="2" t="e">
        <f>VLOOKUP(A1,Data!$A$1:$DZU$10000,529,FALSE)</f>
        <v>#N/A</v>
      </c>
      <c r="B32" s="2" t="e">
        <f>VLOOKUP(A1,Data!$A$1:$DZU$10000,530,FALSE)</f>
        <v>#N/A</v>
      </c>
      <c r="C32" s="9" t="e">
        <f>VLOOKUP(A1,Data!$A$1:$DZU$10000,531,FALSE)</f>
        <v>#N/A</v>
      </c>
      <c r="D32" s="15" t="e">
        <f>VLOOKUP(A1,Data!$A$1:$DZU$10000,532,FALSE)</f>
        <v>#N/A</v>
      </c>
      <c r="E32" s="2" t="e">
        <f>VLOOKUP(A1,Data!$A$1:$DZU$10000,533,FALSE)</f>
        <v>#N/A</v>
      </c>
      <c r="F32" s="2" t="e">
        <f>VLOOKUP(A1,Data!$A$1:$DZU$10000,534,FALSE)</f>
        <v>#N/A</v>
      </c>
      <c r="G32" s="2" t="e">
        <f>VLOOKUP(A1,Data!$A$1:$DZU$10000,535,FALSE)</f>
        <v>#N/A</v>
      </c>
      <c r="H32" s="2" t="e">
        <f>VLOOKUP(A1,Data!$A$1:$DZU$10000,536,FALSE)</f>
        <v>#N/A</v>
      </c>
      <c r="I32" s="2" t="e">
        <f>VLOOKUP(A1,Data!$A$1:$DZU$10000,537,FALSE)</f>
        <v>#N/A</v>
      </c>
      <c r="J32" s="2" t="e">
        <f>VLOOKUP(A1,Data!$A$1:$DZU$10000,538,FALSE)</f>
        <v>#N/A</v>
      </c>
      <c r="K32" s="2" t="e">
        <f>VLOOKUP(A1,Data!$A$1:$DZU$10000,539,FALSE)</f>
        <v>#N/A</v>
      </c>
      <c r="L32" s="2" t="e">
        <f>VLOOKUP(A1,Data!$A$1:$DZU$10000,540,FALSE)</f>
        <v>#N/A</v>
      </c>
      <c r="M32" s="2" t="e">
        <f>VLOOKUP(A1,Data!$A$1:$DZU$10000,541,FALSE)</f>
        <v>#N/A</v>
      </c>
      <c r="N32" s="2" t="e">
        <f>VLOOKUP(A1,Data!$A$1:$DZU$10000,542,FALSE)</f>
        <v>#N/A</v>
      </c>
      <c r="O32" s="2" t="e">
        <f>VLOOKUP(A1,Data!$A$1:$DZU$10000,543,FALSE)</f>
        <v>#N/A</v>
      </c>
      <c r="P32" s="2" t="e">
        <f>VLOOKUP(A1,Data!$A$1:$DZU$10000,544,FALSE)</f>
        <v>#N/A</v>
      </c>
      <c r="Q32" s="5" t="e">
        <f>VLOOKUP(A1,Data!$A$1:$DZU$10000,545,FALSE)</f>
        <v>#N/A</v>
      </c>
    </row>
    <row r="33" spans="1:17">
      <c r="A33" s="2" t="e">
        <f>VLOOKUP(A1,Data!$A$1:$DZU$10000,546,FALSE)</f>
        <v>#N/A</v>
      </c>
      <c r="B33" s="2" t="e">
        <f>VLOOKUP(A1,Data!$A$1:$DZU$10000,547,FALSE)</f>
        <v>#N/A</v>
      </c>
      <c r="C33" s="9" t="e">
        <f>VLOOKUP(A1,Data!$A$1:$DZU$10000,548,FALSE)</f>
        <v>#N/A</v>
      </c>
      <c r="D33" s="15" t="e">
        <f>VLOOKUP(A1,Data!$A$1:$DZU$10000,549,FALSE)</f>
        <v>#N/A</v>
      </c>
      <c r="E33" s="2" t="e">
        <f>VLOOKUP(A1,Data!$A$1:$DZU$10000,550,FALSE)</f>
        <v>#N/A</v>
      </c>
      <c r="F33" s="2" t="e">
        <f>VLOOKUP(A1,Data!$A$1:$DZU$10000,551,FALSE)</f>
        <v>#N/A</v>
      </c>
      <c r="G33" s="2" t="e">
        <f>VLOOKUP(A1,Data!$A$1:$DZU$10000,552,FALSE)</f>
        <v>#N/A</v>
      </c>
      <c r="H33" s="2" t="e">
        <f>VLOOKUP(A1,Data!$A$1:$DZU$10000,553,FALSE)</f>
        <v>#N/A</v>
      </c>
      <c r="I33" s="2" t="e">
        <f>VLOOKUP(A1,Data!$A$1:$DZU$10000,554,FALSE)</f>
        <v>#N/A</v>
      </c>
      <c r="J33" s="2" t="e">
        <f>VLOOKUP(A1,Data!$A$1:$DZU$10000,555,FALSE)</f>
        <v>#N/A</v>
      </c>
      <c r="K33" s="2" t="e">
        <f>VLOOKUP(A1,Data!$A$1:$DZU$10000,556,FALSE)</f>
        <v>#N/A</v>
      </c>
      <c r="L33" s="2" t="e">
        <f>VLOOKUP(A1,Data!$A$1:$DZU$10000,557,FALSE)</f>
        <v>#N/A</v>
      </c>
      <c r="M33" s="2" t="e">
        <f>VLOOKUP(A1,Data!$A$1:$DZU$10000,558,FALSE)</f>
        <v>#N/A</v>
      </c>
      <c r="N33" s="2" t="e">
        <f>VLOOKUP(A1,Data!$A$1:$DZU$10000,559,FALSE)</f>
        <v>#N/A</v>
      </c>
      <c r="O33" s="2" t="e">
        <f>VLOOKUP(A1,Data!$A$1:$DZU$10000,560,FALSE)</f>
        <v>#N/A</v>
      </c>
      <c r="P33" s="2" t="e">
        <f>VLOOKUP(A1,Data!$A$1:$DZU$10000,561,FALSE)</f>
        <v>#N/A</v>
      </c>
      <c r="Q33" s="5" t="e">
        <f>VLOOKUP(A1,Data!$A$1:$DZU$10000,562,FALSE)</f>
        <v>#N/A</v>
      </c>
    </row>
    <row r="34" spans="1:17">
      <c r="A34" s="2" t="e">
        <f>VLOOKUP(A1,Data!$A$1:$DZU$10000,563,FALSE)</f>
        <v>#N/A</v>
      </c>
      <c r="B34" s="2" t="e">
        <f>VLOOKUP(A1,Data!$A$1:$DZU$10000,564,FALSE)</f>
        <v>#N/A</v>
      </c>
      <c r="C34" s="9" t="e">
        <f>VLOOKUP(A1,Data!$A$1:$DZU$10000,565,FALSE)</f>
        <v>#N/A</v>
      </c>
      <c r="D34" s="15" t="e">
        <f>VLOOKUP(A1,Data!$A$1:$DZU$10000,566,FALSE)</f>
        <v>#N/A</v>
      </c>
      <c r="E34" s="2" t="e">
        <f>VLOOKUP(A1,Data!$A$1:$DZU$10000,567,FALSE)</f>
        <v>#N/A</v>
      </c>
      <c r="F34" s="2" t="e">
        <f>VLOOKUP(A1,Data!$A$1:$DZU$10000,568,FALSE)</f>
        <v>#N/A</v>
      </c>
      <c r="G34" s="2" t="e">
        <f>VLOOKUP(A1,Data!$A$1:$DZU$10000,569,FALSE)</f>
        <v>#N/A</v>
      </c>
      <c r="H34" s="2" t="e">
        <f>VLOOKUP(A1,Data!$A$1:$DZU$10000,570,FALSE)</f>
        <v>#N/A</v>
      </c>
      <c r="I34" s="2" t="e">
        <f>VLOOKUP(A1,Data!$A$1:$DZU$10000,571,FALSE)</f>
        <v>#N/A</v>
      </c>
      <c r="J34" s="2" t="e">
        <f>VLOOKUP(A1,Data!$A$1:$DZU$10000,572,FALSE)</f>
        <v>#N/A</v>
      </c>
      <c r="K34" s="2" t="e">
        <f>VLOOKUP(A1,Data!$A$1:$DZU$10000,573,FALSE)</f>
        <v>#N/A</v>
      </c>
      <c r="L34" s="2" t="e">
        <f>VLOOKUP(A1,Data!$A$1:$DZU$10000,574,FALSE)</f>
        <v>#N/A</v>
      </c>
      <c r="M34" s="2" t="e">
        <f>VLOOKUP(A1,Data!$A$1:$DZU$10000,575,FALSE)</f>
        <v>#N/A</v>
      </c>
      <c r="N34" s="2" t="e">
        <f>VLOOKUP(A1,Data!$A$1:$DZU$10000,576,FALSE)</f>
        <v>#N/A</v>
      </c>
      <c r="O34" s="2" t="e">
        <f>VLOOKUP(A1,Data!$A$1:$DZU$10000,577,FALSE)</f>
        <v>#N/A</v>
      </c>
      <c r="P34" s="2" t="e">
        <f>VLOOKUP(A1,Data!$A$1:$DZU$10000,578,FALSE)</f>
        <v>#N/A</v>
      </c>
      <c r="Q34" s="5" t="e">
        <f>VLOOKUP(A1,Data!$A$1:$DZU$10000,579,FALSE)</f>
        <v>#N/A</v>
      </c>
    </row>
    <row r="35" spans="1:17" ht="15.75" customHeight="1">
      <c r="A35" s="2" t="e">
        <f>VLOOKUP(A1,Data!$A$1:$DZU$10000,580,FALSE)</f>
        <v>#N/A</v>
      </c>
      <c r="B35" s="2" t="e">
        <f>VLOOKUP(A1,Data!$A$1:$DZU$10000,581,FALSE)</f>
        <v>#N/A</v>
      </c>
      <c r="C35" s="2" t="e">
        <f>VLOOKUP(A1,Data!$A$1:$DZU$10000,582,FALSE)</f>
        <v>#N/A</v>
      </c>
      <c r="D35" s="2" t="e">
        <f>VLOOKUP(A1,Data!$A$1:$DZU$10000,583,FALSE)</f>
        <v>#N/A</v>
      </c>
      <c r="E35" s="2" t="e">
        <f>VLOOKUP(A1,Data!$A$1:$DZU$10000,584,FALSE)</f>
        <v>#N/A</v>
      </c>
      <c r="F35" s="2" t="e">
        <f>VLOOKUP(A1,Data!$A$1:$DZU$10000,585,FALSE)</f>
        <v>#N/A</v>
      </c>
      <c r="G35" s="2" t="e">
        <f>VLOOKUP(A1,Data!$A$1:$DZU$10000,586,FALSE)</f>
        <v>#N/A</v>
      </c>
      <c r="H35" s="2" t="e">
        <f>VLOOKUP(A1,Data!$A$1:$DZU$10000,587,FALSE)</f>
        <v>#N/A</v>
      </c>
      <c r="I35" s="2" t="e">
        <f>VLOOKUP(A1,Data!$A$1:$DZU$10000,588,FALSE)</f>
        <v>#N/A</v>
      </c>
      <c r="J35" s="2" t="e">
        <f>VLOOKUP(A1,Data!$A$1:$DZU$10000,589,FALSE)</f>
        <v>#N/A</v>
      </c>
      <c r="K35" s="2" t="e">
        <f>VLOOKUP(A1,Data!$A$1:$DZU$10000,590,FALSE)</f>
        <v>#N/A</v>
      </c>
      <c r="L35" s="2" t="e">
        <f>VLOOKUP(A1,Data!$A$1:$DZU$10000,591,FALSE)</f>
        <v>#N/A</v>
      </c>
      <c r="M35" s="2" t="e">
        <f>VLOOKUP(A1,Data!$A$1:$DZU$10000,592,FALSE)</f>
        <v>#N/A</v>
      </c>
      <c r="N35" s="2" t="e">
        <f>VLOOKUP(A1,Data!$A$1:$DZU$10000,593,FALSE)</f>
        <v>#N/A</v>
      </c>
      <c r="O35" s="2" t="e">
        <f>VLOOKUP(A1,Data!$A$1:$DZU$10000,594,FALSE)</f>
        <v>#N/A</v>
      </c>
      <c r="P35" s="2" t="e">
        <f>VLOOKUP(A1,Data!$A$1:$DZU$10000,595,FALSE)</f>
        <v>#N/A</v>
      </c>
      <c r="Q35" s="5" t="e">
        <f>VLOOKUP(A1,Data!$A$1:$DZU$10000,596,FALSE)</f>
        <v>#N/A</v>
      </c>
    </row>
    <row r="36" spans="1:17">
      <c r="A36" s="44" t="e">
        <f>VLOOKUP(A1,Data!$A$1:$DZU$10000,597,FALSE)</f>
        <v>#N/A</v>
      </c>
      <c r="B36" s="39"/>
      <c r="C36" s="39"/>
      <c r="D36" s="39"/>
      <c r="E36" s="39"/>
      <c r="F36" s="2" t="e">
        <f>VLOOKUP(A1,Data!$A$1:$DZU$10000,602,FALSE)</f>
        <v>#N/A</v>
      </c>
      <c r="G36" s="2" t="e">
        <f>VLOOKUP(A1,Data!$A$1:$DZU$10000,603,FALSE)</f>
        <v>#N/A</v>
      </c>
      <c r="H36" s="2" t="e">
        <f>VLOOKUP(A1,Data!$A$1:$DZU$10000,604,FALSE)</f>
        <v>#N/A</v>
      </c>
      <c r="I36" s="2" t="e">
        <f>VLOOKUP(A1,Data!$A$1:$DZU$10000,605,FALSE)</f>
        <v>#N/A</v>
      </c>
      <c r="J36" s="2" t="e">
        <f>VLOOKUP(A1,Data!$A$1:$DZU$10000,606,FALSE)</f>
        <v>#N/A</v>
      </c>
      <c r="K36" s="2" t="e">
        <f>VLOOKUP(A1,Data!$A$1:$DZU$10000,607,FALSE)</f>
        <v>#N/A</v>
      </c>
      <c r="L36" s="2" t="e">
        <f>VLOOKUP(A1,Data!$A$1:$DZU$10000,608,FALSE)</f>
        <v>#N/A</v>
      </c>
      <c r="M36" s="2" t="e">
        <f>VLOOKUP(A1,Data!$A$1:$DZU$10000,609,FALSE)</f>
        <v>#N/A</v>
      </c>
      <c r="N36" s="2" t="e">
        <f>VLOOKUP(A1,Data!$A$1:$DZU$10000,610,FALSE)</f>
        <v>#N/A</v>
      </c>
      <c r="O36" s="2" t="e">
        <f>VLOOKUP(A1,Data!$A$1:$DZU$10000,611,FALSE)</f>
        <v>#N/A</v>
      </c>
      <c r="P36" s="2" t="e">
        <f>VLOOKUP(A1,Data!$A$1:$DZU$10000,612,FALSE)</f>
        <v>#N/A</v>
      </c>
      <c r="Q36" s="5" t="e">
        <f>VLOOKUP(A1,Data!$A$1:$DZU$10000,613,FALSE)</f>
        <v>#N/A</v>
      </c>
    </row>
    <row r="37" spans="1:17" ht="15.75" customHeight="1">
      <c r="A37" s="40" t="e">
        <f>VLOOKUP(A1,Data!$A$1:$DZU$10000,614,FALSE)</f>
        <v>#N/A</v>
      </c>
      <c r="B37" s="39"/>
      <c r="C37" s="39"/>
      <c r="D37" s="39"/>
      <c r="E37" s="39"/>
      <c r="F37" s="2" t="e">
        <f>VLOOKUP(A1,Data!$A$1:$DZU$10000,619,FALSE)</f>
        <v>#N/A</v>
      </c>
      <c r="G37" s="2" t="e">
        <f>VLOOKUP(A1,Data!$A$1:$DZU$10000,620,FALSE)</f>
        <v>#N/A</v>
      </c>
      <c r="H37" s="2" t="e">
        <f>VLOOKUP(A1,Data!$A$1:$DZU$10000,621,FALSE)</f>
        <v>#N/A</v>
      </c>
      <c r="I37" s="2" t="e">
        <f>VLOOKUP(A1,Data!$A$1:$DZU$10000,622,FALSE)</f>
        <v>#N/A</v>
      </c>
      <c r="J37" s="2" t="e">
        <f>VLOOKUP(A1,Data!$A$1:$DZU$10000,623,FALSE)</f>
        <v>#N/A</v>
      </c>
      <c r="K37" s="2" t="e">
        <f>VLOOKUP(A1,Data!$A$1:$DZU$10000,624,FALSE)</f>
        <v>#N/A</v>
      </c>
      <c r="L37" s="2" t="e">
        <f>VLOOKUP(A1,Data!$A$1:$DZU$10000,625,FALSE)</f>
        <v>#N/A</v>
      </c>
      <c r="M37" s="2" t="e">
        <f>VLOOKUP(A1,Data!$A$1:$DZU$10000,626,FALSE)</f>
        <v>#N/A</v>
      </c>
      <c r="N37" s="2" t="e">
        <f>VLOOKUP(A1,Data!$A$1:$DZU$10000,627,FALSE)</f>
        <v>#N/A</v>
      </c>
      <c r="O37" s="2" t="e">
        <f>VLOOKUP(A1,Data!$A$1:$DZU$10000,628,FALSE)</f>
        <v>#N/A</v>
      </c>
      <c r="P37" s="2" t="e">
        <f>VLOOKUP(A1,Data!$A$1:$DZU$10000,629,FALSE)</f>
        <v>#N/A</v>
      </c>
      <c r="Q37" s="5" t="e">
        <f>VLOOKUP(A1,Data!$A$1:$DZU$10000,630,FALSE)</f>
        <v>#N/A</v>
      </c>
    </row>
    <row r="38" spans="1:17">
      <c r="A38" s="16" t="e">
        <f>VLOOKUP(A1,Data!$A$1:$DZU$10000,631,FALSE)</f>
        <v>#N/A</v>
      </c>
      <c r="B38" s="7" t="e">
        <f>VLOOKUP(A1,Data!$A$1:$DZU$10000,632,FALSE)</f>
        <v>#N/A</v>
      </c>
      <c r="C38" s="7" t="e">
        <f>VLOOKUP(A1,Data!$A$1:$DZU$10000,633,FALSE)</f>
        <v>#N/A</v>
      </c>
      <c r="D38" s="2" t="e">
        <f>VLOOKUP(A1,Data!$A$1:$DZU$10000,634,FALSE)</f>
        <v>#N/A</v>
      </c>
      <c r="E38" s="2" t="e">
        <f>VLOOKUP(A1,Data!$A$1:$DZU$10000,635,FALSE)</f>
        <v>#N/A</v>
      </c>
      <c r="F38" s="2" t="e">
        <f>VLOOKUP(A1,Data!$A$1:$DZU$10000,636,FALSE)</f>
        <v>#N/A</v>
      </c>
      <c r="G38" s="2" t="e">
        <f>VLOOKUP(A1,Data!$A$1:$DZU$10000,637,FALSE)</f>
        <v>#N/A</v>
      </c>
      <c r="H38" s="2" t="e">
        <f>VLOOKUP(A1,Data!$A$1:$DZU$10000,638,FALSE)</f>
        <v>#N/A</v>
      </c>
      <c r="I38" s="2" t="e">
        <f>VLOOKUP(A1,Data!$A$1:$DZU$10000,639,FALSE)</f>
        <v>#N/A</v>
      </c>
      <c r="J38" s="2" t="e">
        <f>VLOOKUP(A1,Data!$A$1:$DZU$10000,640,FALSE)</f>
        <v>#N/A</v>
      </c>
      <c r="K38" s="2" t="e">
        <f>VLOOKUP(A1,Data!$A$1:$DZU$10000,641,FALSE)</f>
        <v>#N/A</v>
      </c>
      <c r="L38" s="2" t="e">
        <f>VLOOKUP(A1,Data!$A$1:$DZU$10000,642,FALSE)</f>
        <v>#N/A</v>
      </c>
      <c r="M38" s="2" t="e">
        <f>VLOOKUP(A1,Data!$A$1:$DZU$10000,643,FALSE)</f>
        <v>#N/A</v>
      </c>
      <c r="N38" s="2" t="e">
        <f>VLOOKUP(A1,Data!$A$1:$DZU$10000,644,FALSE)</f>
        <v>#N/A</v>
      </c>
      <c r="O38" s="2" t="e">
        <f>VLOOKUP(A1,Data!$A$1:$DZU$10000,645,FALSE)</f>
        <v>#N/A</v>
      </c>
      <c r="P38" s="2" t="e">
        <f>VLOOKUP(A1,Data!$A$1:$DZU$10000,646,FALSE)</f>
        <v>#N/A</v>
      </c>
      <c r="Q38" s="5" t="e">
        <f>VLOOKUP(A1,Data!$A$1:$DZU$10000,647,FALSE)</f>
        <v>#N/A</v>
      </c>
    </row>
    <row r="39" spans="1:17" ht="15.75" customHeight="1">
      <c r="A39" s="17" t="e">
        <f>VLOOKUP(A1,Data!$A$1:$DZU$10000,648,FALSE)</f>
        <v>#N/A</v>
      </c>
      <c r="B39" s="2" t="e">
        <f>VLOOKUP(A1,Data!$A$1:$DZU$10000,649,FALSE)</f>
        <v>#N/A</v>
      </c>
      <c r="C39" s="2" t="e">
        <f>VLOOKUP(A1,Data!$A$1:$DZU$10000,650,FALSE)</f>
        <v>#N/A</v>
      </c>
      <c r="D39" s="2" t="e">
        <f>VLOOKUP(A1,Data!$A$1:$DZU$10000,651,FALSE)</f>
        <v>#N/A</v>
      </c>
      <c r="E39" s="2" t="e">
        <f>VLOOKUP(A1,Data!$A$1:$DZU$10000,652,FALSE)</f>
        <v>#N/A</v>
      </c>
      <c r="F39" s="2" t="e">
        <f>VLOOKUP(A1,Data!$A$1:$DZU$10000,653,FALSE)</f>
        <v>#N/A</v>
      </c>
      <c r="G39" s="2" t="e">
        <f>VLOOKUP(A1,Data!$A$1:$DZU$10000,654,FALSE)</f>
        <v>#N/A</v>
      </c>
      <c r="H39" s="2" t="e">
        <f>VLOOKUP(A1,Data!$A$1:$DZU$10000,655,FALSE)</f>
        <v>#N/A</v>
      </c>
      <c r="I39" s="2" t="e">
        <f>VLOOKUP(A1,Data!$A$1:$DZU$10000,656,FALSE)</f>
        <v>#N/A</v>
      </c>
      <c r="J39" s="2" t="e">
        <f>VLOOKUP(A1,Data!$A$1:$DZU$10000,657,FALSE)</f>
        <v>#N/A</v>
      </c>
      <c r="K39" s="2" t="e">
        <f>VLOOKUP(A1,Data!$A$1:$DZU$10000,658,FALSE)</f>
        <v>#N/A</v>
      </c>
      <c r="L39" s="2" t="e">
        <f>VLOOKUP(A1,Data!$A$1:$DZU$10000,659,FALSE)</f>
        <v>#N/A</v>
      </c>
      <c r="M39" s="2" t="e">
        <f>VLOOKUP(A1,Data!$A$1:$DZU$10000,660,FALSE)</f>
        <v>#N/A</v>
      </c>
      <c r="N39" s="2" t="e">
        <f>VLOOKUP(A1,Data!$A$1:$DZU$10000,661,FALSE)</f>
        <v>#N/A</v>
      </c>
      <c r="O39" s="2" t="e">
        <f>VLOOKUP(A1,Data!$A$1:$DZU$10000,662,FALSE)</f>
        <v>#N/A</v>
      </c>
      <c r="P39" s="2" t="e">
        <f>VLOOKUP(A1,Data!$A$1:$DZU$10000,663,FALSE)</f>
        <v>#N/A</v>
      </c>
      <c r="Q39" s="5" t="e">
        <f>VLOOKUP(A1,Data!$A$1:$DZU$10000,664,FALSE)</f>
        <v>#N/A</v>
      </c>
    </row>
    <row r="40" spans="1:17" ht="12.5">
      <c r="A40" s="17" t="e">
        <f>VLOOKUP(A1,Data!$A$1:$DZU$10000,665,FALSE)</f>
        <v>#N/A</v>
      </c>
      <c r="B40" s="2" t="e">
        <f>VLOOKUP(A1,Data!$A$1:$DZU$10000,666,FALSE)</f>
        <v>#N/A</v>
      </c>
      <c r="C40" s="2" t="e">
        <f>VLOOKUP(A1,Data!$A$1:$DZU$10000,667,FALSE)</f>
        <v>#N/A</v>
      </c>
      <c r="D40" s="2" t="e">
        <f>VLOOKUP(A1,Data!$A$1:$DZU$10000,668,FALSE)</f>
        <v>#N/A</v>
      </c>
      <c r="E40" s="2" t="e">
        <f>VLOOKUP(A1,Data!$A$1:$DZU$10000,669,FALSE)</f>
        <v>#N/A</v>
      </c>
      <c r="F40" s="2" t="e">
        <f>VLOOKUP(A1,Data!$A$1:$DZU$10000,670,FALSE)</f>
        <v>#N/A</v>
      </c>
      <c r="G40" s="2" t="e">
        <f>VLOOKUP(A1,Data!$A$1:$DZU$10000,671,FALSE)</f>
        <v>#N/A</v>
      </c>
      <c r="H40" s="2" t="e">
        <f>VLOOKUP(A1,Data!$A$1:$DZU$10000,672,FALSE)</f>
        <v>#N/A</v>
      </c>
      <c r="I40" s="2" t="e">
        <f>VLOOKUP(A1,Data!$A$1:$DZU$10000,673,FALSE)</f>
        <v>#N/A</v>
      </c>
      <c r="J40" s="2" t="e">
        <f>VLOOKUP(A1,Data!$A$1:$DZU$10000,674,FALSE)</f>
        <v>#N/A</v>
      </c>
      <c r="K40" s="2" t="e">
        <f>VLOOKUP(A1,Data!$A$1:$DZU$10000,675,FALSE)</f>
        <v>#N/A</v>
      </c>
      <c r="L40" s="2" t="e">
        <f>VLOOKUP(A1,Data!$A$1:$DZU$10000,676,FALSE)</f>
        <v>#N/A</v>
      </c>
      <c r="M40" s="2" t="e">
        <f>VLOOKUP(A1,Data!$A$1:$DZU$10000,677,FALSE)</f>
        <v>#N/A</v>
      </c>
      <c r="N40" s="2" t="e">
        <f>VLOOKUP(A1,Data!$A$1:$DZU$10000,678,FALSE)</f>
        <v>#N/A</v>
      </c>
      <c r="O40" s="2" t="e">
        <f>VLOOKUP(A1,Data!$A$1:$DZU$10000,679,FALSE)</f>
        <v>#N/A</v>
      </c>
      <c r="P40" s="2" t="e">
        <f>VLOOKUP(A1,Data!$A$1:$DZU$10000,680,FALSE)</f>
        <v>#N/A</v>
      </c>
      <c r="Q40" s="5" t="e">
        <f>VLOOKUP(A1,Data!$A$1:$DZU$10000,681,FALSE)</f>
        <v>#N/A</v>
      </c>
    </row>
    <row r="41" spans="1:17" ht="12.5">
      <c r="A41" s="17" t="e">
        <f>VLOOKUP(A1,Data!$A$1:$DZU$10000,682,FALSE)</f>
        <v>#N/A</v>
      </c>
      <c r="B41" s="2" t="e">
        <f>VLOOKUP(A1,Data!$A$1:$DZU$10000,683,FALSE)</f>
        <v>#N/A</v>
      </c>
      <c r="C41" s="2" t="e">
        <f>VLOOKUP(A1,Data!$A$1:$DZU$10000,684,FALSE)</f>
        <v>#N/A</v>
      </c>
      <c r="D41" s="2" t="e">
        <f>VLOOKUP(A1,Data!$A$1:$DZU$10000,685,FALSE)</f>
        <v>#N/A</v>
      </c>
      <c r="E41" s="2" t="e">
        <f>VLOOKUP(A1,Data!$A$1:$DZU$10000,686,FALSE)</f>
        <v>#N/A</v>
      </c>
      <c r="F41" s="2" t="e">
        <f>VLOOKUP(A1,Data!$A$1:$DZU$10000,687,FALSE)</f>
        <v>#N/A</v>
      </c>
      <c r="G41" s="2" t="e">
        <f>VLOOKUP(A1,Data!$A$1:$DZU$10000,688,FALSE)</f>
        <v>#N/A</v>
      </c>
      <c r="H41" s="2" t="e">
        <f>VLOOKUP(A1,Data!$A$1:$DZU$10000,689,FALSE)</f>
        <v>#N/A</v>
      </c>
      <c r="I41" s="2" t="e">
        <f>VLOOKUP(A1,Data!$A$1:$DZU$10000,690,FALSE)</f>
        <v>#N/A</v>
      </c>
      <c r="J41" s="2" t="e">
        <f>VLOOKUP(A1,Data!$A$1:$DZU$10000,691,FALSE)</f>
        <v>#N/A</v>
      </c>
      <c r="K41" s="2" t="e">
        <f>VLOOKUP(A1,Data!$A$1:$DZU$10000,692,FALSE)</f>
        <v>#N/A</v>
      </c>
      <c r="L41" s="2" t="e">
        <f>VLOOKUP(A1,Data!$A$1:$DZU$10000,693,FALSE)</f>
        <v>#N/A</v>
      </c>
      <c r="M41" s="2" t="e">
        <f>VLOOKUP(A1,Data!$A$1:$DZU$10000,694,FALSE)</f>
        <v>#N/A</v>
      </c>
      <c r="N41" s="2" t="e">
        <f>VLOOKUP(A1,Data!$A$1:$DZU$10000,695,FALSE)</f>
        <v>#N/A</v>
      </c>
      <c r="O41" s="2" t="e">
        <f>VLOOKUP(A1,Data!$A$1:$DZU$10000,696,FALSE)</f>
        <v>#N/A</v>
      </c>
      <c r="P41" s="2" t="e">
        <f>VLOOKUP(A1,Data!$A$1:$DZU$10000,697,FALSE)</f>
        <v>#N/A</v>
      </c>
      <c r="Q41" s="5" t="e">
        <f>VLOOKUP(A1,Data!$A$1:$DZU$10000,698,FALSE)</f>
        <v>#N/A</v>
      </c>
    </row>
    <row r="42" spans="1:17" ht="12.5">
      <c r="A42" s="17" t="e">
        <f>VLOOKUP(A1,Data!$A$1:$DZU$10000,699,FALSE)</f>
        <v>#N/A</v>
      </c>
      <c r="B42" s="2" t="e">
        <f>VLOOKUP(A1,Data!$A$1:$DZU$10000,700,FALSE)</f>
        <v>#N/A</v>
      </c>
      <c r="C42" s="2" t="e">
        <f>VLOOKUP(A1,Data!$A$1:$DZU$10000,701,FALSE)</f>
        <v>#N/A</v>
      </c>
      <c r="D42" s="2" t="e">
        <f>VLOOKUP(A1,Data!$A$1:$DZU$10000,702,FALSE)</f>
        <v>#N/A</v>
      </c>
      <c r="E42" s="2" t="e">
        <f>VLOOKUP(A1,Data!$A$1:$DZU$10000,703,FALSE)</f>
        <v>#N/A</v>
      </c>
      <c r="F42" s="2" t="e">
        <f>VLOOKUP(A1,Data!$A$1:$DZU$10000,704,FALSE)</f>
        <v>#N/A</v>
      </c>
      <c r="G42" s="2" t="e">
        <f>VLOOKUP(A1,Data!$A$1:$DZU$10000,705,FALSE)</f>
        <v>#N/A</v>
      </c>
      <c r="H42" s="2" t="e">
        <f>VLOOKUP(A1,Data!$A$1:$DZU$10000,706,FALSE)</f>
        <v>#N/A</v>
      </c>
      <c r="I42" s="2" t="e">
        <f>VLOOKUP(A1,Data!$A$1:$DZU$10000,707,FALSE)</f>
        <v>#N/A</v>
      </c>
      <c r="J42" s="2" t="e">
        <f>VLOOKUP(A1,Data!$A$1:$DZU$10000,708,FALSE)</f>
        <v>#N/A</v>
      </c>
      <c r="K42" s="2" t="e">
        <f>VLOOKUP(A1,Data!$A$1:$DZU$10000,709,FALSE)</f>
        <v>#N/A</v>
      </c>
      <c r="L42" s="2" t="e">
        <f>VLOOKUP(A1,Data!$A$1:$DZU$10000,710,FALSE)</f>
        <v>#N/A</v>
      </c>
      <c r="M42" s="2" t="e">
        <f>VLOOKUP(A1,Data!$A$1:$DZU$10000,711,FALSE)</f>
        <v>#N/A</v>
      </c>
      <c r="N42" s="2" t="e">
        <f>VLOOKUP(A1,Data!$A$1:$DZU$10000,712,FALSE)</f>
        <v>#N/A</v>
      </c>
      <c r="O42" s="2" t="e">
        <f>VLOOKUP(A1,Data!$A$1:$DZU$10000,713,FALSE)</f>
        <v>#N/A</v>
      </c>
      <c r="P42" s="2" t="e">
        <f>VLOOKUP(A1,Data!$A$1:$DZU$10000,714,FALSE)</f>
        <v>#N/A</v>
      </c>
      <c r="Q42" s="5" t="e">
        <f>VLOOKUP(A1,Data!$A$1:$DZU$10000,715,FALSE)</f>
        <v>#N/A</v>
      </c>
    </row>
    <row r="43" spans="1:17" ht="12.5">
      <c r="A43" s="17" t="e">
        <f>VLOOKUP(A1,Data!$A$1:$DZU$10000,716,FALSE)</f>
        <v>#N/A</v>
      </c>
      <c r="B43" s="2" t="e">
        <f>VLOOKUP(A1,Data!$A$1:$DZU$10000,717,FALSE)</f>
        <v>#N/A</v>
      </c>
      <c r="C43" s="2" t="e">
        <f>VLOOKUP(A1,Data!$A$1:$DZU$10000,718,FALSE)</f>
        <v>#N/A</v>
      </c>
      <c r="D43" s="2" t="e">
        <f>VLOOKUP(A1,Data!$A$1:$DZU$10000,719,FALSE)</f>
        <v>#N/A</v>
      </c>
      <c r="E43" s="2" t="e">
        <f>VLOOKUP(A1,Data!$A$1:$DZU$10000,720,FALSE)</f>
        <v>#N/A</v>
      </c>
      <c r="F43" s="2" t="e">
        <f>VLOOKUP(A1,Data!$A$1:$DZU$10000,721,FALSE)</f>
        <v>#N/A</v>
      </c>
      <c r="G43" s="2" t="e">
        <f>VLOOKUP(A1,Data!$A$1:$DZU$10000,722,FALSE)</f>
        <v>#N/A</v>
      </c>
      <c r="H43" s="2" t="e">
        <f>VLOOKUP(A1,Data!$A$1:$DZU$10000,723,FALSE)</f>
        <v>#N/A</v>
      </c>
      <c r="I43" s="2" t="e">
        <f>VLOOKUP(A1,Data!$A$1:$DZU$10000,724,FALSE)</f>
        <v>#N/A</v>
      </c>
      <c r="J43" s="2" t="e">
        <f>VLOOKUP(A1,Data!$A$1:$DZU$10000,725,FALSE)</f>
        <v>#N/A</v>
      </c>
      <c r="K43" s="2" t="e">
        <f>VLOOKUP(A1,Data!$A$1:$DZU$10000,726,FALSE)</f>
        <v>#N/A</v>
      </c>
      <c r="L43" s="2" t="e">
        <f>VLOOKUP(A1,Data!$A$1:$DZU$10000,727,FALSE)</f>
        <v>#N/A</v>
      </c>
      <c r="M43" s="2" t="e">
        <f>VLOOKUP(A1,Data!$A$1:$DZU$10000,728,FALSE)</f>
        <v>#N/A</v>
      </c>
      <c r="N43" s="2" t="e">
        <f>VLOOKUP(A1,Data!$A$1:$DZU$10000,729,FALSE)</f>
        <v>#N/A</v>
      </c>
      <c r="O43" s="2" t="e">
        <f>VLOOKUP(A1,Data!$A$1:$DZU$10000,730,FALSE)</f>
        <v>#N/A</v>
      </c>
      <c r="P43" s="2" t="e">
        <f>VLOOKUP(A1,Data!$A$1:$DZU$10000,731,FALSE)</f>
        <v>#N/A</v>
      </c>
      <c r="Q43" s="5" t="e">
        <f>VLOOKUP(A1,Data!$A$1:$DZU$10000,732,FALSE)</f>
        <v>#N/A</v>
      </c>
    </row>
    <row r="44" spans="1:17" ht="12.5">
      <c r="A44" s="17" t="e">
        <f>VLOOKUP(A1,Data!$A$1:$DZU$10000,733,FALSE)</f>
        <v>#N/A</v>
      </c>
      <c r="B44" s="2" t="e">
        <f>VLOOKUP(A1,Data!$A$1:$DZU$10000,734,FALSE)</f>
        <v>#N/A</v>
      </c>
      <c r="C44" s="2" t="e">
        <f>VLOOKUP(A1,Data!$A$1:$DZU$10000,735,FALSE)</f>
        <v>#N/A</v>
      </c>
      <c r="D44" s="2" t="e">
        <f>VLOOKUP(A1,Data!$A$1:$DZU$10000,736,FALSE)</f>
        <v>#N/A</v>
      </c>
      <c r="E44" s="2" t="e">
        <f>VLOOKUP(A1,Data!$A$1:$DZU$10000,737,FALSE)</f>
        <v>#N/A</v>
      </c>
      <c r="F44" s="2" t="e">
        <f>VLOOKUP(A1,Data!$A$1:$DZU$10000,738,FALSE)</f>
        <v>#N/A</v>
      </c>
      <c r="G44" s="2" t="e">
        <f>VLOOKUP(A1,Data!$A$1:$DZU$10000,739,FALSE)</f>
        <v>#N/A</v>
      </c>
      <c r="H44" s="2" t="e">
        <f>VLOOKUP(A1,Data!$A$1:$DZU$10000,740,FALSE)</f>
        <v>#N/A</v>
      </c>
      <c r="I44" s="2" t="e">
        <f>VLOOKUP(A1,Data!$A$1:$DZU$10000,741,FALSE)</f>
        <v>#N/A</v>
      </c>
      <c r="J44" s="2" t="e">
        <f>VLOOKUP(A1,Data!$A$1:$DZU$10000,742,FALSE)</f>
        <v>#N/A</v>
      </c>
      <c r="K44" s="2" t="e">
        <f>VLOOKUP(A1,Data!$A$1:$DZU$10000,743,FALSE)</f>
        <v>#N/A</v>
      </c>
      <c r="L44" s="2" t="e">
        <f>VLOOKUP(A1,Data!$A$1:$DZU$10000,744,FALSE)</f>
        <v>#N/A</v>
      </c>
      <c r="M44" s="2" t="e">
        <f>VLOOKUP(A1,Data!$A$1:$DZU$10000,745,FALSE)</f>
        <v>#N/A</v>
      </c>
      <c r="N44" s="2" t="e">
        <f>VLOOKUP(A1,Data!$A$1:$DZU$10000,746,FALSE)</f>
        <v>#N/A</v>
      </c>
      <c r="O44" s="2" t="e">
        <f>VLOOKUP(A1,Data!$A$1:$DZU$10000,747,FALSE)</f>
        <v>#N/A</v>
      </c>
      <c r="P44" s="2" t="e">
        <f>VLOOKUP(A1,Data!$A$1:$DZU$10000,748,FALSE)</f>
        <v>#N/A</v>
      </c>
      <c r="Q44" s="5" t="e">
        <f>VLOOKUP(A1,Data!$A$1:$DZU$10000,749,FALSE)</f>
        <v>#N/A</v>
      </c>
    </row>
    <row r="45" spans="1:17" ht="12.5">
      <c r="A45" s="17" t="e">
        <f>VLOOKUP(A1,Data!$A$1:$DZU$10000,750,FALSE)</f>
        <v>#N/A</v>
      </c>
      <c r="B45" s="2" t="e">
        <f>VLOOKUP(A1,Data!$A$1:$DZU$10000,751,FALSE)</f>
        <v>#N/A</v>
      </c>
      <c r="C45" s="2" t="e">
        <f>VLOOKUP(A1,Data!$A$1:$DZU$10000,752,FALSE)</f>
        <v>#N/A</v>
      </c>
      <c r="D45" s="2" t="e">
        <f>VLOOKUP(A1,Data!$A$1:$DZU$10000,753,FALSE)</f>
        <v>#N/A</v>
      </c>
      <c r="E45" s="2" t="e">
        <f>VLOOKUP(A1,Data!$A$1:$DZU$10000,754,FALSE)</f>
        <v>#N/A</v>
      </c>
      <c r="F45" s="2" t="e">
        <f>VLOOKUP(A1,Data!$A$1:$DZU$10000,755,FALSE)</f>
        <v>#N/A</v>
      </c>
      <c r="G45" s="2" t="e">
        <f>VLOOKUP(A1,Data!$A$1:$DZU$10000,756,FALSE)</f>
        <v>#N/A</v>
      </c>
      <c r="H45" s="2" t="e">
        <f>VLOOKUP(A1,Data!$A$1:$DZU$10000,757,FALSE)</f>
        <v>#N/A</v>
      </c>
      <c r="I45" s="2" t="e">
        <f>VLOOKUP(A1,Data!$A$1:$DZU$10000,758,FALSE)</f>
        <v>#N/A</v>
      </c>
      <c r="J45" s="2" t="e">
        <f>VLOOKUP(A1,Data!$A$1:$DZU$10000,759,FALSE)</f>
        <v>#N/A</v>
      </c>
      <c r="K45" s="2" t="e">
        <f>VLOOKUP(A1,Data!$A$1:$DZU$10000,760,FALSE)</f>
        <v>#N/A</v>
      </c>
      <c r="L45" s="2" t="e">
        <f>VLOOKUP(A1,Data!$A$1:$DZU$10000,761,FALSE)</f>
        <v>#N/A</v>
      </c>
      <c r="M45" s="2" t="e">
        <f>VLOOKUP(A1,Data!$A$1:$DZU$10000,762,FALSE)</f>
        <v>#N/A</v>
      </c>
      <c r="N45" s="2" t="e">
        <f>VLOOKUP(A1,Data!$A$1:$DZU$10000,763,FALSE)</f>
        <v>#N/A</v>
      </c>
      <c r="O45" s="2" t="e">
        <f>VLOOKUP(A1,Data!$A$1:$DZU$10000,764,FALSE)</f>
        <v>#N/A</v>
      </c>
      <c r="P45" s="2" t="e">
        <f>VLOOKUP(A1,Data!$A$1:$DZU$10000,765,FALSE)</f>
        <v>#N/A</v>
      </c>
      <c r="Q45" s="5" t="e">
        <f>VLOOKUP(A1,Data!$A$1:$DZU$10000,766,FALSE)</f>
        <v>#N/A</v>
      </c>
    </row>
    <row r="46" spans="1:17" ht="12.5">
      <c r="A46" s="17" t="e">
        <f>VLOOKUP(A1,Data!$A$1:$DZU$10000,767,FALSE)</f>
        <v>#N/A</v>
      </c>
      <c r="B46" s="2" t="e">
        <f>VLOOKUP(A1,Data!$A$1:$DZU$10000,768,FALSE)</f>
        <v>#N/A</v>
      </c>
      <c r="C46" s="2" t="e">
        <f>VLOOKUP(A1,Data!$A$1:$DZU$10000,769,FALSE)</f>
        <v>#N/A</v>
      </c>
      <c r="D46" s="2" t="e">
        <f>VLOOKUP(A1,Data!$A$1:$DZU$10000,770,FALSE)</f>
        <v>#N/A</v>
      </c>
      <c r="E46" s="2" t="e">
        <f>VLOOKUP(A1,Data!$A$1:$DZU$10000,771,FALSE)</f>
        <v>#N/A</v>
      </c>
      <c r="F46" s="2" t="e">
        <f>VLOOKUP(A1,Data!$A$1:$DZU$10000,772,FALSE)</f>
        <v>#N/A</v>
      </c>
      <c r="G46" s="2" t="e">
        <f>VLOOKUP(A1,Data!$A$1:$DZU$10000,773,FALSE)</f>
        <v>#N/A</v>
      </c>
      <c r="H46" s="2" t="e">
        <f>VLOOKUP(A1,Data!$A$1:$DZU$10000,774,FALSE)</f>
        <v>#N/A</v>
      </c>
      <c r="I46" s="2" t="e">
        <f>VLOOKUP(A1,Data!$A$1:$DZU$10000,775,FALSE)</f>
        <v>#N/A</v>
      </c>
      <c r="J46" s="2" t="e">
        <f>VLOOKUP(A1,Data!$A$1:$DZU$10000,776,FALSE)</f>
        <v>#N/A</v>
      </c>
      <c r="K46" s="2" t="e">
        <f>VLOOKUP(A1,Data!$A$1:$DZU$10000,777,FALSE)</f>
        <v>#N/A</v>
      </c>
      <c r="L46" s="2" t="e">
        <f>VLOOKUP(A1,Data!$A$1:$DZU$10000,778,FALSE)</f>
        <v>#N/A</v>
      </c>
      <c r="M46" s="2" t="e">
        <f>VLOOKUP(A1,Data!$A$1:$DZU$10000,779,FALSE)</f>
        <v>#N/A</v>
      </c>
      <c r="N46" s="2" t="e">
        <f>VLOOKUP(A1,Data!$A$1:$DZU$10000,780,FALSE)</f>
        <v>#N/A</v>
      </c>
      <c r="O46" s="2" t="e">
        <f>VLOOKUP(A1,Data!$A$1:$DZU$10000,781,FALSE)</f>
        <v>#N/A</v>
      </c>
      <c r="P46" s="2" t="e">
        <f>VLOOKUP(A1,Data!$A$1:$DZU$10000,782,FALSE)</f>
        <v>#N/A</v>
      </c>
      <c r="Q46" s="5" t="e">
        <f>VLOOKUP(A1,Data!$A$1:$DZU$10000,783,FALSE)</f>
        <v>#N/A</v>
      </c>
    </row>
    <row r="47" spans="1:17" ht="12.5">
      <c r="A47" s="17" t="e">
        <f>VLOOKUP(A1,Data!$A$1:$DZU$10000,784,FALSE)</f>
        <v>#N/A</v>
      </c>
      <c r="B47" s="2" t="e">
        <f>VLOOKUP(A1,Data!$A$1:$DZU$10000,785,FALSE)</f>
        <v>#N/A</v>
      </c>
      <c r="C47" s="2" t="e">
        <f>VLOOKUP(A1,Data!$A$1:$DZU$10000,786,FALSE)</f>
        <v>#N/A</v>
      </c>
      <c r="D47" s="2" t="e">
        <f>VLOOKUP(A1,Data!$A$1:$DZU$10000,787,FALSE)</f>
        <v>#N/A</v>
      </c>
      <c r="E47" s="2" t="e">
        <f>VLOOKUP(A1,Data!$A$1:$DZU$10000,788,FALSE)</f>
        <v>#N/A</v>
      </c>
      <c r="F47" s="2" t="e">
        <f>VLOOKUP(A1,Data!$A$1:$DZU$10000,789,FALSE)</f>
        <v>#N/A</v>
      </c>
      <c r="G47" s="2" t="e">
        <f>VLOOKUP(A1,Data!$A$1:$DZU$10000,790,FALSE)</f>
        <v>#N/A</v>
      </c>
      <c r="H47" s="2" t="e">
        <f>VLOOKUP(A1,Data!$A$1:$DZU$10000,791,FALSE)</f>
        <v>#N/A</v>
      </c>
      <c r="I47" s="2" t="e">
        <f>VLOOKUP(A1,Data!$A$1:$DZU$10000,792,FALSE)</f>
        <v>#N/A</v>
      </c>
      <c r="J47" s="2" t="e">
        <f>VLOOKUP(A1,Data!$A$1:$DZU$10000,793,FALSE)</f>
        <v>#N/A</v>
      </c>
      <c r="K47" s="2" t="e">
        <f>VLOOKUP(A1,Data!$A$1:$DZU$10000,794,FALSE)</f>
        <v>#N/A</v>
      </c>
      <c r="L47" s="2" t="e">
        <f>VLOOKUP(A1,Data!$A$1:$DZU$10000,795,FALSE)</f>
        <v>#N/A</v>
      </c>
      <c r="M47" s="2" t="e">
        <f>VLOOKUP(A1,Data!$A$1:$DZU$10000,796,FALSE)</f>
        <v>#N/A</v>
      </c>
      <c r="N47" s="2" t="e">
        <f>VLOOKUP(A1,Data!$A$1:$DZU$10000,797,FALSE)</f>
        <v>#N/A</v>
      </c>
      <c r="O47" s="2" t="e">
        <f>VLOOKUP(A1,Data!$A$1:$DZU$10000,798,FALSE)</f>
        <v>#N/A</v>
      </c>
      <c r="P47" s="2" t="e">
        <f>VLOOKUP(A1,Data!$A$1:$DZU$10000,799,FALSE)</f>
        <v>#N/A</v>
      </c>
      <c r="Q47" s="5" t="e">
        <f>VLOOKUP(A1,Data!$A$1:$DZU$10000,800,FALSE)</f>
        <v>#N/A</v>
      </c>
    </row>
    <row r="48" spans="1:17" ht="12.5">
      <c r="A48" s="17" t="e">
        <f>VLOOKUP(A1,Data!$A$1:$DZU$10000,801,FALSE)</f>
        <v>#N/A</v>
      </c>
      <c r="B48" s="2" t="e">
        <f>VLOOKUP(A1,Data!$A$1:$DZU$10000,802,FALSE)</f>
        <v>#N/A</v>
      </c>
      <c r="C48" s="2" t="e">
        <f>VLOOKUP(A1,Data!$A$1:$DZU$10000,803,FALSE)</f>
        <v>#N/A</v>
      </c>
      <c r="D48" s="2" t="e">
        <f>VLOOKUP(A1,Data!$A$1:$DZU$10000,804,FALSE)</f>
        <v>#N/A</v>
      </c>
      <c r="E48" s="2" t="e">
        <f>VLOOKUP(A1,Data!$A$1:$DZU$10000,805,FALSE)</f>
        <v>#N/A</v>
      </c>
      <c r="F48" s="2" t="e">
        <f>VLOOKUP(A1,Data!$A$1:$DZU$10000,806,FALSE)</f>
        <v>#N/A</v>
      </c>
      <c r="G48" s="2" t="e">
        <f>VLOOKUP(A1,Data!$A$1:$DZU$10000,807,FALSE)</f>
        <v>#N/A</v>
      </c>
      <c r="H48" s="2" t="e">
        <f>VLOOKUP(A1,Data!$A$1:$DZU$10000,808,FALSE)</f>
        <v>#N/A</v>
      </c>
      <c r="I48" s="2" t="e">
        <f>VLOOKUP(A1,Data!$A$1:$DZU$10000,809,FALSE)</f>
        <v>#N/A</v>
      </c>
      <c r="J48" s="2" t="e">
        <f>VLOOKUP(A1,Data!$A$1:$DZU$10000,810,FALSE)</f>
        <v>#N/A</v>
      </c>
      <c r="K48" s="2" t="e">
        <f>VLOOKUP(A1,Data!$A$1:$DZU$10000,811,FALSE)</f>
        <v>#N/A</v>
      </c>
      <c r="L48" s="2" t="e">
        <f>VLOOKUP(A1,Data!$A$1:$DZU$10000,812,FALSE)</f>
        <v>#N/A</v>
      </c>
      <c r="M48" s="2" t="e">
        <f>VLOOKUP(A1,Data!$A$1:$DZU$10000,813,FALSE)</f>
        <v>#N/A</v>
      </c>
      <c r="N48" s="2" t="e">
        <f>VLOOKUP(A1,Data!$A$1:$DZU$10000,814,FALSE)</f>
        <v>#N/A</v>
      </c>
      <c r="O48" s="2" t="e">
        <f>VLOOKUP(A1,Data!$A$1:$DZU$10000,815,FALSE)</f>
        <v>#N/A</v>
      </c>
      <c r="P48" s="2" t="e">
        <f>VLOOKUP(A1,Data!$A$1:$DZU$10000,816,FALSE)</f>
        <v>#N/A</v>
      </c>
      <c r="Q48" s="5" t="e">
        <f>VLOOKUP(A1,Data!$A$1:$DZU$10000,817,FALSE)</f>
        <v>#N/A</v>
      </c>
    </row>
  </sheetData>
  <mergeCells count="22">
    <mergeCell ref="A37:E37"/>
    <mergeCell ref="A16:B16"/>
    <mergeCell ref="A17:B17"/>
    <mergeCell ref="A18:B18"/>
    <mergeCell ref="A19:B19"/>
    <mergeCell ref="A36:E36"/>
    <mergeCell ref="A13:B13"/>
    <mergeCell ref="D13:E13"/>
    <mergeCell ref="A14:B14"/>
    <mergeCell ref="A15:B15"/>
    <mergeCell ref="A8:D8"/>
    <mergeCell ref="A6:E6"/>
    <mergeCell ref="A7:D7"/>
    <mergeCell ref="A9:E9"/>
    <mergeCell ref="A10:E10"/>
    <mergeCell ref="A12:B12"/>
    <mergeCell ref="D12:E12"/>
    <mergeCell ref="B2:L2"/>
    <mergeCell ref="B1:L1"/>
    <mergeCell ref="A3:E3"/>
    <mergeCell ref="A4:E4"/>
    <mergeCell ref="A5:E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200-000000000000}">
          <x14:formula1>
            <xm:f>contacts!$AR:$AR</xm:f>
          </x14:formula1>
          <xm:sqref>A3</xm:sqref>
        </x14:dataValidation>
        <x14:dataValidation type="list" allowBlank="1" showErrorMessage="1" xr:uid="{00000000-0002-0000-0200-000001000000}">
          <x14:formula1>
            <xm:f>Data!$A:$A</xm:f>
          </x14:formula1>
          <xm:sqref>B2</xm:sqref>
        </x14:dataValidation>
        <x14:dataValidation type="list" allowBlank="1" showErrorMessage="1" xr:uid="{00000000-0002-0000-0200-000002000000}">
          <x14:formula1>
            <xm:f>contacts!$A:$A</xm:f>
          </x14:formula1>
          <xm:sqref>A13</xm:sqref>
        </x14:dataValidation>
        <x14:dataValidation type="list" allowBlank="1" showErrorMessage="1" xr:uid="{00000000-0002-0000-0200-000003000000}">
          <x14:formula1>
            <xm:f>Inventory!$A:$A</xm:f>
          </x14:formula1>
          <xm:sqref>A21:A30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4"/>
  <sheetViews>
    <sheetView showGridLines="0" showZeros="0" workbookViewId="0">
      <selection activeCell="D19" sqref="D19:D28"/>
    </sheetView>
  </sheetViews>
  <sheetFormatPr defaultColWidth="12.6328125" defaultRowHeight="15.75" customHeight="1"/>
  <cols>
    <col min="1" max="1" width="30.6328125" customWidth="1"/>
    <col min="2" max="5" width="12.6328125" customWidth="1"/>
  </cols>
  <sheetData>
    <row r="1" spans="1:5" ht="15.75" customHeight="1">
      <c r="A1" s="38" t="e">
        <f>View_Print!A3</f>
        <v>#N/A</v>
      </c>
      <c r="B1" s="39"/>
      <c r="C1" s="39"/>
      <c r="D1" s="39"/>
      <c r="E1" s="39"/>
    </row>
    <row r="2" spans="1:5" ht="15.75" customHeight="1">
      <c r="A2" s="40" t="e">
        <f>View_Print!A4</f>
        <v>#N/A</v>
      </c>
      <c r="B2" s="39"/>
      <c r="C2" s="39"/>
      <c r="D2" s="39"/>
      <c r="E2" s="39"/>
    </row>
    <row r="3" spans="1:5" ht="15.75" customHeight="1">
      <c r="A3" s="40" t="e">
        <f>View_Print!A5</f>
        <v>#N/A</v>
      </c>
      <c r="B3" s="39"/>
      <c r="C3" s="39"/>
      <c r="D3" s="39"/>
      <c r="E3" s="39"/>
    </row>
    <row r="4" spans="1:5" ht="15.75" customHeight="1">
      <c r="A4" s="40" t="e">
        <f>View_Print!A6</f>
        <v>#N/A</v>
      </c>
      <c r="B4" s="39"/>
      <c r="C4" s="39"/>
      <c r="D4" s="39"/>
      <c r="E4" s="39"/>
    </row>
    <row r="5" spans="1:5" ht="15.75" customHeight="1">
      <c r="A5" s="40" t="e">
        <f>View_Print!A7</f>
        <v>#N/A</v>
      </c>
      <c r="B5" s="39"/>
      <c r="C5" s="39"/>
      <c r="D5" s="39"/>
      <c r="E5" s="39"/>
    </row>
    <row r="6" spans="1:5" ht="15.75" customHeight="1">
      <c r="A6" s="40" t="e">
        <f>View_Print!A8</f>
        <v>#N/A</v>
      </c>
      <c r="B6" s="39"/>
      <c r="C6" s="39"/>
      <c r="D6" s="39"/>
      <c r="E6" s="39"/>
    </row>
    <row r="7" spans="1:5" ht="15.75" customHeight="1">
      <c r="A7" s="40" t="e">
        <f>View_Print!A9</f>
        <v>#N/A</v>
      </c>
      <c r="B7" s="39"/>
      <c r="C7" s="39"/>
      <c r="D7" s="39"/>
      <c r="E7" s="39"/>
    </row>
    <row r="8" spans="1:5" ht="15.75" customHeight="1">
      <c r="A8" s="42" t="s">
        <v>27</v>
      </c>
      <c r="B8" s="39"/>
      <c r="C8" s="39"/>
      <c r="D8" s="39"/>
      <c r="E8" s="39"/>
    </row>
    <row r="9" spans="1:5">
      <c r="A9" s="7" t="s">
        <v>2</v>
      </c>
      <c r="B9" s="8" t="e">
        <f>View_Print!B11</f>
        <v>#N/A</v>
      </c>
      <c r="C9" s="2"/>
      <c r="D9" s="2"/>
      <c r="E9" s="2"/>
    </row>
    <row r="10" spans="1:5">
      <c r="A10" s="44" t="s">
        <v>3</v>
      </c>
      <c r="B10" s="39"/>
      <c r="C10" s="2"/>
      <c r="D10" s="45" t="s">
        <v>4</v>
      </c>
      <c r="E10" s="39"/>
    </row>
    <row r="11" spans="1:5" ht="15.75" customHeight="1">
      <c r="A11" s="40" t="e">
        <f>View_Print!A13</f>
        <v>#N/A</v>
      </c>
      <c r="B11" s="39"/>
      <c r="C11" s="2"/>
      <c r="D11" s="46" t="e">
        <f>View_Print!D13</f>
        <v>#N/A</v>
      </c>
      <c r="E11" s="39"/>
    </row>
    <row r="12" spans="1:5" ht="15.75" customHeight="1">
      <c r="A12" s="40" t="e">
        <f>View_Print!A14</f>
        <v>#N/A</v>
      </c>
      <c r="B12" s="39"/>
      <c r="C12" s="2"/>
      <c r="D12" s="2"/>
      <c r="E12" s="2"/>
    </row>
    <row r="13" spans="1:5" ht="15.75" customHeight="1">
      <c r="A13" s="40" t="e">
        <f>View_Print!A15</f>
        <v>#N/A</v>
      </c>
      <c r="B13" s="39"/>
      <c r="C13" s="2"/>
      <c r="D13" s="2"/>
      <c r="E13" s="2"/>
    </row>
    <row r="14" spans="1:5" ht="15.75" customHeight="1">
      <c r="A14" s="40" t="e">
        <f>View_Print!A16</f>
        <v>#N/A</v>
      </c>
      <c r="B14" s="39"/>
      <c r="C14" s="2"/>
      <c r="D14" s="2"/>
      <c r="E14" s="2"/>
    </row>
    <row r="15" spans="1:5" ht="15.75" customHeight="1">
      <c r="A15" s="40" t="e">
        <f>View_Print!A17</f>
        <v>#N/A</v>
      </c>
      <c r="B15" s="39"/>
      <c r="C15" s="2"/>
      <c r="D15" s="2"/>
      <c r="E15" s="2"/>
    </row>
    <row r="16" spans="1:5" ht="15.75" customHeight="1">
      <c r="A16" s="40" t="e">
        <f>View_Print!A18</f>
        <v>#N/A</v>
      </c>
      <c r="B16" s="39"/>
      <c r="C16" s="2"/>
      <c r="D16" s="2"/>
      <c r="E16" s="2"/>
    </row>
    <row r="17" spans="1:5" ht="15.75" customHeight="1">
      <c r="A17" s="40"/>
      <c r="B17" s="39"/>
      <c r="C17" s="2"/>
      <c r="D17" s="10"/>
      <c r="E17" s="2"/>
    </row>
    <row r="18" spans="1:5">
      <c r="A18" s="11" t="s">
        <v>6</v>
      </c>
      <c r="B18" s="11" t="s">
        <v>7</v>
      </c>
      <c r="C18" s="11" t="s">
        <v>8</v>
      </c>
      <c r="D18" s="11" t="s">
        <v>9</v>
      </c>
      <c r="E18" s="2"/>
    </row>
    <row r="19" spans="1:5" ht="15.75" customHeight="1">
      <c r="A19" s="12" t="e">
        <f>View_Print!A21</f>
        <v>#N/A</v>
      </c>
      <c r="B19" s="12" t="e">
        <f>View_Print!B21</f>
        <v>#N/A</v>
      </c>
      <c r="C19" s="13" t="str">
        <f>IFERROR(VLOOKUP(A19,Inventory!$A$2:$CL$9341,3,FALSE), "")</f>
        <v/>
      </c>
      <c r="D19" s="13">
        <f>IFERROR($B19*$C19,0)</f>
        <v>0</v>
      </c>
      <c r="E19" s="2"/>
    </row>
    <row r="20" spans="1:5" ht="15.75" customHeight="1">
      <c r="A20" s="12" t="e">
        <f>View_Print!A22</f>
        <v>#N/A</v>
      </c>
      <c r="B20" s="12" t="e">
        <f>View_Print!B22</f>
        <v>#N/A</v>
      </c>
      <c r="C20" s="13" t="str">
        <f>IFERROR(VLOOKUP(A20,Inventory!$A$2:$CL$9341,3,FALSE), "")</f>
        <v/>
      </c>
      <c r="D20" s="13">
        <f t="shared" ref="D20:D28" si="0">IFERROR($B20*$C20,0)</f>
        <v>0</v>
      </c>
      <c r="E20" s="2"/>
    </row>
    <row r="21" spans="1:5" ht="15.75" customHeight="1">
      <c r="A21" s="12" t="e">
        <f>View_Print!A23</f>
        <v>#N/A</v>
      </c>
      <c r="B21" s="12" t="e">
        <f>View_Print!B23</f>
        <v>#N/A</v>
      </c>
      <c r="C21" s="13" t="str">
        <f>IFERROR(VLOOKUP(A21,Inventory!$A$2:$CL$9341,3,FALSE), "")</f>
        <v/>
      </c>
      <c r="D21" s="13">
        <f t="shared" si="0"/>
        <v>0</v>
      </c>
      <c r="E21" s="2"/>
    </row>
    <row r="22" spans="1:5" ht="15.75" customHeight="1">
      <c r="A22" s="12" t="e">
        <f>View_Print!A24</f>
        <v>#N/A</v>
      </c>
      <c r="B22" s="12" t="e">
        <f>View_Print!B24</f>
        <v>#N/A</v>
      </c>
      <c r="C22" s="13" t="str">
        <f>IFERROR(VLOOKUP(A22,Inventory!$A$2:$CL$9341,3,FALSE), "")</f>
        <v/>
      </c>
      <c r="D22" s="13">
        <f t="shared" si="0"/>
        <v>0</v>
      </c>
      <c r="E22" s="2"/>
    </row>
    <row r="23" spans="1:5" ht="15.75" customHeight="1">
      <c r="A23" s="12" t="e">
        <f>View_Print!A25</f>
        <v>#N/A</v>
      </c>
      <c r="B23" s="12" t="e">
        <f>View_Print!B25</f>
        <v>#N/A</v>
      </c>
      <c r="C23" s="13" t="str">
        <f>IFERROR(VLOOKUP(A23,Inventory!$A$2:$CL$9341,3,FALSE), "")</f>
        <v/>
      </c>
      <c r="D23" s="13">
        <f t="shared" si="0"/>
        <v>0</v>
      </c>
      <c r="E23" s="2"/>
    </row>
    <row r="24" spans="1:5" ht="15.75" customHeight="1">
      <c r="A24" s="12" t="e">
        <f>View_Print!A26</f>
        <v>#N/A</v>
      </c>
      <c r="B24" s="12" t="e">
        <f>View_Print!B26</f>
        <v>#N/A</v>
      </c>
      <c r="C24" s="13" t="str">
        <f>IFERROR(VLOOKUP(A24,Inventory!$A$2:$CL$9341,3,FALSE), "")</f>
        <v/>
      </c>
      <c r="D24" s="13">
        <f t="shared" si="0"/>
        <v>0</v>
      </c>
      <c r="E24" s="2"/>
    </row>
    <row r="25" spans="1:5" ht="15.75" customHeight="1">
      <c r="A25" s="12" t="e">
        <f>View_Print!A27</f>
        <v>#N/A</v>
      </c>
      <c r="B25" s="12" t="e">
        <f>View_Print!B27</f>
        <v>#N/A</v>
      </c>
      <c r="C25" s="13" t="str">
        <f>IFERROR(VLOOKUP(A25,Inventory!$A$2:$CL$9341,3,FALSE), "")</f>
        <v/>
      </c>
      <c r="D25" s="13">
        <f t="shared" si="0"/>
        <v>0</v>
      </c>
      <c r="E25" s="2"/>
    </row>
    <row r="26" spans="1:5" ht="15.75" customHeight="1">
      <c r="A26" s="12" t="e">
        <f>View_Print!A28</f>
        <v>#N/A</v>
      </c>
      <c r="B26" s="12" t="e">
        <f>View_Print!B28</f>
        <v>#N/A</v>
      </c>
      <c r="C26" s="13" t="str">
        <f>IFERROR(VLOOKUP(A26,Inventory!$A$2:$CL$9341,3,FALSE), "")</f>
        <v/>
      </c>
      <c r="D26" s="13">
        <f t="shared" si="0"/>
        <v>0</v>
      </c>
      <c r="E26" s="2"/>
    </row>
    <row r="27" spans="1:5" ht="15.75" customHeight="1">
      <c r="A27" s="12" t="e">
        <f>View_Print!A29</f>
        <v>#N/A</v>
      </c>
      <c r="B27" s="12" t="e">
        <f>View_Print!B29</f>
        <v>#N/A</v>
      </c>
      <c r="C27" s="13" t="str">
        <f>IFERROR(VLOOKUP(A27,Inventory!$A$2:$CL$9341,3,FALSE), "")</f>
        <v/>
      </c>
      <c r="D27" s="13">
        <f t="shared" si="0"/>
        <v>0</v>
      </c>
      <c r="E27" s="2"/>
    </row>
    <row r="28" spans="1:5" ht="15.75" customHeight="1">
      <c r="A28" s="12" t="e">
        <f>View_Print!A30</f>
        <v>#N/A</v>
      </c>
      <c r="B28" s="12" t="e">
        <f>View_Print!B30</f>
        <v>#N/A</v>
      </c>
      <c r="C28" s="13" t="str">
        <f>IFERROR(VLOOKUP(A28,Inventory!$A$2:$CL$9341,3,FALSE), "")</f>
        <v/>
      </c>
      <c r="D28" s="13">
        <f t="shared" si="0"/>
        <v>0</v>
      </c>
      <c r="E28" s="2"/>
    </row>
    <row r="29" spans="1:5" ht="15.75" customHeight="1">
      <c r="A29" s="2"/>
      <c r="B29" s="2"/>
      <c r="C29" s="2"/>
      <c r="D29" s="2"/>
      <c r="E29" s="2"/>
    </row>
    <row r="30" spans="1:5">
      <c r="A30" s="2"/>
      <c r="B30" s="2"/>
      <c r="C30" s="9" t="s">
        <v>11</v>
      </c>
      <c r="D30" s="15">
        <f>SUM(D19:D28)</f>
        <v>0</v>
      </c>
      <c r="E30" s="2"/>
    </row>
    <row r="31" spans="1:5">
      <c r="A31" s="2"/>
      <c r="B31" s="2"/>
      <c r="C31" s="9" t="s">
        <v>12</v>
      </c>
      <c r="D31" s="15">
        <f>D30*0.1</f>
        <v>0</v>
      </c>
      <c r="E31" s="2"/>
    </row>
    <row r="32" spans="1:5">
      <c r="A32" s="2"/>
      <c r="B32" s="2"/>
      <c r="C32" s="9" t="s">
        <v>13</v>
      </c>
      <c r="D32" s="15">
        <f>D30+D31</f>
        <v>0</v>
      </c>
      <c r="E32" s="2"/>
    </row>
    <row r="33" spans="1:5" ht="15.75" customHeight="1">
      <c r="A33" s="2"/>
      <c r="B33" s="2"/>
      <c r="C33" s="2"/>
      <c r="D33" s="2"/>
      <c r="E33" s="2"/>
    </row>
    <row r="34" spans="1:5">
      <c r="A34" s="28" t="s">
        <v>28</v>
      </c>
    </row>
  </sheetData>
  <mergeCells count="18">
    <mergeCell ref="A17:B17"/>
    <mergeCell ref="A13:B13"/>
    <mergeCell ref="A16:B16"/>
    <mergeCell ref="A6:E6"/>
    <mergeCell ref="A7:E7"/>
    <mergeCell ref="A12:B12"/>
    <mergeCell ref="A14:B14"/>
    <mergeCell ref="A15:B15"/>
    <mergeCell ref="A8:E8"/>
    <mergeCell ref="A10:B10"/>
    <mergeCell ref="D10:E10"/>
    <mergeCell ref="A11:B11"/>
    <mergeCell ref="D11:E11"/>
    <mergeCell ref="A1:E1"/>
    <mergeCell ref="A2:E2"/>
    <mergeCell ref="A3:E3"/>
    <mergeCell ref="A4:E4"/>
    <mergeCell ref="A5:E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300-000000000000}">
          <x14:formula1>
            <xm:f>contacts!$AR:$AR</xm:f>
          </x14:formula1>
          <xm:sqref>A1</xm:sqref>
        </x14:dataValidation>
        <x14:dataValidation type="list" allowBlank="1" showErrorMessage="1" xr:uid="{00000000-0002-0000-0300-000001000000}">
          <x14:formula1>
            <xm:f>contacts!$A:$A</xm:f>
          </x14:formula1>
          <xm:sqref>A11</xm:sqref>
        </x14:dataValidation>
        <x14:dataValidation type="list" allowBlank="1" showErrorMessage="1" xr:uid="{00000000-0002-0000-0300-000002000000}">
          <x14:formula1>
            <xm:f>Inventory!$A:$A</xm:f>
          </x14:formula1>
          <xm:sqref>A19:A28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3"/>
  <sheetViews>
    <sheetView showGridLines="0" showZeros="0" workbookViewId="0">
      <selection activeCell="F28" sqref="F28"/>
    </sheetView>
  </sheetViews>
  <sheetFormatPr defaultColWidth="12.6328125" defaultRowHeight="15.75" customHeight="1"/>
  <cols>
    <col min="1" max="1" width="30.6328125" customWidth="1"/>
  </cols>
  <sheetData>
    <row r="1" spans="1:5" ht="15.75" customHeight="1">
      <c r="A1" s="38" t="e">
        <f>View_Print!A3</f>
        <v>#N/A</v>
      </c>
      <c r="B1" s="39"/>
      <c r="C1" s="39"/>
      <c r="D1" s="39"/>
      <c r="E1" s="39"/>
    </row>
    <row r="2" spans="1:5" ht="15.75" customHeight="1">
      <c r="A2" s="40" t="e">
        <f>View_Print!A4</f>
        <v>#N/A</v>
      </c>
      <c r="B2" s="39"/>
      <c r="C2" s="39"/>
      <c r="D2" s="39"/>
      <c r="E2" s="39"/>
    </row>
    <row r="3" spans="1:5" ht="15.75" customHeight="1">
      <c r="A3" s="40" t="e">
        <f>View_Print!A5</f>
        <v>#N/A</v>
      </c>
      <c r="B3" s="39"/>
      <c r="C3" s="39"/>
      <c r="D3" s="39"/>
      <c r="E3" s="39"/>
    </row>
    <row r="4" spans="1:5" ht="15.75" customHeight="1">
      <c r="A4" s="40" t="e">
        <f>View_Print!A6</f>
        <v>#N/A</v>
      </c>
      <c r="B4" s="39"/>
      <c r="C4" s="39"/>
      <c r="D4" s="39"/>
      <c r="E4" s="39"/>
    </row>
    <row r="5" spans="1:5" ht="15.75" customHeight="1">
      <c r="A5" s="40" t="e">
        <f>View_Print!A7</f>
        <v>#N/A</v>
      </c>
      <c r="B5" s="39"/>
      <c r="C5" s="39"/>
      <c r="D5" s="39"/>
      <c r="E5" s="39"/>
    </row>
    <row r="6" spans="1:5" ht="15.75" customHeight="1">
      <c r="A6" s="40" t="e">
        <f>View_Print!A8</f>
        <v>#N/A</v>
      </c>
      <c r="B6" s="39"/>
      <c r="C6" s="39"/>
      <c r="D6" s="39"/>
      <c r="E6" s="39"/>
    </row>
    <row r="7" spans="1:5" ht="15.75" customHeight="1">
      <c r="A7" s="40" t="e">
        <f>View_Print!A9</f>
        <v>#N/A</v>
      </c>
      <c r="B7" s="39"/>
      <c r="C7" s="39"/>
      <c r="D7" s="39"/>
      <c r="E7" s="39"/>
    </row>
    <row r="8" spans="1:5" ht="15.75" customHeight="1">
      <c r="A8" s="42" t="s">
        <v>29</v>
      </c>
      <c r="B8" s="39"/>
      <c r="C8" s="39"/>
      <c r="D8" s="39"/>
      <c r="E8" s="39"/>
    </row>
    <row r="9" spans="1:5">
      <c r="A9" s="7" t="s">
        <v>2</v>
      </c>
      <c r="B9" s="8" t="e">
        <f>View_Print!B11</f>
        <v>#N/A</v>
      </c>
      <c r="C9" s="2"/>
      <c r="D9" s="2"/>
      <c r="E9" s="2"/>
    </row>
    <row r="10" spans="1:5">
      <c r="A10" s="44" t="s">
        <v>3</v>
      </c>
      <c r="B10" s="39"/>
      <c r="C10" s="2"/>
      <c r="D10" s="45" t="str">
        <f>View_Print!O1</f>
        <v>Date Shipped:</v>
      </c>
      <c r="E10" s="39"/>
    </row>
    <row r="11" spans="1:5" ht="15.75" customHeight="1">
      <c r="A11" s="40" t="e">
        <f>View_Print!A13</f>
        <v>#N/A</v>
      </c>
      <c r="B11" s="39"/>
      <c r="C11" s="2"/>
      <c r="D11" s="46" t="e">
        <f>View_Print!O2</f>
        <v>#N/A</v>
      </c>
      <c r="E11" s="39"/>
    </row>
    <row r="12" spans="1:5" ht="15.75" customHeight="1">
      <c r="A12" s="40" t="e">
        <f>View_Print!A14</f>
        <v>#N/A</v>
      </c>
      <c r="B12" s="39"/>
      <c r="C12" s="2"/>
      <c r="D12" s="2"/>
      <c r="E12" s="2"/>
    </row>
    <row r="13" spans="1:5" ht="15.75" customHeight="1">
      <c r="A13" s="40" t="e">
        <f>View_Print!A15</f>
        <v>#N/A</v>
      </c>
      <c r="B13" s="39"/>
      <c r="C13" s="2"/>
      <c r="D13" s="2"/>
      <c r="E13" s="2"/>
    </row>
    <row r="14" spans="1:5" ht="15.75" customHeight="1">
      <c r="A14" s="40" t="e">
        <f>View_Print!A16</f>
        <v>#N/A</v>
      </c>
      <c r="B14" s="39"/>
      <c r="C14" s="2"/>
      <c r="D14" s="2"/>
      <c r="E14" s="2"/>
    </row>
    <row r="15" spans="1:5" ht="15.75" customHeight="1">
      <c r="A15" s="40" t="e">
        <f>View_Print!A17</f>
        <v>#N/A</v>
      </c>
      <c r="B15" s="39"/>
      <c r="C15" s="2"/>
      <c r="D15" s="2"/>
      <c r="E15" s="2"/>
    </row>
    <row r="16" spans="1:5" ht="15.75" customHeight="1">
      <c r="A16" s="40" t="e">
        <f>View_Print!A18</f>
        <v>#N/A</v>
      </c>
      <c r="B16" s="39"/>
      <c r="C16" s="2"/>
      <c r="D16" s="2"/>
      <c r="E16" s="2"/>
    </row>
    <row r="17" spans="1:5" ht="15.75" customHeight="1">
      <c r="A17" s="40"/>
      <c r="B17" s="39"/>
      <c r="C17" s="2"/>
      <c r="D17" s="10"/>
      <c r="E17" s="2"/>
    </row>
    <row r="18" spans="1:5">
      <c r="A18" s="11" t="s">
        <v>6</v>
      </c>
      <c r="B18" s="11" t="s">
        <v>7</v>
      </c>
      <c r="C18" s="11" t="s">
        <v>8</v>
      </c>
      <c r="D18" s="11" t="s">
        <v>9</v>
      </c>
      <c r="E18" s="2"/>
    </row>
    <row r="19" spans="1:5" ht="15.75" customHeight="1">
      <c r="A19" s="12" t="e">
        <f>View_Print!A21</f>
        <v>#N/A</v>
      </c>
      <c r="B19" s="12" t="e">
        <f>View_Print!B21</f>
        <v>#N/A</v>
      </c>
      <c r="C19" s="13" t="str">
        <f>IFERROR(VLOOKUP(A19,Inventory!$A$2:$CL$9341,3,FALSE), "")</f>
        <v/>
      </c>
      <c r="D19" s="13">
        <f>IFERROR($B19*$C19,0)</f>
        <v>0</v>
      </c>
      <c r="E19" s="2"/>
    </row>
    <row r="20" spans="1:5" ht="15.75" customHeight="1">
      <c r="A20" s="12" t="e">
        <f>View_Print!A22</f>
        <v>#N/A</v>
      </c>
      <c r="B20" s="12" t="e">
        <f>View_Print!B22</f>
        <v>#N/A</v>
      </c>
      <c r="C20" s="13" t="str">
        <f>IFERROR(VLOOKUP(A20,Inventory!$A$2:$CL$9341,3,FALSE), "")</f>
        <v/>
      </c>
      <c r="D20" s="13">
        <f t="shared" ref="D20:D28" si="0">IFERROR($B20*$C20,0)</f>
        <v>0</v>
      </c>
      <c r="E20" s="2"/>
    </row>
    <row r="21" spans="1:5" ht="15.75" customHeight="1">
      <c r="A21" s="12" t="e">
        <f>View_Print!A23</f>
        <v>#N/A</v>
      </c>
      <c r="B21" s="12" t="e">
        <f>View_Print!B23</f>
        <v>#N/A</v>
      </c>
      <c r="C21" s="13" t="str">
        <f>IFERROR(VLOOKUP(A21,Inventory!$A$2:$CL$9341,3,FALSE), "")</f>
        <v/>
      </c>
      <c r="D21" s="13">
        <f t="shared" si="0"/>
        <v>0</v>
      </c>
      <c r="E21" s="2"/>
    </row>
    <row r="22" spans="1:5" ht="15.75" customHeight="1">
      <c r="A22" s="12" t="e">
        <f>View_Print!A24</f>
        <v>#N/A</v>
      </c>
      <c r="B22" s="12" t="e">
        <f>View_Print!B24</f>
        <v>#N/A</v>
      </c>
      <c r="C22" s="13" t="str">
        <f>IFERROR(VLOOKUP(A22,Inventory!$A$2:$CL$9341,3,FALSE), "")</f>
        <v/>
      </c>
      <c r="D22" s="13">
        <f t="shared" si="0"/>
        <v>0</v>
      </c>
      <c r="E22" s="2"/>
    </row>
    <row r="23" spans="1:5" ht="15.75" customHeight="1">
      <c r="A23" s="12" t="e">
        <f>View_Print!A25</f>
        <v>#N/A</v>
      </c>
      <c r="B23" s="12" t="e">
        <f>View_Print!B25</f>
        <v>#N/A</v>
      </c>
      <c r="C23" s="13" t="str">
        <f>IFERROR(VLOOKUP(A23,Inventory!$A$2:$CL$9341,3,FALSE), "")</f>
        <v/>
      </c>
      <c r="D23" s="13">
        <f t="shared" si="0"/>
        <v>0</v>
      </c>
      <c r="E23" s="2"/>
    </row>
    <row r="24" spans="1:5" ht="15.75" customHeight="1">
      <c r="A24" s="12" t="e">
        <f>View_Print!A26</f>
        <v>#N/A</v>
      </c>
      <c r="B24" s="12" t="e">
        <f>View_Print!B26</f>
        <v>#N/A</v>
      </c>
      <c r="C24" s="13" t="str">
        <f>IFERROR(VLOOKUP(A24,Inventory!$A$2:$CL$9341,3,FALSE), "")</f>
        <v/>
      </c>
      <c r="D24" s="13">
        <f t="shared" si="0"/>
        <v>0</v>
      </c>
      <c r="E24" s="2"/>
    </row>
    <row r="25" spans="1:5" ht="15.75" customHeight="1">
      <c r="A25" s="12" t="e">
        <f>View_Print!A27</f>
        <v>#N/A</v>
      </c>
      <c r="B25" s="12" t="e">
        <f>View_Print!B27</f>
        <v>#N/A</v>
      </c>
      <c r="C25" s="13" t="str">
        <f>IFERROR(VLOOKUP(A25,Inventory!$A$2:$CL$9341,3,FALSE), "")</f>
        <v/>
      </c>
      <c r="D25" s="13">
        <f t="shared" si="0"/>
        <v>0</v>
      </c>
      <c r="E25" s="2"/>
    </row>
    <row r="26" spans="1:5" ht="15.75" customHeight="1">
      <c r="A26" s="12" t="e">
        <f>View_Print!A28</f>
        <v>#N/A</v>
      </c>
      <c r="B26" s="12" t="e">
        <f>View_Print!B28</f>
        <v>#N/A</v>
      </c>
      <c r="C26" s="13" t="str">
        <f>IFERROR(VLOOKUP(A26,Inventory!$A$2:$CL$9341,3,FALSE), "")</f>
        <v/>
      </c>
      <c r="D26" s="13">
        <f t="shared" si="0"/>
        <v>0</v>
      </c>
      <c r="E26" s="2"/>
    </row>
    <row r="27" spans="1:5" ht="15.75" customHeight="1">
      <c r="A27" s="12" t="e">
        <f>View_Print!A29</f>
        <v>#N/A</v>
      </c>
      <c r="B27" s="12" t="e">
        <f>View_Print!B29</f>
        <v>#N/A</v>
      </c>
      <c r="C27" s="13" t="str">
        <f>IFERROR(VLOOKUP(A27,Inventory!$A$2:$CL$9341,3,FALSE), "")</f>
        <v/>
      </c>
      <c r="D27" s="13">
        <f t="shared" si="0"/>
        <v>0</v>
      </c>
      <c r="E27" s="2"/>
    </row>
    <row r="28" spans="1:5" ht="15.75" customHeight="1">
      <c r="A28" s="12" t="e">
        <f>View_Print!A30</f>
        <v>#N/A</v>
      </c>
      <c r="B28" s="12" t="e">
        <f>View_Print!B30</f>
        <v>#N/A</v>
      </c>
      <c r="C28" s="13" t="str">
        <f>IFERROR(VLOOKUP(A28,Inventory!$A$2:$CL$9341,3,FALSE), "")</f>
        <v/>
      </c>
      <c r="D28" s="13">
        <f t="shared" si="0"/>
        <v>0</v>
      </c>
      <c r="E28" s="2"/>
    </row>
    <row r="29" spans="1:5" ht="15.75" customHeight="1">
      <c r="A29" s="2"/>
      <c r="B29" s="2"/>
      <c r="C29" s="2"/>
      <c r="D29" s="2"/>
      <c r="E29" s="2"/>
    </row>
    <row r="30" spans="1:5">
      <c r="A30" s="2"/>
      <c r="B30" s="2"/>
      <c r="C30" s="9" t="s">
        <v>11</v>
      </c>
      <c r="D30" s="15">
        <f>SUM(D19:D28)</f>
        <v>0</v>
      </c>
      <c r="E30" s="2"/>
    </row>
    <row r="31" spans="1:5">
      <c r="A31" s="2"/>
      <c r="B31" s="2"/>
      <c r="C31" s="9" t="s">
        <v>12</v>
      </c>
      <c r="D31" s="15">
        <f>D30*0.1</f>
        <v>0</v>
      </c>
      <c r="E31" s="2"/>
    </row>
    <row r="32" spans="1:5">
      <c r="A32" s="2"/>
      <c r="B32" s="2"/>
      <c r="C32" s="9" t="s">
        <v>13</v>
      </c>
      <c r="D32" s="15">
        <f>D30+D31</f>
        <v>0</v>
      </c>
      <c r="E32" s="2"/>
    </row>
    <row r="33" spans="1:5" ht="15.75" customHeight="1">
      <c r="A33" s="2"/>
      <c r="B33" s="2"/>
      <c r="C33" s="2"/>
      <c r="D33" s="2"/>
      <c r="E33" s="2"/>
    </row>
  </sheetData>
  <mergeCells count="18">
    <mergeCell ref="A17:B17"/>
    <mergeCell ref="A16:B16"/>
    <mergeCell ref="A6:E6"/>
    <mergeCell ref="A12:B12"/>
    <mergeCell ref="A13:B13"/>
    <mergeCell ref="A14:B14"/>
    <mergeCell ref="A15:B15"/>
    <mergeCell ref="A8:E8"/>
    <mergeCell ref="A10:B10"/>
    <mergeCell ref="D10:E10"/>
    <mergeCell ref="D11:E11"/>
    <mergeCell ref="A7:E7"/>
    <mergeCell ref="A11:B11"/>
    <mergeCell ref="A1:E1"/>
    <mergeCell ref="A2:E2"/>
    <mergeCell ref="A3:E3"/>
    <mergeCell ref="A4:E4"/>
    <mergeCell ref="A5:E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400-000000000000}">
          <x14:formula1>
            <xm:f>contacts!$AR:$AR</xm:f>
          </x14:formula1>
          <xm:sqref>A1</xm:sqref>
        </x14:dataValidation>
        <x14:dataValidation type="list" allowBlank="1" showErrorMessage="1" xr:uid="{00000000-0002-0000-0400-000001000000}">
          <x14:formula1>
            <xm:f>contacts!$A:$A</xm:f>
          </x14:formula1>
          <xm:sqref>A11</xm:sqref>
        </x14:dataValidation>
        <x14:dataValidation type="list" allowBlank="1" showErrorMessage="1" xr:uid="{00000000-0002-0000-0400-000002000000}">
          <x14:formula1>
            <xm:f>Inventory!$A:$A</xm:f>
          </x14:formula1>
          <xm:sqref>A19:A28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0"/>
  <sheetViews>
    <sheetView showGridLines="0" showZeros="0" workbookViewId="0">
      <selection activeCell="B2" sqref="B2"/>
    </sheetView>
  </sheetViews>
  <sheetFormatPr defaultColWidth="12.6328125" defaultRowHeight="15.75" customHeight="1"/>
  <cols>
    <col min="1" max="5" width="18.90625" customWidth="1"/>
    <col min="6" max="6" width="13.6328125" customWidth="1"/>
  </cols>
  <sheetData>
    <row r="1" spans="1:7" ht="13">
      <c r="A1" s="29" t="s">
        <v>10</v>
      </c>
      <c r="B1" s="29" t="s">
        <v>30</v>
      </c>
      <c r="C1" s="29" t="s">
        <v>8</v>
      </c>
      <c r="D1" s="29" t="s">
        <v>31</v>
      </c>
      <c r="E1" s="29" t="s">
        <v>32</v>
      </c>
      <c r="F1" s="29" t="s">
        <v>72</v>
      </c>
      <c r="G1" s="29" t="s">
        <v>73</v>
      </c>
    </row>
    <row r="2" spans="1:7" ht="15.75" customHeight="1">
      <c r="A2" s="27" t="s">
        <v>33</v>
      </c>
      <c r="B2" s="27">
        <v>97</v>
      </c>
      <c r="C2" s="27">
        <v>10</v>
      </c>
      <c r="D2" s="27" t="s">
        <v>34</v>
      </c>
      <c r="E2" s="27" t="s">
        <v>35</v>
      </c>
      <c r="F2">
        <f>SUMIF([1]Input!A$15:A$24, A2, [1]Input!B$15:B$24)</f>
        <v>0</v>
      </c>
      <c r="G2">
        <f>B2 - F2</f>
        <v>97</v>
      </c>
    </row>
    <row r="3" spans="1:7" ht="15.75" customHeight="1">
      <c r="A3" s="27" t="s">
        <v>36</v>
      </c>
      <c r="B3" s="27">
        <v>194</v>
      </c>
      <c r="C3" s="27">
        <v>15</v>
      </c>
      <c r="D3" s="27" t="s">
        <v>37</v>
      </c>
      <c r="E3" s="27" t="s">
        <v>38</v>
      </c>
      <c r="F3">
        <f>SUMIF([1]Input!A$15:A$24, A3, [1]Input!B$15:B$24)</f>
        <v>0</v>
      </c>
      <c r="G3">
        <f t="shared" ref="G3:G66" si="0">B3 - F3</f>
        <v>194</v>
      </c>
    </row>
    <row r="4" spans="1:7" ht="15.75" customHeight="1">
      <c r="A4" s="27" t="s">
        <v>39</v>
      </c>
      <c r="B4" s="27">
        <v>142</v>
      </c>
      <c r="C4" s="27">
        <v>20</v>
      </c>
      <c r="D4" s="27" t="s">
        <v>40</v>
      </c>
      <c r="E4" s="27" t="s">
        <v>41</v>
      </c>
      <c r="F4">
        <f>SUMIF([1]Input!A$15:A$24, A4, [1]Input!B$15:B$24)</f>
        <v>0</v>
      </c>
      <c r="G4">
        <f t="shared" si="0"/>
        <v>142</v>
      </c>
    </row>
    <row r="5" spans="1:7" ht="15.75" customHeight="1">
      <c r="A5" s="27" t="s">
        <v>42</v>
      </c>
      <c r="B5" s="27">
        <v>249</v>
      </c>
      <c r="C5" s="27">
        <v>19.95</v>
      </c>
      <c r="F5">
        <f>SUMIF([1]Input!A$15:A$24, A5, [1]Input!B$15:B$24)</f>
        <v>0</v>
      </c>
      <c r="G5">
        <f t="shared" si="0"/>
        <v>249</v>
      </c>
    </row>
    <row r="6" spans="1:7" ht="15.75" customHeight="1">
      <c r="F6">
        <f>SUMIF([1]Input!A$15:A$24, A6, [1]Input!B$15:B$24)</f>
        <v>0</v>
      </c>
      <c r="G6">
        <f t="shared" si="0"/>
        <v>0</v>
      </c>
    </row>
    <row r="7" spans="1:7" ht="15.75" customHeight="1">
      <c r="F7">
        <f>SUMIF([1]Input!A$15:A$24, A7, [1]Input!B$15:B$24)</f>
        <v>0</v>
      </c>
      <c r="G7">
        <f t="shared" si="0"/>
        <v>0</v>
      </c>
    </row>
    <row r="8" spans="1:7" ht="15.75" customHeight="1">
      <c r="F8">
        <f>SUMIF([1]Input!A$15:A$24, A8, [1]Input!B$15:B$24)</f>
        <v>0</v>
      </c>
      <c r="G8">
        <f t="shared" si="0"/>
        <v>0</v>
      </c>
    </row>
    <row r="9" spans="1:7" ht="15.75" customHeight="1">
      <c r="F9">
        <f>SUMIF([1]Input!A$15:A$24, A9, [1]Input!B$15:B$24)</f>
        <v>0</v>
      </c>
      <c r="G9">
        <f t="shared" si="0"/>
        <v>0</v>
      </c>
    </row>
    <row r="10" spans="1:7" ht="15.75" customHeight="1">
      <c r="F10">
        <f>SUMIF([1]Input!A$15:A$24, A10, [1]Input!B$15:B$24)</f>
        <v>0</v>
      </c>
      <c r="G10">
        <f t="shared" si="0"/>
        <v>0</v>
      </c>
    </row>
    <row r="11" spans="1:7" ht="15.75" customHeight="1">
      <c r="F11">
        <f>SUMIF([1]Input!A$15:A$24, A11, [1]Input!B$15:B$24)</f>
        <v>0</v>
      </c>
      <c r="G11">
        <f t="shared" si="0"/>
        <v>0</v>
      </c>
    </row>
    <row r="12" spans="1:7" ht="15.75" customHeight="1">
      <c r="F12">
        <f>SUMIF([1]Input!A$15:A$24, A12, [1]Input!B$15:B$24)</f>
        <v>0</v>
      </c>
      <c r="G12">
        <f t="shared" si="0"/>
        <v>0</v>
      </c>
    </row>
    <row r="13" spans="1:7" ht="15.75" customHeight="1">
      <c r="F13">
        <f>SUMIF([1]Input!A$15:A$24, A13, [1]Input!B$15:B$24)</f>
        <v>0</v>
      </c>
      <c r="G13">
        <f t="shared" si="0"/>
        <v>0</v>
      </c>
    </row>
    <row r="14" spans="1:7" ht="15.75" customHeight="1">
      <c r="F14">
        <f>SUMIF([1]Input!A$15:A$24, A14, [1]Input!B$15:B$24)</f>
        <v>0</v>
      </c>
      <c r="G14">
        <f t="shared" si="0"/>
        <v>0</v>
      </c>
    </row>
    <row r="15" spans="1:7" ht="15.75" customHeight="1">
      <c r="F15">
        <f>SUMIF([1]Input!A$15:A$24, A15, [1]Input!B$15:B$24)</f>
        <v>0</v>
      </c>
      <c r="G15">
        <f t="shared" si="0"/>
        <v>0</v>
      </c>
    </row>
    <row r="16" spans="1:7" ht="15.75" customHeight="1">
      <c r="F16">
        <f>SUMIF([1]Input!A$15:A$24, A16, [1]Input!B$15:B$24)</f>
        <v>0</v>
      </c>
      <c r="G16">
        <f t="shared" si="0"/>
        <v>0</v>
      </c>
    </row>
    <row r="17" spans="6:7" ht="15.75" customHeight="1">
      <c r="F17">
        <f>SUMIF([1]Input!A$15:A$24, A17, [1]Input!B$15:B$24)</f>
        <v>0</v>
      </c>
      <c r="G17">
        <f t="shared" si="0"/>
        <v>0</v>
      </c>
    </row>
    <row r="18" spans="6:7" ht="15.75" customHeight="1">
      <c r="F18">
        <f>SUMIF([1]Input!A$15:A$24, A18, [1]Input!B$15:B$24)</f>
        <v>0</v>
      </c>
      <c r="G18">
        <f t="shared" si="0"/>
        <v>0</v>
      </c>
    </row>
    <row r="19" spans="6:7" ht="15.75" customHeight="1">
      <c r="F19">
        <f>SUMIF([1]Input!A$15:A$24, A19, [1]Input!B$15:B$24)</f>
        <v>0</v>
      </c>
      <c r="G19">
        <f t="shared" si="0"/>
        <v>0</v>
      </c>
    </row>
    <row r="20" spans="6:7" ht="15.75" customHeight="1">
      <c r="F20">
        <f>SUMIF([1]Input!A$15:A$24, A20, [1]Input!B$15:B$24)</f>
        <v>0</v>
      </c>
      <c r="G20">
        <f t="shared" si="0"/>
        <v>0</v>
      </c>
    </row>
    <row r="21" spans="6:7" ht="15.75" customHeight="1">
      <c r="F21">
        <f>SUMIF([1]Input!A$15:A$24, A21, [1]Input!B$15:B$24)</f>
        <v>0</v>
      </c>
      <c r="G21">
        <f t="shared" si="0"/>
        <v>0</v>
      </c>
    </row>
    <row r="22" spans="6:7" ht="15.75" customHeight="1">
      <c r="F22">
        <f>SUMIF([1]Input!A$15:A$24, A22, [1]Input!B$15:B$24)</f>
        <v>0</v>
      </c>
      <c r="G22">
        <f t="shared" si="0"/>
        <v>0</v>
      </c>
    </row>
    <row r="23" spans="6:7" ht="15.75" customHeight="1">
      <c r="F23">
        <f>SUMIF([1]Input!A$15:A$24, A23, [1]Input!B$15:B$24)</f>
        <v>0</v>
      </c>
      <c r="G23">
        <f t="shared" si="0"/>
        <v>0</v>
      </c>
    </row>
    <row r="24" spans="6:7" ht="15.75" customHeight="1">
      <c r="F24">
        <f>SUMIF([1]Input!A$15:A$24, A24, [1]Input!B$15:B$24)</f>
        <v>0</v>
      </c>
      <c r="G24">
        <f t="shared" si="0"/>
        <v>0</v>
      </c>
    </row>
    <row r="25" spans="6:7" ht="15.75" customHeight="1">
      <c r="F25">
        <f>SUMIF([1]Input!A$15:A$24, A25, [1]Input!B$15:B$24)</f>
        <v>0</v>
      </c>
      <c r="G25">
        <f t="shared" si="0"/>
        <v>0</v>
      </c>
    </row>
    <row r="26" spans="6:7" ht="15.75" customHeight="1">
      <c r="F26">
        <f>SUMIF([1]Input!A$15:A$24, A26, [1]Input!B$15:B$24)</f>
        <v>0</v>
      </c>
      <c r="G26">
        <f t="shared" si="0"/>
        <v>0</v>
      </c>
    </row>
    <row r="27" spans="6:7" ht="15.75" customHeight="1">
      <c r="F27">
        <f>SUMIF([1]Input!A$15:A$24, A27, [1]Input!B$15:B$24)</f>
        <v>0</v>
      </c>
      <c r="G27">
        <f t="shared" si="0"/>
        <v>0</v>
      </c>
    </row>
    <row r="28" spans="6:7" ht="15.75" customHeight="1">
      <c r="F28">
        <f>SUMIF([1]Input!A$15:A$24, A28, [1]Input!B$15:B$24)</f>
        <v>0</v>
      </c>
      <c r="G28">
        <f t="shared" si="0"/>
        <v>0</v>
      </c>
    </row>
    <row r="29" spans="6:7" ht="15.75" customHeight="1">
      <c r="F29">
        <f>SUMIF([1]Input!A$15:A$24, A29, [1]Input!B$15:B$24)</f>
        <v>0</v>
      </c>
      <c r="G29">
        <f t="shared" si="0"/>
        <v>0</v>
      </c>
    </row>
    <row r="30" spans="6:7" ht="15.75" customHeight="1">
      <c r="F30">
        <f>SUMIF([1]Input!A$15:A$24, A30, [1]Input!B$15:B$24)</f>
        <v>0</v>
      </c>
      <c r="G30">
        <f t="shared" si="0"/>
        <v>0</v>
      </c>
    </row>
    <row r="31" spans="6:7" ht="15.75" customHeight="1">
      <c r="F31">
        <f>SUMIF([1]Input!A$15:A$24, A31, [1]Input!B$15:B$24)</f>
        <v>0</v>
      </c>
      <c r="G31">
        <f t="shared" si="0"/>
        <v>0</v>
      </c>
    </row>
    <row r="32" spans="6:7" ht="15.75" customHeight="1">
      <c r="F32">
        <f>SUMIF([1]Input!A$15:A$24, A32, [1]Input!B$15:B$24)</f>
        <v>0</v>
      </c>
      <c r="G32">
        <f t="shared" si="0"/>
        <v>0</v>
      </c>
    </row>
    <row r="33" spans="6:7" ht="15.75" customHeight="1">
      <c r="F33">
        <f>SUMIF([1]Input!A$15:A$24, A33, [1]Input!B$15:B$24)</f>
        <v>0</v>
      </c>
      <c r="G33">
        <f t="shared" si="0"/>
        <v>0</v>
      </c>
    </row>
    <row r="34" spans="6:7" ht="15.75" customHeight="1">
      <c r="F34">
        <f>SUMIF([1]Input!A$15:A$24, A34, [1]Input!B$15:B$24)</f>
        <v>0</v>
      </c>
      <c r="G34">
        <f t="shared" si="0"/>
        <v>0</v>
      </c>
    </row>
    <row r="35" spans="6:7" ht="15.75" customHeight="1">
      <c r="F35">
        <f>SUMIF([1]Input!A$15:A$24, A35, [1]Input!B$15:B$24)</f>
        <v>0</v>
      </c>
      <c r="G35">
        <f t="shared" si="0"/>
        <v>0</v>
      </c>
    </row>
    <row r="36" spans="6:7" ht="15.75" customHeight="1">
      <c r="F36">
        <f>SUMIF([1]Input!A$15:A$24, A36, [1]Input!B$15:B$24)</f>
        <v>0</v>
      </c>
      <c r="G36">
        <f t="shared" si="0"/>
        <v>0</v>
      </c>
    </row>
    <row r="37" spans="6:7" ht="15.75" customHeight="1">
      <c r="F37">
        <f>SUMIF([1]Input!A$15:A$24, A37, [1]Input!B$15:B$24)</f>
        <v>0</v>
      </c>
      <c r="G37">
        <f t="shared" si="0"/>
        <v>0</v>
      </c>
    </row>
    <row r="38" spans="6:7" ht="15.75" customHeight="1">
      <c r="F38">
        <f>SUMIF([1]Input!A$15:A$24, A38, [1]Input!B$15:B$24)</f>
        <v>0</v>
      </c>
      <c r="G38">
        <f t="shared" si="0"/>
        <v>0</v>
      </c>
    </row>
    <row r="39" spans="6:7" ht="15.75" customHeight="1">
      <c r="F39">
        <f>SUMIF([1]Input!A$15:A$24, A39, [1]Input!B$15:B$24)</f>
        <v>0</v>
      </c>
      <c r="G39">
        <f t="shared" si="0"/>
        <v>0</v>
      </c>
    </row>
    <row r="40" spans="6:7" ht="15.75" customHeight="1">
      <c r="F40">
        <f>SUMIF([1]Input!A$15:A$24, A40, [1]Input!B$15:B$24)</f>
        <v>0</v>
      </c>
      <c r="G40">
        <f t="shared" si="0"/>
        <v>0</v>
      </c>
    </row>
    <row r="41" spans="6:7" ht="15.75" customHeight="1">
      <c r="F41">
        <f>SUMIF([1]Input!A$15:A$24, A41, [1]Input!B$15:B$24)</f>
        <v>0</v>
      </c>
      <c r="G41">
        <f t="shared" si="0"/>
        <v>0</v>
      </c>
    </row>
    <row r="42" spans="6:7" ht="15.75" customHeight="1">
      <c r="F42">
        <f>SUMIF([1]Input!A$15:A$24, A42, [1]Input!B$15:B$24)</f>
        <v>0</v>
      </c>
      <c r="G42">
        <f t="shared" si="0"/>
        <v>0</v>
      </c>
    </row>
    <row r="43" spans="6:7" ht="15.75" customHeight="1">
      <c r="F43">
        <f>SUMIF([1]Input!A$15:A$24, A43, [1]Input!B$15:B$24)</f>
        <v>0</v>
      </c>
      <c r="G43">
        <f t="shared" si="0"/>
        <v>0</v>
      </c>
    </row>
    <row r="44" spans="6:7" ht="15.75" customHeight="1">
      <c r="F44">
        <f>SUMIF([1]Input!A$15:A$24, A44, [1]Input!B$15:B$24)</f>
        <v>0</v>
      </c>
      <c r="G44">
        <f t="shared" si="0"/>
        <v>0</v>
      </c>
    </row>
    <row r="45" spans="6:7" ht="15.75" customHeight="1">
      <c r="F45">
        <f>SUMIF([1]Input!A$15:A$24, A45, [1]Input!B$15:B$24)</f>
        <v>0</v>
      </c>
      <c r="G45">
        <f t="shared" si="0"/>
        <v>0</v>
      </c>
    </row>
    <row r="46" spans="6:7" ht="15.75" customHeight="1">
      <c r="F46">
        <f>SUMIF([1]Input!A$15:A$24, A46, [1]Input!B$15:B$24)</f>
        <v>0</v>
      </c>
      <c r="G46">
        <f t="shared" si="0"/>
        <v>0</v>
      </c>
    </row>
    <row r="47" spans="6:7" ht="15.75" customHeight="1">
      <c r="F47">
        <f>SUMIF([1]Input!A$15:A$24, A47, [1]Input!B$15:B$24)</f>
        <v>0</v>
      </c>
      <c r="G47">
        <f t="shared" si="0"/>
        <v>0</v>
      </c>
    </row>
    <row r="48" spans="6:7" ht="15.75" customHeight="1">
      <c r="F48">
        <f>SUMIF([1]Input!A$15:A$24, A48, [1]Input!B$15:B$24)</f>
        <v>0</v>
      </c>
      <c r="G48">
        <f t="shared" si="0"/>
        <v>0</v>
      </c>
    </row>
    <row r="49" spans="6:7" ht="15.75" customHeight="1">
      <c r="F49">
        <f>SUMIF([1]Input!A$15:A$24, A49, [1]Input!B$15:B$24)</f>
        <v>0</v>
      </c>
      <c r="G49">
        <f t="shared" si="0"/>
        <v>0</v>
      </c>
    </row>
    <row r="50" spans="6:7" ht="15.75" customHeight="1">
      <c r="F50">
        <f>SUMIF([1]Input!A$15:A$24, A50, [1]Input!B$15:B$24)</f>
        <v>0</v>
      </c>
      <c r="G50">
        <f t="shared" si="0"/>
        <v>0</v>
      </c>
    </row>
    <row r="51" spans="6:7" ht="15.75" customHeight="1">
      <c r="F51">
        <f>SUMIF([1]Input!A$15:A$24, A51, [1]Input!B$15:B$24)</f>
        <v>0</v>
      </c>
      <c r="G51">
        <f t="shared" si="0"/>
        <v>0</v>
      </c>
    </row>
    <row r="52" spans="6:7" ht="15.75" customHeight="1">
      <c r="F52">
        <f>SUMIF([1]Input!A$15:A$24, A52, [1]Input!B$15:B$24)</f>
        <v>0</v>
      </c>
      <c r="G52">
        <f t="shared" si="0"/>
        <v>0</v>
      </c>
    </row>
    <row r="53" spans="6:7" ht="15.75" customHeight="1">
      <c r="F53">
        <f>SUMIF([1]Input!A$15:A$24, A53, [1]Input!B$15:B$24)</f>
        <v>0</v>
      </c>
      <c r="G53">
        <f t="shared" si="0"/>
        <v>0</v>
      </c>
    </row>
    <row r="54" spans="6:7" ht="15.75" customHeight="1">
      <c r="F54">
        <f>SUMIF([1]Input!A$15:A$24, A54, [1]Input!B$15:B$24)</f>
        <v>0</v>
      </c>
      <c r="G54">
        <f t="shared" si="0"/>
        <v>0</v>
      </c>
    </row>
    <row r="55" spans="6:7" ht="15.75" customHeight="1">
      <c r="F55">
        <f>SUMIF([1]Input!A$15:A$24, A55, [1]Input!B$15:B$24)</f>
        <v>0</v>
      </c>
      <c r="G55">
        <f t="shared" si="0"/>
        <v>0</v>
      </c>
    </row>
    <row r="56" spans="6:7" ht="15.75" customHeight="1">
      <c r="F56">
        <f>SUMIF([1]Input!A$15:A$24, A56, [1]Input!B$15:B$24)</f>
        <v>0</v>
      </c>
      <c r="G56">
        <f t="shared" si="0"/>
        <v>0</v>
      </c>
    </row>
    <row r="57" spans="6:7" ht="15.75" customHeight="1">
      <c r="F57">
        <f>SUMIF([1]Input!A$15:A$24, A57, [1]Input!B$15:B$24)</f>
        <v>0</v>
      </c>
      <c r="G57">
        <f t="shared" si="0"/>
        <v>0</v>
      </c>
    </row>
    <row r="58" spans="6:7" ht="15.75" customHeight="1">
      <c r="F58">
        <f>SUMIF([1]Input!A$15:A$24, A58, [1]Input!B$15:B$24)</f>
        <v>0</v>
      </c>
      <c r="G58">
        <f t="shared" si="0"/>
        <v>0</v>
      </c>
    </row>
    <row r="59" spans="6:7" ht="15.75" customHeight="1">
      <c r="F59">
        <f>SUMIF([1]Input!A$15:A$24, A59, [1]Input!B$15:B$24)</f>
        <v>0</v>
      </c>
      <c r="G59">
        <f t="shared" si="0"/>
        <v>0</v>
      </c>
    </row>
    <row r="60" spans="6:7" ht="15.75" customHeight="1">
      <c r="F60">
        <f>SUMIF([1]Input!A$15:A$24, A60, [1]Input!B$15:B$24)</f>
        <v>0</v>
      </c>
      <c r="G60">
        <f t="shared" si="0"/>
        <v>0</v>
      </c>
    </row>
    <row r="61" spans="6:7" ht="15.75" customHeight="1">
      <c r="F61">
        <f>SUMIF([1]Input!A$15:A$24, A61, [1]Input!B$15:B$24)</f>
        <v>0</v>
      </c>
      <c r="G61">
        <f t="shared" si="0"/>
        <v>0</v>
      </c>
    </row>
    <row r="62" spans="6:7" ht="15.75" customHeight="1">
      <c r="F62">
        <f>SUMIF([1]Input!A$15:A$24, A62, [1]Input!B$15:B$24)</f>
        <v>0</v>
      </c>
      <c r="G62">
        <f t="shared" si="0"/>
        <v>0</v>
      </c>
    </row>
    <row r="63" spans="6:7" ht="15.75" customHeight="1">
      <c r="F63">
        <f>SUMIF([1]Input!A$15:A$24, A63, [1]Input!B$15:B$24)</f>
        <v>0</v>
      </c>
      <c r="G63">
        <f t="shared" si="0"/>
        <v>0</v>
      </c>
    </row>
    <row r="64" spans="6:7" ht="15.75" customHeight="1">
      <c r="F64">
        <f>SUMIF([1]Input!A$15:A$24, A64, [1]Input!B$15:B$24)</f>
        <v>0</v>
      </c>
      <c r="G64">
        <f t="shared" si="0"/>
        <v>0</v>
      </c>
    </row>
    <row r="65" spans="6:7" ht="15.75" customHeight="1">
      <c r="F65">
        <f>SUMIF([1]Input!A$15:A$24, A65, [1]Input!B$15:B$24)</f>
        <v>0</v>
      </c>
      <c r="G65">
        <f t="shared" si="0"/>
        <v>0</v>
      </c>
    </row>
    <row r="66" spans="6:7" ht="15.75" customHeight="1">
      <c r="F66">
        <f>SUMIF([1]Input!A$15:A$24, A66, [1]Input!B$15:B$24)</f>
        <v>0</v>
      </c>
      <c r="G66">
        <f t="shared" si="0"/>
        <v>0</v>
      </c>
    </row>
    <row r="67" spans="6:7" ht="15.75" customHeight="1">
      <c r="F67">
        <f>SUMIF([1]Input!A$15:A$24, A67, [1]Input!B$15:B$24)</f>
        <v>0</v>
      </c>
      <c r="G67">
        <f t="shared" ref="G67:G130" si="1">B67 - F67</f>
        <v>0</v>
      </c>
    </row>
    <row r="68" spans="6:7" ht="15.75" customHeight="1">
      <c r="F68">
        <f>SUMIF([1]Input!A$15:A$24, A68, [1]Input!B$15:B$24)</f>
        <v>0</v>
      </c>
      <c r="G68">
        <f t="shared" si="1"/>
        <v>0</v>
      </c>
    </row>
    <row r="69" spans="6:7" ht="15.75" customHeight="1">
      <c r="F69">
        <f>SUMIF([1]Input!A$15:A$24, A69, [1]Input!B$15:B$24)</f>
        <v>0</v>
      </c>
      <c r="G69">
        <f t="shared" si="1"/>
        <v>0</v>
      </c>
    </row>
    <row r="70" spans="6:7" ht="15.75" customHeight="1">
      <c r="F70">
        <f>SUMIF([1]Input!A$15:A$24, A70, [1]Input!B$15:B$24)</f>
        <v>0</v>
      </c>
      <c r="G70">
        <f t="shared" si="1"/>
        <v>0</v>
      </c>
    </row>
    <row r="71" spans="6:7" ht="15.75" customHeight="1">
      <c r="F71">
        <f>SUMIF([1]Input!A$15:A$24, A71, [1]Input!B$15:B$24)</f>
        <v>0</v>
      </c>
      <c r="G71">
        <f t="shared" si="1"/>
        <v>0</v>
      </c>
    </row>
    <row r="72" spans="6:7" ht="15.75" customHeight="1">
      <c r="F72">
        <f>SUMIF([1]Input!A$15:A$24, A72, [1]Input!B$15:B$24)</f>
        <v>0</v>
      </c>
      <c r="G72">
        <f t="shared" si="1"/>
        <v>0</v>
      </c>
    </row>
    <row r="73" spans="6:7" ht="15.75" customHeight="1">
      <c r="F73">
        <f>SUMIF([1]Input!A$15:A$24, A73, [1]Input!B$15:B$24)</f>
        <v>0</v>
      </c>
      <c r="G73">
        <f t="shared" si="1"/>
        <v>0</v>
      </c>
    </row>
    <row r="74" spans="6:7" ht="15.75" customHeight="1">
      <c r="F74">
        <f>SUMIF([1]Input!A$15:A$24, A74, [1]Input!B$15:B$24)</f>
        <v>0</v>
      </c>
      <c r="G74">
        <f t="shared" si="1"/>
        <v>0</v>
      </c>
    </row>
    <row r="75" spans="6:7" ht="15.75" customHeight="1">
      <c r="F75">
        <f>SUMIF([1]Input!A$15:A$24, A75, [1]Input!B$15:B$24)</f>
        <v>0</v>
      </c>
      <c r="G75">
        <f t="shared" si="1"/>
        <v>0</v>
      </c>
    </row>
    <row r="76" spans="6:7" ht="15.75" customHeight="1">
      <c r="F76">
        <f>SUMIF([1]Input!A$15:A$24, A76, [1]Input!B$15:B$24)</f>
        <v>0</v>
      </c>
      <c r="G76">
        <f t="shared" si="1"/>
        <v>0</v>
      </c>
    </row>
    <row r="77" spans="6:7" ht="15.75" customHeight="1">
      <c r="F77">
        <f>SUMIF([1]Input!A$15:A$24, A77, [1]Input!B$15:B$24)</f>
        <v>0</v>
      </c>
      <c r="G77">
        <f t="shared" si="1"/>
        <v>0</v>
      </c>
    </row>
    <row r="78" spans="6:7" ht="15.75" customHeight="1">
      <c r="F78">
        <f>SUMIF([1]Input!A$15:A$24, A78, [1]Input!B$15:B$24)</f>
        <v>0</v>
      </c>
      <c r="G78">
        <f t="shared" si="1"/>
        <v>0</v>
      </c>
    </row>
    <row r="79" spans="6:7" ht="15.75" customHeight="1">
      <c r="F79">
        <f>SUMIF([1]Input!A$15:A$24, A79, [1]Input!B$15:B$24)</f>
        <v>0</v>
      </c>
      <c r="G79">
        <f t="shared" si="1"/>
        <v>0</v>
      </c>
    </row>
    <row r="80" spans="6:7" ht="15.75" customHeight="1">
      <c r="F80">
        <f>SUMIF([1]Input!A$15:A$24, A80, [1]Input!B$15:B$24)</f>
        <v>0</v>
      </c>
      <c r="G80">
        <f t="shared" si="1"/>
        <v>0</v>
      </c>
    </row>
    <row r="81" spans="6:7" ht="15.75" customHeight="1">
      <c r="F81">
        <f>SUMIF([1]Input!A$15:A$24, A81, [1]Input!B$15:B$24)</f>
        <v>0</v>
      </c>
      <c r="G81">
        <f t="shared" si="1"/>
        <v>0</v>
      </c>
    </row>
    <row r="82" spans="6:7" ht="15.75" customHeight="1">
      <c r="F82">
        <f>SUMIF([1]Input!A$15:A$24, A82, [1]Input!B$15:B$24)</f>
        <v>0</v>
      </c>
      <c r="G82">
        <f t="shared" si="1"/>
        <v>0</v>
      </c>
    </row>
    <row r="83" spans="6:7" ht="15.75" customHeight="1">
      <c r="F83">
        <f>SUMIF([1]Input!A$15:A$24, A83, [1]Input!B$15:B$24)</f>
        <v>0</v>
      </c>
      <c r="G83">
        <f t="shared" si="1"/>
        <v>0</v>
      </c>
    </row>
    <row r="84" spans="6:7" ht="15.75" customHeight="1">
      <c r="F84">
        <f>SUMIF([1]Input!A$15:A$24, A84, [1]Input!B$15:B$24)</f>
        <v>0</v>
      </c>
      <c r="G84">
        <f t="shared" si="1"/>
        <v>0</v>
      </c>
    </row>
    <row r="85" spans="6:7" ht="15.75" customHeight="1">
      <c r="F85">
        <f>SUMIF([1]Input!A$15:A$24, A85, [1]Input!B$15:B$24)</f>
        <v>0</v>
      </c>
      <c r="G85">
        <f t="shared" si="1"/>
        <v>0</v>
      </c>
    </row>
    <row r="86" spans="6:7" ht="15.75" customHeight="1">
      <c r="F86">
        <f>SUMIF([1]Input!A$15:A$24, A86, [1]Input!B$15:B$24)</f>
        <v>0</v>
      </c>
      <c r="G86">
        <f t="shared" si="1"/>
        <v>0</v>
      </c>
    </row>
    <row r="87" spans="6:7" ht="15.75" customHeight="1">
      <c r="F87">
        <f>SUMIF([1]Input!A$15:A$24, A87, [1]Input!B$15:B$24)</f>
        <v>0</v>
      </c>
      <c r="G87">
        <f t="shared" si="1"/>
        <v>0</v>
      </c>
    </row>
    <row r="88" spans="6:7" ht="15.75" customHeight="1">
      <c r="F88">
        <f>SUMIF([1]Input!A$15:A$24, A88, [1]Input!B$15:B$24)</f>
        <v>0</v>
      </c>
      <c r="G88">
        <f t="shared" si="1"/>
        <v>0</v>
      </c>
    </row>
    <row r="89" spans="6:7" ht="15.75" customHeight="1">
      <c r="F89">
        <f>SUMIF([1]Input!A$15:A$24, A89, [1]Input!B$15:B$24)</f>
        <v>0</v>
      </c>
      <c r="G89">
        <f t="shared" si="1"/>
        <v>0</v>
      </c>
    </row>
    <row r="90" spans="6:7" ht="15.75" customHeight="1">
      <c r="F90">
        <f>SUMIF([1]Input!A$15:A$24, A90, [1]Input!B$15:B$24)</f>
        <v>0</v>
      </c>
      <c r="G90">
        <f t="shared" si="1"/>
        <v>0</v>
      </c>
    </row>
    <row r="91" spans="6:7" ht="15.75" customHeight="1">
      <c r="F91">
        <f>SUMIF([1]Input!A$15:A$24, A91, [1]Input!B$15:B$24)</f>
        <v>0</v>
      </c>
      <c r="G91">
        <f t="shared" si="1"/>
        <v>0</v>
      </c>
    </row>
    <row r="92" spans="6:7" ht="15.75" customHeight="1">
      <c r="F92">
        <f>SUMIF([1]Input!A$15:A$24, A92, [1]Input!B$15:B$24)</f>
        <v>0</v>
      </c>
      <c r="G92">
        <f t="shared" si="1"/>
        <v>0</v>
      </c>
    </row>
    <row r="93" spans="6:7" ht="15.75" customHeight="1">
      <c r="F93">
        <f>SUMIF([1]Input!A$15:A$24, A93, [1]Input!B$15:B$24)</f>
        <v>0</v>
      </c>
      <c r="G93">
        <f t="shared" si="1"/>
        <v>0</v>
      </c>
    </row>
    <row r="94" spans="6:7" ht="15.75" customHeight="1">
      <c r="F94">
        <f>SUMIF([1]Input!A$15:A$24, A94, [1]Input!B$15:B$24)</f>
        <v>0</v>
      </c>
      <c r="G94">
        <f t="shared" si="1"/>
        <v>0</v>
      </c>
    </row>
    <row r="95" spans="6:7" ht="15.75" customHeight="1">
      <c r="F95">
        <f>SUMIF([1]Input!A$15:A$24, A95, [1]Input!B$15:B$24)</f>
        <v>0</v>
      </c>
      <c r="G95">
        <f t="shared" si="1"/>
        <v>0</v>
      </c>
    </row>
    <row r="96" spans="6:7" ht="15.75" customHeight="1">
      <c r="F96">
        <f>SUMIF([1]Input!A$15:A$24, A96, [1]Input!B$15:B$24)</f>
        <v>0</v>
      </c>
      <c r="G96">
        <f t="shared" si="1"/>
        <v>0</v>
      </c>
    </row>
    <row r="97" spans="6:7" ht="15.75" customHeight="1">
      <c r="F97">
        <f>SUMIF([1]Input!A$15:A$24, A97, [1]Input!B$15:B$24)</f>
        <v>0</v>
      </c>
      <c r="G97">
        <f t="shared" si="1"/>
        <v>0</v>
      </c>
    </row>
    <row r="98" spans="6:7" ht="15.75" customHeight="1">
      <c r="F98">
        <f>SUMIF([1]Input!A$15:A$24, A98, [1]Input!B$15:B$24)</f>
        <v>0</v>
      </c>
      <c r="G98">
        <f t="shared" si="1"/>
        <v>0</v>
      </c>
    </row>
    <row r="99" spans="6:7" ht="15.75" customHeight="1">
      <c r="F99">
        <f>SUMIF([1]Input!A$15:A$24, A99, [1]Input!B$15:B$24)</f>
        <v>0</v>
      </c>
      <c r="G99">
        <f t="shared" si="1"/>
        <v>0</v>
      </c>
    </row>
    <row r="100" spans="6:7" ht="15.75" customHeight="1">
      <c r="F100">
        <f>SUMIF([1]Input!A$15:A$24, A100, [1]Input!B$15:B$24)</f>
        <v>0</v>
      </c>
      <c r="G100">
        <f t="shared" si="1"/>
        <v>0</v>
      </c>
    </row>
    <row r="101" spans="6:7" ht="15.75" customHeight="1">
      <c r="F101">
        <f>SUMIF([1]Input!A$15:A$24, A101, [1]Input!B$15:B$24)</f>
        <v>0</v>
      </c>
      <c r="G101">
        <f t="shared" si="1"/>
        <v>0</v>
      </c>
    </row>
    <row r="102" spans="6:7" ht="15.75" customHeight="1">
      <c r="F102">
        <f>SUMIF([1]Input!A$15:A$24, A102, [1]Input!B$15:B$24)</f>
        <v>0</v>
      </c>
      <c r="G102">
        <f t="shared" si="1"/>
        <v>0</v>
      </c>
    </row>
    <row r="103" spans="6:7" ht="15.75" customHeight="1">
      <c r="F103">
        <f>SUMIF([1]Input!A$15:A$24, A103, [1]Input!B$15:B$24)</f>
        <v>0</v>
      </c>
      <c r="G103">
        <f t="shared" si="1"/>
        <v>0</v>
      </c>
    </row>
    <row r="104" spans="6:7" ht="15.75" customHeight="1">
      <c r="F104">
        <f>SUMIF([1]Input!A$15:A$24, A104, [1]Input!B$15:B$24)</f>
        <v>0</v>
      </c>
      <c r="G104">
        <f t="shared" si="1"/>
        <v>0</v>
      </c>
    </row>
    <row r="105" spans="6:7" ht="15.75" customHeight="1">
      <c r="F105">
        <f>SUMIF([1]Input!A$15:A$24, A105, [1]Input!B$15:B$24)</f>
        <v>0</v>
      </c>
      <c r="G105">
        <f t="shared" si="1"/>
        <v>0</v>
      </c>
    </row>
    <row r="106" spans="6:7" ht="15.75" customHeight="1">
      <c r="F106">
        <f>SUMIF([1]Input!A$15:A$24, A106, [1]Input!B$15:B$24)</f>
        <v>0</v>
      </c>
      <c r="G106">
        <f t="shared" si="1"/>
        <v>0</v>
      </c>
    </row>
    <row r="107" spans="6:7" ht="15.75" customHeight="1">
      <c r="F107">
        <f>SUMIF([1]Input!A$15:A$24, A107, [1]Input!B$15:B$24)</f>
        <v>0</v>
      </c>
      <c r="G107">
        <f t="shared" si="1"/>
        <v>0</v>
      </c>
    </row>
    <row r="108" spans="6:7" ht="15.75" customHeight="1">
      <c r="F108">
        <f>SUMIF([1]Input!A$15:A$24, A108, [1]Input!B$15:B$24)</f>
        <v>0</v>
      </c>
      <c r="G108">
        <f t="shared" si="1"/>
        <v>0</v>
      </c>
    </row>
    <row r="109" spans="6:7" ht="15.75" customHeight="1">
      <c r="F109">
        <f>SUMIF([1]Input!A$15:A$24, A109, [1]Input!B$15:B$24)</f>
        <v>0</v>
      </c>
      <c r="G109">
        <f t="shared" si="1"/>
        <v>0</v>
      </c>
    </row>
    <row r="110" spans="6:7" ht="15.75" customHeight="1">
      <c r="F110">
        <f>SUMIF([1]Input!A$15:A$24, A110, [1]Input!B$15:B$24)</f>
        <v>0</v>
      </c>
      <c r="G110">
        <f t="shared" si="1"/>
        <v>0</v>
      </c>
    </row>
    <row r="111" spans="6:7" ht="15.75" customHeight="1">
      <c r="F111">
        <f>SUMIF([1]Input!A$15:A$24, A111, [1]Input!B$15:B$24)</f>
        <v>0</v>
      </c>
      <c r="G111">
        <f t="shared" si="1"/>
        <v>0</v>
      </c>
    </row>
    <row r="112" spans="6:7" ht="15.75" customHeight="1">
      <c r="F112">
        <f>SUMIF([1]Input!A$15:A$24, A112, [1]Input!B$15:B$24)</f>
        <v>0</v>
      </c>
      <c r="G112">
        <f t="shared" si="1"/>
        <v>0</v>
      </c>
    </row>
    <row r="113" spans="6:7" ht="15.75" customHeight="1">
      <c r="F113">
        <f>SUMIF([1]Input!A$15:A$24, A113, [1]Input!B$15:B$24)</f>
        <v>0</v>
      </c>
      <c r="G113">
        <f t="shared" si="1"/>
        <v>0</v>
      </c>
    </row>
    <row r="114" spans="6:7" ht="15.75" customHeight="1">
      <c r="F114">
        <f>SUMIF([1]Input!A$15:A$24, A114, [1]Input!B$15:B$24)</f>
        <v>0</v>
      </c>
      <c r="G114">
        <f t="shared" si="1"/>
        <v>0</v>
      </c>
    </row>
    <row r="115" spans="6:7" ht="15.75" customHeight="1">
      <c r="F115">
        <f>SUMIF([1]Input!A$15:A$24, A115, [1]Input!B$15:B$24)</f>
        <v>0</v>
      </c>
      <c r="G115">
        <f t="shared" si="1"/>
        <v>0</v>
      </c>
    </row>
    <row r="116" spans="6:7" ht="15.75" customHeight="1">
      <c r="F116">
        <f>SUMIF([1]Input!A$15:A$24, A116, [1]Input!B$15:B$24)</f>
        <v>0</v>
      </c>
      <c r="G116">
        <f t="shared" si="1"/>
        <v>0</v>
      </c>
    </row>
    <row r="117" spans="6:7" ht="15.75" customHeight="1">
      <c r="F117">
        <f>SUMIF([1]Input!A$15:A$24, A117, [1]Input!B$15:B$24)</f>
        <v>0</v>
      </c>
      <c r="G117">
        <f t="shared" si="1"/>
        <v>0</v>
      </c>
    </row>
    <row r="118" spans="6:7" ht="15.75" customHeight="1">
      <c r="F118">
        <f>SUMIF([1]Input!A$15:A$24, A118, [1]Input!B$15:B$24)</f>
        <v>0</v>
      </c>
      <c r="G118">
        <f t="shared" si="1"/>
        <v>0</v>
      </c>
    </row>
    <row r="119" spans="6:7" ht="15.75" customHeight="1">
      <c r="F119">
        <f>SUMIF([1]Input!A$15:A$24, A119, [1]Input!B$15:B$24)</f>
        <v>0</v>
      </c>
      <c r="G119">
        <f t="shared" si="1"/>
        <v>0</v>
      </c>
    </row>
    <row r="120" spans="6:7" ht="15.75" customHeight="1">
      <c r="F120">
        <f>SUMIF([1]Input!A$15:A$24, A120, [1]Input!B$15:B$24)</f>
        <v>0</v>
      </c>
      <c r="G120">
        <f t="shared" si="1"/>
        <v>0</v>
      </c>
    </row>
    <row r="121" spans="6:7" ht="15.75" customHeight="1">
      <c r="F121">
        <f>SUMIF([1]Input!A$15:A$24, A121, [1]Input!B$15:B$24)</f>
        <v>0</v>
      </c>
      <c r="G121">
        <f t="shared" si="1"/>
        <v>0</v>
      </c>
    </row>
    <row r="122" spans="6:7" ht="15.75" customHeight="1">
      <c r="F122">
        <f>SUMIF([1]Input!A$15:A$24, A122, [1]Input!B$15:B$24)</f>
        <v>0</v>
      </c>
      <c r="G122">
        <f t="shared" si="1"/>
        <v>0</v>
      </c>
    </row>
    <row r="123" spans="6:7" ht="15.75" customHeight="1">
      <c r="F123">
        <f>SUMIF([1]Input!A$15:A$24, A123, [1]Input!B$15:B$24)</f>
        <v>0</v>
      </c>
      <c r="G123">
        <f t="shared" si="1"/>
        <v>0</v>
      </c>
    </row>
    <row r="124" spans="6:7" ht="15.75" customHeight="1">
      <c r="F124">
        <f>SUMIF([1]Input!A$15:A$24, A124, [1]Input!B$15:B$24)</f>
        <v>0</v>
      </c>
      <c r="G124">
        <f t="shared" si="1"/>
        <v>0</v>
      </c>
    </row>
    <row r="125" spans="6:7" ht="15.75" customHeight="1">
      <c r="F125">
        <f>SUMIF([1]Input!A$15:A$24, A125, [1]Input!B$15:B$24)</f>
        <v>0</v>
      </c>
      <c r="G125">
        <f t="shared" si="1"/>
        <v>0</v>
      </c>
    </row>
    <row r="126" spans="6:7" ht="15.75" customHeight="1">
      <c r="F126">
        <f>SUMIF([1]Input!A$15:A$24, A126, [1]Input!B$15:B$24)</f>
        <v>0</v>
      </c>
      <c r="G126">
        <f t="shared" si="1"/>
        <v>0</v>
      </c>
    </row>
    <row r="127" spans="6:7" ht="15.75" customHeight="1">
      <c r="F127">
        <f>SUMIF([1]Input!A$15:A$24, A127, [1]Input!B$15:B$24)</f>
        <v>0</v>
      </c>
      <c r="G127">
        <f t="shared" si="1"/>
        <v>0</v>
      </c>
    </row>
    <row r="128" spans="6:7" ht="15.75" customHeight="1">
      <c r="F128">
        <f>SUMIF([1]Input!A$15:A$24, A128, [1]Input!B$15:B$24)</f>
        <v>0</v>
      </c>
      <c r="G128">
        <f t="shared" si="1"/>
        <v>0</v>
      </c>
    </row>
    <row r="129" spans="6:7" ht="15.75" customHeight="1">
      <c r="F129">
        <f>SUMIF([1]Input!A$15:A$24, A129, [1]Input!B$15:B$24)</f>
        <v>0</v>
      </c>
      <c r="G129">
        <f t="shared" si="1"/>
        <v>0</v>
      </c>
    </row>
    <row r="130" spans="6:7" ht="15.75" customHeight="1">
      <c r="F130">
        <f>SUMIF([1]Input!A$15:A$24, A130, [1]Input!B$15:B$24)</f>
        <v>0</v>
      </c>
      <c r="G130">
        <f t="shared" si="1"/>
        <v>0</v>
      </c>
    </row>
    <row r="131" spans="6:7" ht="15.75" customHeight="1">
      <c r="F131">
        <f>SUMIF([1]Input!A$15:A$24, A131, [1]Input!B$15:B$24)</f>
        <v>0</v>
      </c>
      <c r="G131">
        <f t="shared" ref="G131:G194" si="2">B131 - F131</f>
        <v>0</v>
      </c>
    </row>
    <row r="132" spans="6:7" ht="15.75" customHeight="1">
      <c r="F132">
        <f>SUMIF([1]Input!A$15:A$24, A132, [1]Input!B$15:B$24)</f>
        <v>0</v>
      </c>
      <c r="G132">
        <f t="shared" si="2"/>
        <v>0</v>
      </c>
    </row>
    <row r="133" spans="6:7" ht="15.75" customHeight="1">
      <c r="F133">
        <f>SUMIF([1]Input!A$15:A$24, A133, [1]Input!B$15:B$24)</f>
        <v>0</v>
      </c>
      <c r="G133">
        <f t="shared" si="2"/>
        <v>0</v>
      </c>
    </row>
    <row r="134" spans="6:7" ht="15.75" customHeight="1">
      <c r="F134">
        <f>SUMIF([1]Input!A$15:A$24, A134, [1]Input!B$15:B$24)</f>
        <v>0</v>
      </c>
      <c r="G134">
        <f t="shared" si="2"/>
        <v>0</v>
      </c>
    </row>
    <row r="135" spans="6:7" ht="15.75" customHeight="1">
      <c r="F135">
        <f>SUMIF([1]Input!A$15:A$24, A135, [1]Input!B$15:B$24)</f>
        <v>0</v>
      </c>
      <c r="G135">
        <f t="shared" si="2"/>
        <v>0</v>
      </c>
    </row>
    <row r="136" spans="6:7" ht="15.75" customHeight="1">
      <c r="F136">
        <f>SUMIF([1]Input!A$15:A$24, A136, [1]Input!B$15:B$24)</f>
        <v>0</v>
      </c>
      <c r="G136">
        <f t="shared" si="2"/>
        <v>0</v>
      </c>
    </row>
    <row r="137" spans="6:7" ht="15.75" customHeight="1">
      <c r="F137">
        <f>SUMIF([1]Input!A$15:A$24, A137, [1]Input!B$15:B$24)</f>
        <v>0</v>
      </c>
      <c r="G137">
        <f t="shared" si="2"/>
        <v>0</v>
      </c>
    </row>
    <row r="138" spans="6:7" ht="15.75" customHeight="1">
      <c r="F138">
        <f>SUMIF([1]Input!A$15:A$24, A138, [1]Input!B$15:B$24)</f>
        <v>0</v>
      </c>
      <c r="G138">
        <f t="shared" si="2"/>
        <v>0</v>
      </c>
    </row>
    <row r="139" spans="6:7" ht="15.75" customHeight="1">
      <c r="F139">
        <f>SUMIF([1]Input!A$15:A$24, A139, [1]Input!B$15:B$24)</f>
        <v>0</v>
      </c>
      <c r="G139">
        <f t="shared" si="2"/>
        <v>0</v>
      </c>
    </row>
    <row r="140" spans="6:7" ht="15.75" customHeight="1">
      <c r="F140">
        <f>SUMIF([1]Input!A$15:A$24, A140, [1]Input!B$15:B$24)</f>
        <v>0</v>
      </c>
      <c r="G140">
        <f t="shared" si="2"/>
        <v>0</v>
      </c>
    </row>
    <row r="141" spans="6:7" ht="15.75" customHeight="1">
      <c r="F141">
        <f>SUMIF([1]Input!A$15:A$24, A141, [1]Input!B$15:B$24)</f>
        <v>0</v>
      </c>
      <c r="G141">
        <f t="shared" si="2"/>
        <v>0</v>
      </c>
    </row>
    <row r="142" spans="6:7" ht="15.75" customHeight="1">
      <c r="F142">
        <f>SUMIF([1]Input!A$15:A$24, A142, [1]Input!B$15:B$24)</f>
        <v>0</v>
      </c>
      <c r="G142">
        <f t="shared" si="2"/>
        <v>0</v>
      </c>
    </row>
    <row r="143" spans="6:7" ht="15.75" customHeight="1">
      <c r="F143">
        <f>SUMIF([1]Input!A$15:A$24, A143, [1]Input!B$15:B$24)</f>
        <v>0</v>
      </c>
      <c r="G143">
        <f t="shared" si="2"/>
        <v>0</v>
      </c>
    </row>
    <row r="144" spans="6:7" ht="15.75" customHeight="1">
      <c r="F144">
        <f>SUMIF([1]Input!A$15:A$24, A144, [1]Input!B$15:B$24)</f>
        <v>0</v>
      </c>
      <c r="G144">
        <f t="shared" si="2"/>
        <v>0</v>
      </c>
    </row>
    <row r="145" spans="6:7" ht="15.75" customHeight="1">
      <c r="F145">
        <f>SUMIF([1]Input!A$15:A$24, A145, [1]Input!B$15:B$24)</f>
        <v>0</v>
      </c>
      <c r="G145">
        <f t="shared" si="2"/>
        <v>0</v>
      </c>
    </row>
    <row r="146" spans="6:7" ht="15.75" customHeight="1">
      <c r="F146">
        <f>SUMIF([1]Input!A$15:A$24, A146, [1]Input!B$15:B$24)</f>
        <v>0</v>
      </c>
      <c r="G146">
        <f t="shared" si="2"/>
        <v>0</v>
      </c>
    </row>
    <row r="147" spans="6:7" ht="15.75" customHeight="1">
      <c r="F147">
        <f>SUMIF([1]Input!A$15:A$24, A147, [1]Input!B$15:B$24)</f>
        <v>0</v>
      </c>
      <c r="G147">
        <f t="shared" si="2"/>
        <v>0</v>
      </c>
    </row>
    <row r="148" spans="6:7" ht="15.75" customHeight="1">
      <c r="F148">
        <f>SUMIF([1]Input!A$15:A$24, A148, [1]Input!B$15:B$24)</f>
        <v>0</v>
      </c>
      <c r="G148">
        <f t="shared" si="2"/>
        <v>0</v>
      </c>
    </row>
    <row r="149" spans="6:7" ht="15.75" customHeight="1">
      <c r="F149">
        <f>SUMIF([1]Input!A$15:A$24, A149, [1]Input!B$15:B$24)</f>
        <v>0</v>
      </c>
      <c r="G149">
        <f t="shared" si="2"/>
        <v>0</v>
      </c>
    </row>
    <row r="150" spans="6:7" ht="15.75" customHeight="1">
      <c r="F150">
        <f>SUMIF([1]Input!A$15:A$24, A150, [1]Input!B$15:B$24)</f>
        <v>0</v>
      </c>
      <c r="G150">
        <f t="shared" si="2"/>
        <v>0</v>
      </c>
    </row>
    <row r="151" spans="6:7" ht="15.75" customHeight="1">
      <c r="F151">
        <f>SUMIF([1]Input!A$15:A$24, A151, [1]Input!B$15:B$24)</f>
        <v>0</v>
      </c>
      <c r="G151">
        <f t="shared" si="2"/>
        <v>0</v>
      </c>
    </row>
    <row r="152" spans="6:7" ht="15.75" customHeight="1">
      <c r="F152">
        <f>SUMIF([1]Input!A$15:A$24, A152, [1]Input!B$15:B$24)</f>
        <v>0</v>
      </c>
      <c r="G152">
        <f t="shared" si="2"/>
        <v>0</v>
      </c>
    </row>
    <row r="153" spans="6:7" ht="15.75" customHeight="1">
      <c r="F153">
        <f>SUMIF([1]Input!A$15:A$24, A153, [1]Input!B$15:B$24)</f>
        <v>0</v>
      </c>
      <c r="G153">
        <f t="shared" si="2"/>
        <v>0</v>
      </c>
    </row>
    <row r="154" spans="6:7" ht="15.75" customHeight="1">
      <c r="F154">
        <f>SUMIF([1]Input!A$15:A$24, A154, [1]Input!B$15:B$24)</f>
        <v>0</v>
      </c>
      <c r="G154">
        <f t="shared" si="2"/>
        <v>0</v>
      </c>
    </row>
    <row r="155" spans="6:7" ht="15.75" customHeight="1">
      <c r="F155">
        <f>SUMIF([1]Input!A$15:A$24, A155, [1]Input!B$15:B$24)</f>
        <v>0</v>
      </c>
      <c r="G155">
        <f t="shared" si="2"/>
        <v>0</v>
      </c>
    </row>
    <row r="156" spans="6:7" ht="15.75" customHeight="1">
      <c r="F156">
        <f>SUMIF([1]Input!A$15:A$24, A156, [1]Input!B$15:B$24)</f>
        <v>0</v>
      </c>
      <c r="G156">
        <f t="shared" si="2"/>
        <v>0</v>
      </c>
    </row>
    <row r="157" spans="6:7" ht="15.75" customHeight="1">
      <c r="F157">
        <f>SUMIF([1]Input!A$15:A$24, A157, [1]Input!B$15:B$24)</f>
        <v>0</v>
      </c>
      <c r="G157">
        <f t="shared" si="2"/>
        <v>0</v>
      </c>
    </row>
    <row r="158" spans="6:7" ht="15.75" customHeight="1">
      <c r="F158">
        <f>SUMIF([1]Input!A$15:A$24, A158, [1]Input!B$15:B$24)</f>
        <v>0</v>
      </c>
      <c r="G158">
        <f t="shared" si="2"/>
        <v>0</v>
      </c>
    </row>
    <row r="159" spans="6:7" ht="15.75" customHeight="1">
      <c r="F159">
        <f>SUMIF([1]Input!A$15:A$24, A159, [1]Input!B$15:B$24)</f>
        <v>0</v>
      </c>
      <c r="G159">
        <f t="shared" si="2"/>
        <v>0</v>
      </c>
    </row>
    <row r="160" spans="6:7" ht="15.75" customHeight="1">
      <c r="F160">
        <f>SUMIF([1]Input!A$15:A$24, A160, [1]Input!B$15:B$24)</f>
        <v>0</v>
      </c>
      <c r="G160">
        <f t="shared" si="2"/>
        <v>0</v>
      </c>
    </row>
    <row r="161" spans="6:7" ht="15.75" customHeight="1">
      <c r="F161">
        <f>SUMIF([1]Input!A$15:A$24, A161, [1]Input!B$15:B$24)</f>
        <v>0</v>
      </c>
      <c r="G161">
        <f t="shared" si="2"/>
        <v>0</v>
      </c>
    </row>
    <row r="162" spans="6:7" ht="15.75" customHeight="1">
      <c r="F162">
        <f>SUMIF([1]Input!A$15:A$24, A162, [1]Input!B$15:B$24)</f>
        <v>0</v>
      </c>
      <c r="G162">
        <f t="shared" si="2"/>
        <v>0</v>
      </c>
    </row>
    <row r="163" spans="6:7" ht="15.75" customHeight="1">
      <c r="F163">
        <f>SUMIF([1]Input!A$15:A$24, A163, [1]Input!B$15:B$24)</f>
        <v>0</v>
      </c>
      <c r="G163">
        <f t="shared" si="2"/>
        <v>0</v>
      </c>
    </row>
    <row r="164" spans="6:7" ht="15.75" customHeight="1">
      <c r="F164">
        <f>SUMIF([1]Input!A$15:A$24, A164, [1]Input!B$15:B$24)</f>
        <v>0</v>
      </c>
      <c r="G164">
        <f t="shared" si="2"/>
        <v>0</v>
      </c>
    </row>
    <row r="165" spans="6:7" ht="15.75" customHeight="1">
      <c r="F165">
        <f>SUMIF([1]Input!A$15:A$24, A165, [1]Input!B$15:B$24)</f>
        <v>0</v>
      </c>
      <c r="G165">
        <f t="shared" si="2"/>
        <v>0</v>
      </c>
    </row>
    <row r="166" spans="6:7" ht="15.75" customHeight="1">
      <c r="F166">
        <f>SUMIF([1]Input!A$15:A$24, A166, [1]Input!B$15:B$24)</f>
        <v>0</v>
      </c>
      <c r="G166">
        <f t="shared" si="2"/>
        <v>0</v>
      </c>
    </row>
    <row r="167" spans="6:7" ht="15.75" customHeight="1">
      <c r="F167">
        <f>SUMIF([1]Input!A$15:A$24, A167, [1]Input!B$15:B$24)</f>
        <v>0</v>
      </c>
      <c r="G167">
        <f t="shared" si="2"/>
        <v>0</v>
      </c>
    </row>
    <row r="168" spans="6:7" ht="15.75" customHeight="1">
      <c r="F168">
        <f>SUMIF([1]Input!A$15:A$24, A168, [1]Input!B$15:B$24)</f>
        <v>0</v>
      </c>
      <c r="G168">
        <f t="shared" si="2"/>
        <v>0</v>
      </c>
    </row>
    <row r="169" spans="6:7" ht="15.75" customHeight="1">
      <c r="F169">
        <f>SUMIF([1]Input!A$15:A$24, A169, [1]Input!B$15:B$24)</f>
        <v>0</v>
      </c>
      <c r="G169">
        <f t="shared" si="2"/>
        <v>0</v>
      </c>
    </row>
    <row r="170" spans="6:7" ht="15.75" customHeight="1">
      <c r="F170">
        <f>SUMIF([1]Input!A$15:A$24, A170, [1]Input!B$15:B$24)</f>
        <v>0</v>
      </c>
      <c r="G170">
        <f t="shared" si="2"/>
        <v>0</v>
      </c>
    </row>
    <row r="171" spans="6:7" ht="15.75" customHeight="1">
      <c r="F171">
        <f>SUMIF([1]Input!A$15:A$24, A171, [1]Input!B$15:B$24)</f>
        <v>0</v>
      </c>
      <c r="G171">
        <f t="shared" si="2"/>
        <v>0</v>
      </c>
    </row>
    <row r="172" spans="6:7" ht="15.75" customHeight="1">
      <c r="F172">
        <f>SUMIF([1]Input!A$15:A$24, A172, [1]Input!B$15:B$24)</f>
        <v>0</v>
      </c>
      <c r="G172">
        <f t="shared" si="2"/>
        <v>0</v>
      </c>
    </row>
    <row r="173" spans="6:7" ht="15.75" customHeight="1">
      <c r="F173">
        <f>SUMIF([1]Input!A$15:A$24, A173, [1]Input!B$15:B$24)</f>
        <v>0</v>
      </c>
      <c r="G173">
        <f t="shared" si="2"/>
        <v>0</v>
      </c>
    </row>
    <row r="174" spans="6:7" ht="15.75" customHeight="1">
      <c r="F174">
        <f>SUMIF([1]Input!A$15:A$24, A174, [1]Input!B$15:B$24)</f>
        <v>0</v>
      </c>
      <c r="G174">
        <f t="shared" si="2"/>
        <v>0</v>
      </c>
    </row>
    <row r="175" spans="6:7" ht="15.75" customHeight="1">
      <c r="F175">
        <f>SUMIF([1]Input!A$15:A$24, A175, [1]Input!B$15:B$24)</f>
        <v>0</v>
      </c>
      <c r="G175">
        <f t="shared" si="2"/>
        <v>0</v>
      </c>
    </row>
    <row r="176" spans="6:7" ht="15.75" customHeight="1">
      <c r="F176">
        <f>SUMIF([1]Input!A$15:A$24, A176, [1]Input!B$15:B$24)</f>
        <v>0</v>
      </c>
      <c r="G176">
        <f t="shared" si="2"/>
        <v>0</v>
      </c>
    </row>
    <row r="177" spans="6:7" ht="15.75" customHeight="1">
      <c r="F177">
        <f>SUMIF([1]Input!A$15:A$24, A177, [1]Input!B$15:B$24)</f>
        <v>0</v>
      </c>
      <c r="G177">
        <f t="shared" si="2"/>
        <v>0</v>
      </c>
    </row>
    <row r="178" spans="6:7" ht="15.75" customHeight="1">
      <c r="F178">
        <f>SUMIF([1]Input!A$15:A$24, A178, [1]Input!B$15:B$24)</f>
        <v>0</v>
      </c>
      <c r="G178">
        <f t="shared" si="2"/>
        <v>0</v>
      </c>
    </row>
    <row r="179" spans="6:7" ht="15.75" customHeight="1">
      <c r="F179">
        <f>SUMIF([1]Input!A$15:A$24, A179, [1]Input!B$15:B$24)</f>
        <v>0</v>
      </c>
      <c r="G179">
        <f t="shared" si="2"/>
        <v>0</v>
      </c>
    </row>
    <row r="180" spans="6:7" ht="15.75" customHeight="1">
      <c r="F180">
        <f>SUMIF([1]Input!A$15:A$24, A180, [1]Input!B$15:B$24)</f>
        <v>0</v>
      </c>
      <c r="G180">
        <f t="shared" si="2"/>
        <v>0</v>
      </c>
    </row>
    <row r="181" spans="6:7" ht="15.75" customHeight="1">
      <c r="F181">
        <f>SUMIF([1]Input!A$15:A$24, A181, [1]Input!B$15:B$24)</f>
        <v>0</v>
      </c>
      <c r="G181">
        <f t="shared" si="2"/>
        <v>0</v>
      </c>
    </row>
    <row r="182" spans="6:7" ht="15.75" customHeight="1">
      <c r="F182">
        <f>SUMIF([1]Input!A$15:A$24, A182, [1]Input!B$15:B$24)</f>
        <v>0</v>
      </c>
      <c r="G182">
        <f t="shared" si="2"/>
        <v>0</v>
      </c>
    </row>
    <row r="183" spans="6:7" ht="15.75" customHeight="1">
      <c r="F183">
        <f>SUMIF([1]Input!A$15:A$24, A183, [1]Input!B$15:B$24)</f>
        <v>0</v>
      </c>
      <c r="G183">
        <f t="shared" si="2"/>
        <v>0</v>
      </c>
    </row>
    <row r="184" spans="6:7" ht="15.75" customHeight="1">
      <c r="F184">
        <f>SUMIF([1]Input!A$15:A$24, A184, [1]Input!B$15:B$24)</f>
        <v>0</v>
      </c>
      <c r="G184">
        <f t="shared" si="2"/>
        <v>0</v>
      </c>
    </row>
    <row r="185" spans="6:7" ht="15.75" customHeight="1">
      <c r="F185">
        <f>SUMIF([1]Input!A$15:A$24, A185, [1]Input!B$15:B$24)</f>
        <v>0</v>
      </c>
      <c r="G185">
        <f t="shared" si="2"/>
        <v>0</v>
      </c>
    </row>
    <row r="186" spans="6:7" ht="15.75" customHeight="1">
      <c r="F186">
        <f>SUMIF([1]Input!A$15:A$24, A186, [1]Input!B$15:B$24)</f>
        <v>0</v>
      </c>
      <c r="G186">
        <f t="shared" si="2"/>
        <v>0</v>
      </c>
    </row>
    <row r="187" spans="6:7" ht="15.75" customHeight="1">
      <c r="F187">
        <f>SUMIF([1]Input!A$15:A$24, A187, [1]Input!B$15:B$24)</f>
        <v>0</v>
      </c>
      <c r="G187">
        <f t="shared" si="2"/>
        <v>0</v>
      </c>
    </row>
    <row r="188" spans="6:7" ht="15.75" customHeight="1">
      <c r="F188">
        <f>SUMIF([1]Input!A$15:A$24, A188, [1]Input!B$15:B$24)</f>
        <v>0</v>
      </c>
      <c r="G188">
        <f t="shared" si="2"/>
        <v>0</v>
      </c>
    </row>
    <row r="189" spans="6:7" ht="15.75" customHeight="1">
      <c r="F189">
        <f>SUMIF([1]Input!A$15:A$24, A189, [1]Input!B$15:B$24)</f>
        <v>0</v>
      </c>
      <c r="G189">
        <f t="shared" si="2"/>
        <v>0</v>
      </c>
    </row>
    <row r="190" spans="6:7" ht="15.75" customHeight="1">
      <c r="F190">
        <f>SUMIF([1]Input!A$15:A$24, A190, [1]Input!B$15:B$24)</f>
        <v>0</v>
      </c>
      <c r="G190">
        <f t="shared" si="2"/>
        <v>0</v>
      </c>
    </row>
    <row r="191" spans="6:7" ht="15.75" customHeight="1">
      <c r="F191">
        <f>SUMIF([1]Input!A$15:A$24, A191, [1]Input!B$15:B$24)</f>
        <v>0</v>
      </c>
      <c r="G191">
        <f t="shared" si="2"/>
        <v>0</v>
      </c>
    </row>
    <row r="192" spans="6:7" ht="15.75" customHeight="1">
      <c r="F192">
        <f>SUMIF([1]Input!A$15:A$24, A192, [1]Input!B$15:B$24)</f>
        <v>0</v>
      </c>
      <c r="G192">
        <f t="shared" si="2"/>
        <v>0</v>
      </c>
    </row>
    <row r="193" spans="6:7" ht="15.75" customHeight="1">
      <c r="F193">
        <f>SUMIF([1]Input!A$15:A$24, A193, [1]Input!B$15:B$24)</f>
        <v>0</v>
      </c>
      <c r="G193">
        <f t="shared" si="2"/>
        <v>0</v>
      </c>
    </row>
    <row r="194" spans="6:7" ht="15.75" customHeight="1">
      <c r="F194">
        <f>SUMIF([1]Input!A$15:A$24, A194, [1]Input!B$15:B$24)</f>
        <v>0</v>
      </c>
      <c r="G194">
        <f t="shared" si="2"/>
        <v>0</v>
      </c>
    </row>
    <row r="195" spans="6:7" ht="15.75" customHeight="1">
      <c r="F195">
        <f>SUMIF([1]Input!A$15:A$24, A195, [1]Input!B$15:B$24)</f>
        <v>0</v>
      </c>
      <c r="G195">
        <f t="shared" ref="G195:G258" si="3">B195 - F195</f>
        <v>0</v>
      </c>
    </row>
    <row r="196" spans="6:7" ht="15.75" customHeight="1">
      <c r="F196">
        <f>SUMIF([1]Input!A$15:A$24, A196, [1]Input!B$15:B$24)</f>
        <v>0</v>
      </c>
      <c r="G196">
        <f t="shared" si="3"/>
        <v>0</v>
      </c>
    </row>
    <row r="197" spans="6:7" ht="15.75" customHeight="1">
      <c r="F197">
        <f>SUMIF([1]Input!A$15:A$24, A197, [1]Input!B$15:B$24)</f>
        <v>0</v>
      </c>
      <c r="G197">
        <f t="shared" si="3"/>
        <v>0</v>
      </c>
    </row>
    <row r="198" spans="6:7" ht="15.75" customHeight="1">
      <c r="F198">
        <f>SUMIF([1]Input!A$15:A$24, A198, [1]Input!B$15:B$24)</f>
        <v>0</v>
      </c>
      <c r="G198">
        <f t="shared" si="3"/>
        <v>0</v>
      </c>
    </row>
    <row r="199" spans="6:7" ht="15.75" customHeight="1">
      <c r="F199">
        <f>SUMIF([1]Input!A$15:A$24, A199, [1]Input!B$15:B$24)</f>
        <v>0</v>
      </c>
      <c r="G199">
        <f t="shared" si="3"/>
        <v>0</v>
      </c>
    </row>
    <row r="200" spans="6:7" ht="15.75" customHeight="1">
      <c r="F200">
        <f>SUMIF([1]Input!A$15:A$24, A200, [1]Input!B$15:B$24)</f>
        <v>0</v>
      </c>
      <c r="G200">
        <f t="shared" si="3"/>
        <v>0</v>
      </c>
    </row>
    <row r="201" spans="6:7" ht="15.75" customHeight="1">
      <c r="F201">
        <f>SUMIF([1]Input!A$15:A$24, A201, [1]Input!B$15:B$24)</f>
        <v>0</v>
      </c>
      <c r="G201">
        <f t="shared" si="3"/>
        <v>0</v>
      </c>
    </row>
    <row r="202" spans="6:7" ht="15.75" customHeight="1">
      <c r="F202">
        <f>SUMIF([1]Input!A$15:A$24, A202, [1]Input!B$15:B$24)</f>
        <v>0</v>
      </c>
      <c r="G202">
        <f t="shared" si="3"/>
        <v>0</v>
      </c>
    </row>
    <row r="203" spans="6:7" ht="15.75" customHeight="1">
      <c r="F203">
        <f>SUMIF([1]Input!A$15:A$24, A203, [1]Input!B$15:B$24)</f>
        <v>0</v>
      </c>
      <c r="G203">
        <f t="shared" si="3"/>
        <v>0</v>
      </c>
    </row>
    <row r="204" spans="6:7" ht="15.75" customHeight="1">
      <c r="F204">
        <f>SUMIF([1]Input!A$15:A$24, A204, [1]Input!B$15:B$24)</f>
        <v>0</v>
      </c>
      <c r="G204">
        <f t="shared" si="3"/>
        <v>0</v>
      </c>
    </row>
    <row r="205" spans="6:7" ht="15.75" customHeight="1">
      <c r="F205">
        <f>SUMIF([1]Input!A$15:A$24, A205, [1]Input!B$15:B$24)</f>
        <v>0</v>
      </c>
      <c r="G205">
        <f t="shared" si="3"/>
        <v>0</v>
      </c>
    </row>
    <row r="206" spans="6:7" ht="15.75" customHeight="1">
      <c r="F206">
        <f>SUMIF([1]Input!A$15:A$24, A206, [1]Input!B$15:B$24)</f>
        <v>0</v>
      </c>
      <c r="G206">
        <f t="shared" si="3"/>
        <v>0</v>
      </c>
    </row>
    <row r="207" spans="6:7" ht="15.75" customHeight="1">
      <c r="F207">
        <f>SUMIF([1]Input!A$15:A$24, A207, [1]Input!B$15:B$24)</f>
        <v>0</v>
      </c>
      <c r="G207">
        <f t="shared" si="3"/>
        <v>0</v>
      </c>
    </row>
    <row r="208" spans="6:7" ht="15.75" customHeight="1">
      <c r="F208">
        <f>SUMIF([1]Input!A$15:A$24, A208, [1]Input!B$15:B$24)</f>
        <v>0</v>
      </c>
      <c r="G208">
        <f t="shared" si="3"/>
        <v>0</v>
      </c>
    </row>
    <row r="209" spans="6:7" ht="15.75" customHeight="1">
      <c r="F209">
        <f>SUMIF([1]Input!A$15:A$24, A209, [1]Input!B$15:B$24)</f>
        <v>0</v>
      </c>
      <c r="G209">
        <f t="shared" si="3"/>
        <v>0</v>
      </c>
    </row>
    <row r="210" spans="6:7" ht="15.75" customHeight="1">
      <c r="F210">
        <f>SUMIF([1]Input!A$15:A$24, A210, [1]Input!B$15:B$24)</f>
        <v>0</v>
      </c>
      <c r="G210">
        <f t="shared" si="3"/>
        <v>0</v>
      </c>
    </row>
    <row r="211" spans="6:7" ht="15.75" customHeight="1">
      <c r="F211">
        <f>SUMIF([1]Input!A$15:A$24, A211, [1]Input!B$15:B$24)</f>
        <v>0</v>
      </c>
      <c r="G211">
        <f t="shared" si="3"/>
        <v>0</v>
      </c>
    </row>
    <row r="212" spans="6:7" ht="15.75" customHeight="1">
      <c r="F212">
        <f>SUMIF([1]Input!A$15:A$24, A212, [1]Input!B$15:B$24)</f>
        <v>0</v>
      </c>
      <c r="G212">
        <f t="shared" si="3"/>
        <v>0</v>
      </c>
    </row>
    <row r="213" spans="6:7" ht="15.75" customHeight="1">
      <c r="F213">
        <f>SUMIF([1]Input!A$15:A$24, A213, [1]Input!B$15:B$24)</f>
        <v>0</v>
      </c>
      <c r="G213">
        <f t="shared" si="3"/>
        <v>0</v>
      </c>
    </row>
    <row r="214" spans="6:7" ht="15.75" customHeight="1">
      <c r="F214">
        <f>SUMIF([1]Input!A$15:A$24, A214, [1]Input!B$15:B$24)</f>
        <v>0</v>
      </c>
      <c r="G214">
        <f t="shared" si="3"/>
        <v>0</v>
      </c>
    </row>
    <row r="215" spans="6:7" ht="15.75" customHeight="1">
      <c r="F215">
        <f>SUMIF([1]Input!A$15:A$24, A215, [1]Input!B$15:B$24)</f>
        <v>0</v>
      </c>
      <c r="G215">
        <f t="shared" si="3"/>
        <v>0</v>
      </c>
    </row>
    <row r="216" spans="6:7" ht="15.75" customHeight="1">
      <c r="F216">
        <f>SUMIF([1]Input!A$15:A$24, A216, [1]Input!B$15:B$24)</f>
        <v>0</v>
      </c>
      <c r="G216">
        <f t="shared" si="3"/>
        <v>0</v>
      </c>
    </row>
    <row r="217" spans="6:7" ht="15.75" customHeight="1">
      <c r="F217">
        <f>SUMIF([1]Input!A$15:A$24, A217, [1]Input!B$15:B$24)</f>
        <v>0</v>
      </c>
      <c r="G217">
        <f t="shared" si="3"/>
        <v>0</v>
      </c>
    </row>
    <row r="218" spans="6:7" ht="15.75" customHeight="1">
      <c r="F218">
        <f>SUMIF([1]Input!A$15:A$24, A218, [1]Input!B$15:B$24)</f>
        <v>0</v>
      </c>
      <c r="G218">
        <f t="shared" si="3"/>
        <v>0</v>
      </c>
    </row>
    <row r="219" spans="6:7" ht="15.75" customHeight="1">
      <c r="F219">
        <f>SUMIF([1]Input!A$15:A$24, A219, [1]Input!B$15:B$24)</f>
        <v>0</v>
      </c>
      <c r="G219">
        <f t="shared" si="3"/>
        <v>0</v>
      </c>
    </row>
    <row r="220" spans="6:7" ht="15.75" customHeight="1">
      <c r="F220">
        <f>SUMIF([1]Input!A$15:A$24, A220, [1]Input!B$15:B$24)</f>
        <v>0</v>
      </c>
      <c r="G220">
        <f t="shared" si="3"/>
        <v>0</v>
      </c>
    </row>
    <row r="221" spans="6:7" ht="15.75" customHeight="1">
      <c r="F221">
        <f>SUMIF([1]Input!A$15:A$24, A221, [1]Input!B$15:B$24)</f>
        <v>0</v>
      </c>
      <c r="G221">
        <f t="shared" si="3"/>
        <v>0</v>
      </c>
    </row>
    <row r="222" spans="6:7" ht="15.75" customHeight="1">
      <c r="F222">
        <f>SUMIF([1]Input!A$15:A$24, A222, [1]Input!B$15:B$24)</f>
        <v>0</v>
      </c>
      <c r="G222">
        <f t="shared" si="3"/>
        <v>0</v>
      </c>
    </row>
    <row r="223" spans="6:7" ht="15.75" customHeight="1">
      <c r="F223">
        <f>SUMIF([1]Input!A$15:A$24, A223, [1]Input!B$15:B$24)</f>
        <v>0</v>
      </c>
      <c r="G223">
        <f t="shared" si="3"/>
        <v>0</v>
      </c>
    </row>
    <row r="224" spans="6:7" ht="15.75" customHeight="1">
      <c r="F224">
        <f>SUMIF([1]Input!A$15:A$24, A224, [1]Input!B$15:B$24)</f>
        <v>0</v>
      </c>
      <c r="G224">
        <f t="shared" si="3"/>
        <v>0</v>
      </c>
    </row>
    <row r="225" spans="6:7" ht="15.75" customHeight="1">
      <c r="F225">
        <f>SUMIF([1]Input!A$15:A$24, A225, [1]Input!B$15:B$24)</f>
        <v>0</v>
      </c>
      <c r="G225">
        <f t="shared" si="3"/>
        <v>0</v>
      </c>
    </row>
    <row r="226" spans="6:7" ht="15.75" customHeight="1">
      <c r="F226">
        <f>SUMIF([1]Input!A$15:A$24, A226, [1]Input!B$15:B$24)</f>
        <v>0</v>
      </c>
      <c r="G226">
        <f t="shared" si="3"/>
        <v>0</v>
      </c>
    </row>
    <row r="227" spans="6:7" ht="15.75" customHeight="1">
      <c r="F227">
        <f>SUMIF([1]Input!A$15:A$24, A227, [1]Input!B$15:B$24)</f>
        <v>0</v>
      </c>
      <c r="G227">
        <f t="shared" si="3"/>
        <v>0</v>
      </c>
    </row>
    <row r="228" spans="6:7" ht="15.75" customHeight="1">
      <c r="F228">
        <f>SUMIF([1]Input!A$15:A$24, A228, [1]Input!B$15:B$24)</f>
        <v>0</v>
      </c>
      <c r="G228">
        <f t="shared" si="3"/>
        <v>0</v>
      </c>
    </row>
    <row r="229" spans="6:7" ht="15.75" customHeight="1">
      <c r="F229">
        <f>SUMIF([1]Input!A$15:A$24, A229, [1]Input!B$15:B$24)</f>
        <v>0</v>
      </c>
      <c r="G229">
        <f t="shared" si="3"/>
        <v>0</v>
      </c>
    </row>
    <row r="230" spans="6:7" ht="15.75" customHeight="1">
      <c r="F230">
        <f>SUMIF([1]Input!A$15:A$24, A230, [1]Input!B$15:B$24)</f>
        <v>0</v>
      </c>
      <c r="G230">
        <f t="shared" si="3"/>
        <v>0</v>
      </c>
    </row>
    <row r="231" spans="6:7" ht="15.75" customHeight="1">
      <c r="F231">
        <f>SUMIF([1]Input!A$15:A$24, A231, [1]Input!B$15:B$24)</f>
        <v>0</v>
      </c>
      <c r="G231">
        <f t="shared" si="3"/>
        <v>0</v>
      </c>
    </row>
    <row r="232" spans="6:7" ht="15.75" customHeight="1">
      <c r="F232">
        <f>SUMIF([1]Input!A$15:A$24, A232, [1]Input!B$15:B$24)</f>
        <v>0</v>
      </c>
      <c r="G232">
        <f t="shared" si="3"/>
        <v>0</v>
      </c>
    </row>
    <row r="233" spans="6:7" ht="15.75" customHeight="1">
      <c r="F233">
        <f>SUMIF([1]Input!A$15:A$24, A233, [1]Input!B$15:B$24)</f>
        <v>0</v>
      </c>
      <c r="G233">
        <f t="shared" si="3"/>
        <v>0</v>
      </c>
    </row>
    <row r="234" spans="6:7" ht="15.75" customHeight="1">
      <c r="F234">
        <f>SUMIF([1]Input!A$15:A$24, A234, [1]Input!B$15:B$24)</f>
        <v>0</v>
      </c>
      <c r="G234">
        <f t="shared" si="3"/>
        <v>0</v>
      </c>
    </row>
    <row r="235" spans="6:7" ht="15.75" customHeight="1">
      <c r="F235">
        <f>SUMIF([1]Input!A$15:A$24, A235, [1]Input!B$15:B$24)</f>
        <v>0</v>
      </c>
      <c r="G235">
        <f t="shared" si="3"/>
        <v>0</v>
      </c>
    </row>
    <row r="236" spans="6:7" ht="15.75" customHeight="1">
      <c r="F236">
        <f>SUMIF([1]Input!A$15:A$24, A236, [1]Input!B$15:B$24)</f>
        <v>0</v>
      </c>
      <c r="G236">
        <f t="shared" si="3"/>
        <v>0</v>
      </c>
    </row>
    <row r="237" spans="6:7" ht="15.75" customHeight="1">
      <c r="F237">
        <f>SUMIF([1]Input!A$15:A$24, A237, [1]Input!B$15:B$24)</f>
        <v>0</v>
      </c>
      <c r="G237">
        <f t="shared" si="3"/>
        <v>0</v>
      </c>
    </row>
    <row r="238" spans="6:7" ht="15.75" customHeight="1">
      <c r="F238">
        <f>SUMIF([1]Input!A$15:A$24, A238, [1]Input!B$15:B$24)</f>
        <v>0</v>
      </c>
      <c r="G238">
        <f t="shared" si="3"/>
        <v>0</v>
      </c>
    </row>
    <row r="239" spans="6:7" ht="15.75" customHeight="1">
      <c r="F239">
        <f>SUMIF([1]Input!A$15:A$24, A239, [1]Input!B$15:B$24)</f>
        <v>0</v>
      </c>
      <c r="G239">
        <f t="shared" si="3"/>
        <v>0</v>
      </c>
    </row>
    <row r="240" spans="6:7" ht="15.75" customHeight="1">
      <c r="F240">
        <f>SUMIF([1]Input!A$15:A$24, A240, [1]Input!B$15:B$24)</f>
        <v>0</v>
      </c>
      <c r="G240">
        <f t="shared" si="3"/>
        <v>0</v>
      </c>
    </row>
    <row r="241" spans="6:7" ht="15.75" customHeight="1">
      <c r="F241">
        <f>SUMIF([1]Input!A$15:A$24, A241, [1]Input!B$15:B$24)</f>
        <v>0</v>
      </c>
      <c r="G241">
        <f t="shared" si="3"/>
        <v>0</v>
      </c>
    </row>
    <row r="242" spans="6:7" ht="15.75" customHeight="1">
      <c r="F242">
        <f>SUMIF([1]Input!A$15:A$24, A242, [1]Input!B$15:B$24)</f>
        <v>0</v>
      </c>
      <c r="G242">
        <f t="shared" si="3"/>
        <v>0</v>
      </c>
    </row>
    <row r="243" spans="6:7" ht="15.75" customHeight="1">
      <c r="F243">
        <f>SUMIF([1]Input!A$15:A$24, A243, [1]Input!B$15:B$24)</f>
        <v>0</v>
      </c>
      <c r="G243">
        <f t="shared" si="3"/>
        <v>0</v>
      </c>
    </row>
    <row r="244" spans="6:7" ht="15.75" customHeight="1">
      <c r="F244">
        <f>SUMIF([1]Input!A$15:A$24, A244, [1]Input!B$15:B$24)</f>
        <v>0</v>
      </c>
      <c r="G244">
        <f t="shared" si="3"/>
        <v>0</v>
      </c>
    </row>
    <row r="245" spans="6:7" ht="15.75" customHeight="1">
      <c r="F245">
        <f>SUMIF([1]Input!A$15:A$24, A245, [1]Input!B$15:B$24)</f>
        <v>0</v>
      </c>
      <c r="G245">
        <f t="shared" si="3"/>
        <v>0</v>
      </c>
    </row>
    <row r="246" spans="6:7" ht="15.75" customHeight="1">
      <c r="F246">
        <f>SUMIF([1]Input!A$15:A$24, A246, [1]Input!B$15:B$24)</f>
        <v>0</v>
      </c>
      <c r="G246">
        <f t="shared" si="3"/>
        <v>0</v>
      </c>
    </row>
    <row r="247" spans="6:7" ht="15.75" customHeight="1">
      <c r="F247">
        <f>SUMIF([1]Input!A$15:A$24, A247, [1]Input!B$15:B$24)</f>
        <v>0</v>
      </c>
      <c r="G247">
        <f t="shared" si="3"/>
        <v>0</v>
      </c>
    </row>
    <row r="248" spans="6:7" ht="15.75" customHeight="1">
      <c r="F248">
        <f>SUMIF([1]Input!A$15:A$24, A248, [1]Input!B$15:B$24)</f>
        <v>0</v>
      </c>
      <c r="G248">
        <f t="shared" si="3"/>
        <v>0</v>
      </c>
    </row>
    <row r="249" spans="6:7" ht="15.75" customHeight="1">
      <c r="F249">
        <f>SUMIF([1]Input!A$15:A$24, A249, [1]Input!B$15:B$24)</f>
        <v>0</v>
      </c>
      <c r="G249">
        <f t="shared" si="3"/>
        <v>0</v>
      </c>
    </row>
    <row r="250" spans="6:7" ht="15.75" customHeight="1">
      <c r="F250">
        <f>SUMIF([1]Input!A$15:A$24, A250, [1]Input!B$15:B$24)</f>
        <v>0</v>
      </c>
      <c r="G250">
        <f t="shared" si="3"/>
        <v>0</v>
      </c>
    </row>
    <row r="251" spans="6:7" ht="15.75" customHeight="1">
      <c r="F251">
        <f>SUMIF([1]Input!A$15:A$24, A251, [1]Input!B$15:B$24)</f>
        <v>0</v>
      </c>
      <c r="G251">
        <f t="shared" si="3"/>
        <v>0</v>
      </c>
    </row>
    <row r="252" spans="6:7" ht="15.75" customHeight="1">
      <c r="F252">
        <f>SUMIF([1]Input!A$15:A$24, A252, [1]Input!B$15:B$24)</f>
        <v>0</v>
      </c>
      <c r="G252">
        <f t="shared" si="3"/>
        <v>0</v>
      </c>
    </row>
    <row r="253" spans="6:7" ht="15.75" customHeight="1">
      <c r="F253">
        <f>SUMIF([1]Input!A$15:A$24, A253, [1]Input!B$15:B$24)</f>
        <v>0</v>
      </c>
      <c r="G253">
        <f t="shared" si="3"/>
        <v>0</v>
      </c>
    </row>
    <row r="254" spans="6:7" ht="15.75" customHeight="1">
      <c r="F254">
        <f>SUMIF([1]Input!A$15:A$24, A254, [1]Input!B$15:B$24)</f>
        <v>0</v>
      </c>
      <c r="G254">
        <f t="shared" si="3"/>
        <v>0</v>
      </c>
    </row>
    <row r="255" spans="6:7" ht="15.75" customHeight="1">
      <c r="F255">
        <f>SUMIF([1]Input!A$15:A$24, A255, [1]Input!B$15:B$24)</f>
        <v>0</v>
      </c>
      <c r="G255">
        <f t="shared" si="3"/>
        <v>0</v>
      </c>
    </row>
    <row r="256" spans="6:7" ht="15.75" customHeight="1">
      <c r="F256">
        <f>SUMIF([1]Input!A$15:A$24, A256, [1]Input!B$15:B$24)</f>
        <v>0</v>
      </c>
      <c r="G256">
        <f t="shared" si="3"/>
        <v>0</v>
      </c>
    </row>
    <row r="257" spans="6:7" ht="15.75" customHeight="1">
      <c r="F257">
        <f>SUMIF([1]Input!A$15:A$24, A257, [1]Input!B$15:B$24)</f>
        <v>0</v>
      </c>
      <c r="G257">
        <f t="shared" si="3"/>
        <v>0</v>
      </c>
    </row>
    <row r="258" spans="6:7" ht="15.75" customHeight="1">
      <c r="F258">
        <f>SUMIF([1]Input!A$15:A$24, A258, [1]Input!B$15:B$24)</f>
        <v>0</v>
      </c>
      <c r="G258">
        <f t="shared" si="3"/>
        <v>0</v>
      </c>
    </row>
    <row r="259" spans="6:7" ht="15.75" customHeight="1">
      <c r="F259">
        <f>SUMIF([1]Input!A$15:A$24, A259, [1]Input!B$15:B$24)</f>
        <v>0</v>
      </c>
      <c r="G259">
        <f t="shared" ref="G259:G322" si="4">B259 - F259</f>
        <v>0</v>
      </c>
    </row>
    <row r="260" spans="6:7" ht="15.75" customHeight="1">
      <c r="F260">
        <f>SUMIF([1]Input!A$15:A$24, A260, [1]Input!B$15:B$24)</f>
        <v>0</v>
      </c>
      <c r="G260">
        <f t="shared" si="4"/>
        <v>0</v>
      </c>
    </row>
    <row r="261" spans="6:7" ht="15.75" customHeight="1">
      <c r="F261">
        <f>SUMIF([1]Input!A$15:A$24, A261, [1]Input!B$15:B$24)</f>
        <v>0</v>
      </c>
      <c r="G261">
        <f t="shared" si="4"/>
        <v>0</v>
      </c>
    </row>
    <row r="262" spans="6:7" ht="15.75" customHeight="1">
      <c r="F262">
        <f>SUMIF([1]Input!A$15:A$24, A262, [1]Input!B$15:B$24)</f>
        <v>0</v>
      </c>
      <c r="G262">
        <f t="shared" si="4"/>
        <v>0</v>
      </c>
    </row>
    <row r="263" spans="6:7" ht="15.75" customHeight="1">
      <c r="F263">
        <f>SUMIF([1]Input!A$15:A$24, A263, [1]Input!B$15:B$24)</f>
        <v>0</v>
      </c>
      <c r="G263">
        <f t="shared" si="4"/>
        <v>0</v>
      </c>
    </row>
    <row r="264" spans="6:7" ht="15.75" customHeight="1">
      <c r="F264">
        <f>SUMIF([1]Input!A$15:A$24, A264, [1]Input!B$15:B$24)</f>
        <v>0</v>
      </c>
      <c r="G264">
        <f t="shared" si="4"/>
        <v>0</v>
      </c>
    </row>
    <row r="265" spans="6:7" ht="15.75" customHeight="1">
      <c r="F265">
        <f>SUMIF([1]Input!A$15:A$24, A265, [1]Input!B$15:B$24)</f>
        <v>0</v>
      </c>
      <c r="G265">
        <f t="shared" si="4"/>
        <v>0</v>
      </c>
    </row>
    <row r="266" spans="6:7" ht="15.75" customHeight="1">
      <c r="F266">
        <f>SUMIF([1]Input!A$15:A$24, A266, [1]Input!B$15:B$24)</f>
        <v>0</v>
      </c>
      <c r="G266">
        <f t="shared" si="4"/>
        <v>0</v>
      </c>
    </row>
    <row r="267" spans="6:7" ht="15.75" customHeight="1">
      <c r="F267">
        <f>SUMIF([1]Input!A$15:A$24, A267, [1]Input!B$15:B$24)</f>
        <v>0</v>
      </c>
      <c r="G267">
        <f t="shared" si="4"/>
        <v>0</v>
      </c>
    </row>
    <row r="268" spans="6:7" ht="15.75" customHeight="1">
      <c r="F268">
        <f>SUMIF([1]Input!A$15:A$24, A268, [1]Input!B$15:B$24)</f>
        <v>0</v>
      </c>
      <c r="G268">
        <f t="shared" si="4"/>
        <v>0</v>
      </c>
    </row>
    <row r="269" spans="6:7" ht="15.75" customHeight="1">
      <c r="F269">
        <f>SUMIF([1]Input!A$15:A$24, A269, [1]Input!B$15:B$24)</f>
        <v>0</v>
      </c>
      <c r="G269">
        <f t="shared" si="4"/>
        <v>0</v>
      </c>
    </row>
    <row r="270" spans="6:7" ht="15.75" customHeight="1">
      <c r="F270">
        <f>SUMIF([1]Input!A$15:A$24, A270, [1]Input!B$15:B$24)</f>
        <v>0</v>
      </c>
      <c r="G270">
        <f t="shared" si="4"/>
        <v>0</v>
      </c>
    </row>
    <row r="271" spans="6:7" ht="15.75" customHeight="1">
      <c r="F271">
        <f>SUMIF([1]Input!A$15:A$24, A271, [1]Input!B$15:B$24)</f>
        <v>0</v>
      </c>
      <c r="G271">
        <f t="shared" si="4"/>
        <v>0</v>
      </c>
    </row>
    <row r="272" spans="6:7" ht="15.75" customHeight="1">
      <c r="F272">
        <f>SUMIF([1]Input!A$15:A$24, A272, [1]Input!B$15:B$24)</f>
        <v>0</v>
      </c>
      <c r="G272">
        <f t="shared" si="4"/>
        <v>0</v>
      </c>
    </row>
    <row r="273" spans="6:7" ht="15.75" customHeight="1">
      <c r="F273">
        <f>SUMIF([1]Input!A$15:A$24, A273, [1]Input!B$15:B$24)</f>
        <v>0</v>
      </c>
      <c r="G273">
        <f t="shared" si="4"/>
        <v>0</v>
      </c>
    </row>
    <row r="274" spans="6:7" ht="15.75" customHeight="1">
      <c r="F274">
        <f>SUMIF([1]Input!A$15:A$24, A274, [1]Input!B$15:B$24)</f>
        <v>0</v>
      </c>
      <c r="G274">
        <f t="shared" si="4"/>
        <v>0</v>
      </c>
    </row>
    <row r="275" spans="6:7" ht="15.75" customHeight="1">
      <c r="F275">
        <f>SUMIF([1]Input!A$15:A$24, A275, [1]Input!B$15:B$24)</f>
        <v>0</v>
      </c>
      <c r="G275">
        <f t="shared" si="4"/>
        <v>0</v>
      </c>
    </row>
    <row r="276" spans="6:7" ht="15.75" customHeight="1">
      <c r="F276">
        <f>SUMIF([1]Input!A$15:A$24, A276, [1]Input!B$15:B$24)</f>
        <v>0</v>
      </c>
      <c r="G276">
        <f t="shared" si="4"/>
        <v>0</v>
      </c>
    </row>
    <row r="277" spans="6:7" ht="15.75" customHeight="1">
      <c r="F277">
        <f>SUMIF([1]Input!A$15:A$24, A277, [1]Input!B$15:B$24)</f>
        <v>0</v>
      </c>
      <c r="G277">
        <f t="shared" si="4"/>
        <v>0</v>
      </c>
    </row>
    <row r="278" spans="6:7" ht="15.75" customHeight="1">
      <c r="F278">
        <f>SUMIF([1]Input!A$15:A$24, A278, [1]Input!B$15:B$24)</f>
        <v>0</v>
      </c>
      <c r="G278">
        <f t="shared" si="4"/>
        <v>0</v>
      </c>
    </row>
    <row r="279" spans="6:7" ht="15.75" customHeight="1">
      <c r="F279">
        <f>SUMIF([1]Input!A$15:A$24, A279, [1]Input!B$15:B$24)</f>
        <v>0</v>
      </c>
      <c r="G279">
        <f t="shared" si="4"/>
        <v>0</v>
      </c>
    </row>
    <row r="280" spans="6:7" ht="15.75" customHeight="1">
      <c r="F280">
        <f>SUMIF([1]Input!A$15:A$24, A280, [1]Input!B$15:B$24)</f>
        <v>0</v>
      </c>
      <c r="G280">
        <f t="shared" si="4"/>
        <v>0</v>
      </c>
    </row>
    <row r="281" spans="6:7" ht="15.75" customHeight="1">
      <c r="F281">
        <f>SUMIF([1]Input!A$15:A$24, A281, [1]Input!B$15:B$24)</f>
        <v>0</v>
      </c>
      <c r="G281">
        <f t="shared" si="4"/>
        <v>0</v>
      </c>
    </row>
    <row r="282" spans="6:7" ht="15.75" customHeight="1">
      <c r="F282">
        <f>SUMIF([1]Input!A$15:A$24, A282, [1]Input!B$15:B$24)</f>
        <v>0</v>
      </c>
      <c r="G282">
        <f t="shared" si="4"/>
        <v>0</v>
      </c>
    </row>
    <row r="283" spans="6:7" ht="15.75" customHeight="1">
      <c r="F283">
        <f>SUMIF([1]Input!A$15:A$24, A283, [1]Input!B$15:B$24)</f>
        <v>0</v>
      </c>
      <c r="G283">
        <f t="shared" si="4"/>
        <v>0</v>
      </c>
    </row>
    <row r="284" spans="6:7" ht="15.75" customHeight="1">
      <c r="F284">
        <f>SUMIF([1]Input!A$15:A$24, A284, [1]Input!B$15:B$24)</f>
        <v>0</v>
      </c>
      <c r="G284">
        <f t="shared" si="4"/>
        <v>0</v>
      </c>
    </row>
    <row r="285" spans="6:7" ht="15.75" customHeight="1">
      <c r="F285">
        <f>SUMIF([1]Input!A$15:A$24, A285, [1]Input!B$15:B$24)</f>
        <v>0</v>
      </c>
      <c r="G285">
        <f t="shared" si="4"/>
        <v>0</v>
      </c>
    </row>
    <row r="286" spans="6:7" ht="15.75" customHeight="1">
      <c r="F286">
        <f>SUMIF([1]Input!A$15:A$24, A286, [1]Input!B$15:B$24)</f>
        <v>0</v>
      </c>
      <c r="G286">
        <f t="shared" si="4"/>
        <v>0</v>
      </c>
    </row>
    <row r="287" spans="6:7" ht="15.75" customHeight="1">
      <c r="F287">
        <f>SUMIF([1]Input!A$15:A$24, A287, [1]Input!B$15:B$24)</f>
        <v>0</v>
      </c>
      <c r="G287">
        <f t="shared" si="4"/>
        <v>0</v>
      </c>
    </row>
    <row r="288" spans="6:7" ht="15.75" customHeight="1">
      <c r="F288">
        <f>SUMIF([1]Input!A$15:A$24, A288, [1]Input!B$15:B$24)</f>
        <v>0</v>
      </c>
      <c r="G288">
        <f t="shared" si="4"/>
        <v>0</v>
      </c>
    </row>
    <row r="289" spans="6:7" ht="15.75" customHeight="1">
      <c r="F289">
        <f>SUMIF([1]Input!A$15:A$24, A289, [1]Input!B$15:B$24)</f>
        <v>0</v>
      </c>
      <c r="G289">
        <f t="shared" si="4"/>
        <v>0</v>
      </c>
    </row>
    <row r="290" spans="6:7" ht="15.75" customHeight="1">
      <c r="F290">
        <f>SUMIF([1]Input!A$15:A$24, A290, [1]Input!B$15:B$24)</f>
        <v>0</v>
      </c>
      <c r="G290">
        <f t="shared" si="4"/>
        <v>0</v>
      </c>
    </row>
    <row r="291" spans="6:7" ht="15.75" customHeight="1">
      <c r="F291">
        <f>SUMIF([1]Input!A$15:A$24, A291, [1]Input!B$15:B$24)</f>
        <v>0</v>
      </c>
      <c r="G291">
        <f t="shared" si="4"/>
        <v>0</v>
      </c>
    </row>
    <row r="292" spans="6:7" ht="15.75" customHeight="1">
      <c r="F292">
        <f>SUMIF([1]Input!A$15:A$24, A292, [1]Input!B$15:B$24)</f>
        <v>0</v>
      </c>
      <c r="G292">
        <f t="shared" si="4"/>
        <v>0</v>
      </c>
    </row>
    <row r="293" spans="6:7" ht="15.75" customHeight="1">
      <c r="F293">
        <f>SUMIF([1]Input!A$15:A$24, A293, [1]Input!B$15:B$24)</f>
        <v>0</v>
      </c>
      <c r="G293">
        <f t="shared" si="4"/>
        <v>0</v>
      </c>
    </row>
    <row r="294" spans="6:7" ht="15.75" customHeight="1">
      <c r="F294">
        <f>SUMIF([1]Input!A$15:A$24, A294, [1]Input!B$15:B$24)</f>
        <v>0</v>
      </c>
      <c r="G294">
        <f t="shared" si="4"/>
        <v>0</v>
      </c>
    </row>
    <row r="295" spans="6:7" ht="15.75" customHeight="1">
      <c r="F295">
        <f>SUMIF([1]Input!A$15:A$24, A295, [1]Input!B$15:B$24)</f>
        <v>0</v>
      </c>
      <c r="G295">
        <f t="shared" si="4"/>
        <v>0</v>
      </c>
    </row>
    <row r="296" spans="6:7" ht="15.75" customHeight="1">
      <c r="F296">
        <f>SUMIF([1]Input!A$15:A$24, A296, [1]Input!B$15:B$24)</f>
        <v>0</v>
      </c>
      <c r="G296">
        <f t="shared" si="4"/>
        <v>0</v>
      </c>
    </row>
    <row r="297" spans="6:7" ht="15.75" customHeight="1">
      <c r="F297">
        <f>SUMIF([1]Input!A$15:A$24, A297, [1]Input!B$15:B$24)</f>
        <v>0</v>
      </c>
      <c r="G297">
        <f t="shared" si="4"/>
        <v>0</v>
      </c>
    </row>
    <row r="298" spans="6:7" ht="15.75" customHeight="1">
      <c r="F298">
        <f>SUMIF([1]Input!A$15:A$24, A298, [1]Input!B$15:B$24)</f>
        <v>0</v>
      </c>
      <c r="G298">
        <f t="shared" si="4"/>
        <v>0</v>
      </c>
    </row>
    <row r="299" spans="6:7" ht="15.75" customHeight="1">
      <c r="F299">
        <f>SUMIF([1]Input!A$15:A$24, A299, [1]Input!B$15:B$24)</f>
        <v>0</v>
      </c>
      <c r="G299">
        <f t="shared" si="4"/>
        <v>0</v>
      </c>
    </row>
    <row r="300" spans="6:7" ht="15.75" customHeight="1">
      <c r="F300">
        <f>SUMIF([1]Input!A$15:A$24, A300, [1]Input!B$15:B$24)</f>
        <v>0</v>
      </c>
      <c r="G300">
        <f t="shared" si="4"/>
        <v>0</v>
      </c>
    </row>
    <row r="301" spans="6:7" ht="15.75" customHeight="1">
      <c r="F301">
        <f>SUMIF([1]Input!A$15:A$24, A301, [1]Input!B$15:B$24)</f>
        <v>0</v>
      </c>
      <c r="G301">
        <f t="shared" si="4"/>
        <v>0</v>
      </c>
    </row>
    <row r="302" spans="6:7" ht="15.75" customHeight="1">
      <c r="F302">
        <f>SUMIF([1]Input!A$15:A$24, A302, [1]Input!B$15:B$24)</f>
        <v>0</v>
      </c>
      <c r="G302">
        <f t="shared" si="4"/>
        <v>0</v>
      </c>
    </row>
    <row r="303" spans="6:7" ht="15.75" customHeight="1">
      <c r="F303">
        <f>SUMIF([1]Input!A$15:A$24, A303, [1]Input!B$15:B$24)</f>
        <v>0</v>
      </c>
      <c r="G303">
        <f t="shared" si="4"/>
        <v>0</v>
      </c>
    </row>
    <row r="304" spans="6:7" ht="15.75" customHeight="1">
      <c r="F304">
        <f>SUMIF([1]Input!A$15:A$24, A304, [1]Input!B$15:B$24)</f>
        <v>0</v>
      </c>
      <c r="G304">
        <f t="shared" si="4"/>
        <v>0</v>
      </c>
    </row>
    <row r="305" spans="6:7" ht="15.75" customHeight="1">
      <c r="F305">
        <f>SUMIF([1]Input!A$15:A$24, A305, [1]Input!B$15:B$24)</f>
        <v>0</v>
      </c>
      <c r="G305">
        <f t="shared" si="4"/>
        <v>0</v>
      </c>
    </row>
    <row r="306" spans="6:7" ht="15.75" customHeight="1">
      <c r="F306">
        <f>SUMIF([1]Input!A$15:A$24, A306, [1]Input!B$15:B$24)</f>
        <v>0</v>
      </c>
      <c r="G306">
        <f t="shared" si="4"/>
        <v>0</v>
      </c>
    </row>
    <row r="307" spans="6:7" ht="15.75" customHeight="1">
      <c r="F307">
        <f>SUMIF([1]Input!A$15:A$24, A307, [1]Input!B$15:B$24)</f>
        <v>0</v>
      </c>
      <c r="G307">
        <f t="shared" si="4"/>
        <v>0</v>
      </c>
    </row>
    <row r="308" spans="6:7" ht="15.75" customHeight="1">
      <c r="F308">
        <f>SUMIF([1]Input!A$15:A$24, A308, [1]Input!B$15:B$24)</f>
        <v>0</v>
      </c>
      <c r="G308">
        <f t="shared" si="4"/>
        <v>0</v>
      </c>
    </row>
    <row r="309" spans="6:7" ht="15.75" customHeight="1">
      <c r="F309">
        <f>SUMIF([1]Input!A$15:A$24, A309, [1]Input!B$15:B$24)</f>
        <v>0</v>
      </c>
      <c r="G309">
        <f t="shared" si="4"/>
        <v>0</v>
      </c>
    </row>
    <row r="310" spans="6:7" ht="15.75" customHeight="1">
      <c r="F310">
        <f>SUMIF([1]Input!A$15:A$24, A310, [1]Input!B$15:B$24)</f>
        <v>0</v>
      </c>
      <c r="G310">
        <f t="shared" si="4"/>
        <v>0</v>
      </c>
    </row>
    <row r="311" spans="6:7" ht="15.75" customHeight="1">
      <c r="F311">
        <f>SUMIF([1]Input!A$15:A$24, A311, [1]Input!B$15:B$24)</f>
        <v>0</v>
      </c>
      <c r="G311">
        <f t="shared" si="4"/>
        <v>0</v>
      </c>
    </row>
    <row r="312" spans="6:7" ht="15.75" customHeight="1">
      <c r="F312">
        <f>SUMIF([1]Input!A$15:A$24, A312, [1]Input!B$15:B$24)</f>
        <v>0</v>
      </c>
      <c r="G312">
        <f t="shared" si="4"/>
        <v>0</v>
      </c>
    </row>
    <row r="313" spans="6:7" ht="15.75" customHeight="1">
      <c r="F313">
        <f>SUMIF([1]Input!A$15:A$24, A313, [1]Input!B$15:B$24)</f>
        <v>0</v>
      </c>
      <c r="G313">
        <f t="shared" si="4"/>
        <v>0</v>
      </c>
    </row>
    <row r="314" spans="6:7" ht="15.75" customHeight="1">
      <c r="F314">
        <f>SUMIF([1]Input!A$15:A$24, A314, [1]Input!B$15:B$24)</f>
        <v>0</v>
      </c>
      <c r="G314">
        <f t="shared" si="4"/>
        <v>0</v>
      </c>
    </row>
    <row r="315" spans="6:7" ht="15.75" customHeight="1">
      <c r="F315">
        <f>SUMIF([1]Input!A$15:A$24, A315, [1]Input!B$15:B$24)</f>
        <v>0</v>
      </c>
      <c r="G315">
        <f t="shared" si="4"/>
        <v>0</v>
      </c>
    </row>
    <row r="316" spans="6:7" ht="15.75" customHeight="1">
      <c r="F316">
        <f>SUMIF([1]Input!A$15:A$24, A316, [1]Input!B$15:B$24)</f>
        <v>0</v>
      </c>
      <c r="G316">
        <f t="shared" si="4"/>
        <v>0</v>
      </c>
    </row>
    <row r="317" spans="6:7" ht="15.75" customHeight="1">
      <c r="F317">
        <f>SUMIF([1]Input!A$15:A$24, A317, [1]Input!B$15:B$24)</f>
        <v>0</v>
      </c>
      <c r="G317">
        <f t="shared" si="4"/>
        <v>0</v>
      </c>
    </row>
    <row r="318" spans="6:7" ht="15.75" customHeight="1">
      <c r="F318">
        <f>SUMIF([1]Input!A$15:A$24, A318, [1]Input!B$15:B$24)</f>
        <v>0</v>
      </c>
      <c r="G318">
        <f t="shared" si="4"/>
        <v>0</v>
      </c>
    </row>
    <row r="319" spans="6:7" ht="15.75" customHeight="1">
      <c r="F319">
        <f>SUMIF([1]Input!A$15:A$24, A319, [1]Input!B$15:B$24)</f>
        <v>0</v>
      </c>
      <c r="G319">
        <f t="shared" si="4"/>
        <v>0</v>
      </c>
    </row>
    <row r="320" spans="6:7" ht="15.75" customHeight="1">
      <c r="F320">
        <f>SUMIF([1]Input!A$15:A$24, A320, [1]Input!B$15:B$24)</f>
        <v>0</v>
      </c>
      <c r="G320">
        <f t="shared" si="4"/>
        <v>0</v>
      </c>
    </row>
    <row r="321" spans="6:7" ht="15.75" customHeight="1">
      <c r="F321">
        <f>SUMIF([1]Input!A$15:A$24, A321, [1]Input!B$15:B$24)</f>
        <v>0</v>
      </c>
      <c r="G321">
        <f t="shared" si="4"/>
        <v>0</v>
      </c>
    </row>
    <row r="322" spans="6:7" ht="15.75" customHeight="1">
      <c r="F322">
        <f>SUMIF([1]Input!A$15:A$24, A322, [1]Input!B$15:B$24)</f>
        <v>0</v>
      </c>
      <c r="G322">
        <f t="shared" si="4"/>
        <v>0</v>
      </c>
    </row>
    <row r="323" spans="6:7" ht="15.75" customHeight="1">
      <c r="F323">
        <f>SUMIF([1]Input!A$15:A$24, A323, [1]Input!B$15:B$24)</f>
        <v>0</v>
      </c>
      <c r="G323">
        <f t="shared" ref="G323:G386" si="5">B323 - F323</f>
        <v>0</v>
      </c>
    </row>
    <row r="324" spans="6:7" ht="15.75" customHeight="1">
      <c r="F324">
        <f>SUMIF([1]Input!A$15:A$24, A324, [1]Input!B$15:B$24)</f>
        <v>0</v>
      </c>
      <c r="G324">
        <f t="shared" si="5"/>
        <v>0</v>
      </c>
    </row>
    <row r="325" spans="6:7" ht="15.75" customHeight="1">
      <c r="F325">
        <f>SUMIF([1]Input!A$15:A$24, A325, [1]Input!B$15:B$24)</f>
        <v>0</v>
      </c>
      <c r="G325">
        <f t="shared" si="5"/>
        <v>0</v>
      </c>
    </row>
    <row r="326" spans="6:7" ht="15.75" customHeight="1">
      <c r="F326">
        <f>SUMIF([1]Input!A$15:A$24, A326, [1]Input!B$15:B$24)</f>
        <v>0</v>
      </c>
      <c r="G326">
        <f t="shared" si="5"/>
        <v>0</v>
      </c>
    </row>
    <row r="327" spans="6:7" ht="15.75" customHeight="1">
      <c r="F327">
        <f>SUMIF([1]Input!A$15:A$24, A327, [1]Input!B$15:B$24)</f>
        <v>0</v>
      </c>
      <c r="G327">
        <f t="shared" si="5"/>
        <v>0</v>
      </c>
    </row>
    <row r="328" spans="6:7" ht="15.75" customHeight="1">
      <c r="F328">
        <f>SUMIF([1]Input!A$15:A$24, A328, [1]Input!B$15:B$24)</f>
        <v>0</v>
      </c>
      <c r="G328">
        <f t="shared" si="5"/>
        <v>0</v>
      </c>
    </row>
    <row r="329" spans="6:7" ht="15.75" customHeight="1">
      <c r="F329">
        <f>SUMIF([1]Input!A$15:A$24, A329, [1]Input!B$15:B$24)</f>
        <v>0</v>
      </c>
      <c r="G329">
        <f t="shared" si="5"/>
        <v>0</v>
      </c>
    </row>
    <row r="330" spans="6:7" ht="15.75" customHeight="1">
      <c r="F330">
        <f>SUMIF([1]Input!A$15:A$24, A330, [1]Input!B$15:B$24)</f>
        <v>0</v>
      </c>
      <c r="G330">
        <f t="shared" si="5"/>
        <v>0</v>
      </c>
    </row>
    <row r="331" spans="6:7" ht="15.75" customHeight="1">
      <c r="F331">
        <f>SUMIF([1]Input!A$15:A$24, A331, [1]Input!B$15:B$24)</f>
        <v>0</v>
      </c>
      <c r="G331">
        <f t="shared" si="5"/>
        <v>0</v>
      </c>
    </row>
    <row r="332" spans="6:7" ht="15.75" customHeight="1">
      <c r="F332">
        <f>SUMIF([1]Input!A$15:A$24, A332, [1]Input!B$15:B$24)</f>
        <v>0</v>
      </c>
      <c r="G332">
        <f t="shared" si="5"/>
        <v>0</v>
      </c>
    </row>
    <row r="333" spans="6:7" ht="15.75" customHeight="1">
      <c r="F333">
        <f>SUMIF([1]Input!A$15:A$24, A333, [1]Input!B$15:B$24)</f>
        <v>0</v>
      </c>
      <c r="G333">
        <f t="shared" si="5"/>
        <v>0</v>
      </c>
    </row>
    <row r="334" spans="6:7" ht="15.75" customHeight="1">
      <c r="F334">
        <f>SUMIF([1]Input!A$15:A$24, A334, [1]Input!B$15:B$24)</f>
        <v>0</v>
      </c>
      <c r="G334">
        <f t="shared" si="5"/>
        <v>0</v>
      </c>
    </row>
    <row r="335" spans="6:7" ht="15.75" customHeight="1">
      <c r="F335">
        <f>SUMIF([1]Input!A$15:A$24, A335, [1]Input!B$15:B$24)</f>
        <v>0</v>
      </c>
      <c r="G335">
        <f t="shared" si="5"/>
        <v>0</v>
      </c>
    </row>
    <row r="336" spans="6:7" ht="15.75" customHeight="1">
      <c r="F336">
        <f>SUMIF([1]Input!A$15:A$24, A336, [1]Input!B$15:B$24)</f>
        <v>0</v>
      </c>
      <c r="G336">
        <f t="shared" si="5"/>
        <v>0</v>
      </c>
    </row>
    <row r="337" spans="6:7" ht="15.75" customHeight="1">
      <c r="F337">
        <f>SUMIF([1]Input!A$15:A$24, A337, [1]Input!B$15:B$24)</f>
        <v>0</v>
      </c>
      <c r="G337">
        <f t="shared" si="5"/>
        <v>0</v>
      </c>
    </row>
    <row r="338" spans="6:7" ht="15.75" customHeight="1">
      <c r="F338">
        <f>SUMIF([1]Input!A$15:A$24, A338, [1]Input!B$15:B$24)</f>
        <v>0</v>
      </c>
      <c r="G338">
        <f t="shared" si="5"/>
        <v>0</v>
      </c>
    </row>
    <row r="339" spans="6:7" ht="15.75" customHeight="1">
      <c r="F339">
        <f>SUMIF([1]Input!A$15:A$24, A339, [1]Input!B$15:B$24)</f>
        <v>0</v>
      </c>
      <c r="G339">
        <f t="shared" si="5"/>
        <v>0</v>
      </c>
    </row>
    <row r="340" spans="6:7" ht="15.75" customHeight="1">
      <c r="F340">
        <f>SUMIF([1]Input!A$15:A$24, A340, [1]Input!B$15:B$24)</f>
        <v>0</v>
      </c>
      <c r="G340">
        <f t="shared" si="5"/>
        <v>0</v>
      </c>
    </row>
    <row r="341" spans="6:7" ht="15.75" customHeight="1">
      <c r="F341">
        <f>SUMIF([1]Input!A$15:A$24, A341, [1]Input!B$15:B$24)</f>
        <v>0</v>
      </c>
      <c r="G341">
        <f t="shared" si="5"/>
        <v>0</v>
      </c>
    </row>
    <row r="342" spans="6:7" ht="15.75" customHeight="1">
      <c r="F342">
        <f>SUMIF([1]Input!A$15:A$24, A342, [1]Input!B$15:B$24)</f>
        <v>0</v>
      </c>
      <c r="G342">
        <f t="shared" si="5"/>
        <v>0</v>
      </c>
    </row>
    <row r="343" spans="6:7" ht="15.75" customHeight="1">
      <c r="F343">
        <f>SUMIF([1]Input!A$15:A$24, A343, [1]Input!B$15:B$24)</f>
        <v>0</v>
      </c>
      <c r="G343">
        <f t="shared" si="5"/>
        <v>0</v>
      </c>
    </row>
    <row r="344" spans="6:7" ht="15.75" customHeight="1">
      <c r="F344">
        <f>SUMIF([1]Input!A$15:A$24, A344, [1]Input!B$15:B$24)</f>
        <v>0</v>
      </c>
      <c r="G344">
        <f t="shared" si="5"/>
        <v>0</v>
      </c>
    </row>
    <row r="345" spans="6:7" ht="15.75" customHeight="1">
      <c r="F345">
        <f>SUMIF([1]Input!A$15:A$24, A345, [1]Input!B$15:B$24)</f>
        <v>0</v>
      </c>
      <c r="G345">
        <f t="shared" si="5"/>
        <v>0</v>
      </c>
    </row>
    <row r="346" spans="6:7" ht="15.75" customHeight="1">
      <c r="F346">
        <f>SUMIF([1]Input!A$15:A$24, A346, [1]Input!B$15:B$24)</f>
        <v>0</v>
      </c>
      <c r="G346">
        <f t="shared" si="5"/>
        <v>0</v>
      </c>
    </row>
    <row r="347" spans="6:7" ht="15.75" customHeight="1">
      <c r="F347">
        <f>SUMIF([1]Input!A$15:A$24, A347, [1]Input!B$15:B$24)</f>
        <v>0</v>
      </c>
      <c r="G347">
        <f t="shared" si="5"/>
        <v>0</v>
      </c>
    </row>
    <row r="348" spans="6:7" ht="15.75" customHeight="1">
      <c r="F348">
        <f>SUMIF([1]Input!A$15:A$24, A348, [1]Input!B$15:B$24)</f>
        <v>0</v>
      </c>
      <c r="G348">
        <f t="shared" si="5"/>
        <v>0</v>
      </c>
    </row>
    <row r="349" spans="6:7" ht="15.75" customHeight="1">
      <c r="F349">
        <f>SUMIF([1]Input!A$15:A$24, A349, [1]Input!B$15:B$24)</f>
        <v>0</v>
      </c>
      <c r="G349">
        <f t="shared" si="5"/>
        <v>0</v>
      </c>
    </row>
    <row r="350" spans="6:7" ht="15.75" customHeight="1">
      <c r="F350">
        <f>SUMIF([1]Input!A$15:A$24, A350, [1]Input!B$15:B$24)</f>
        <v>0</v>
      </c>
      <c r="G350">
        <f t="shared" si="5"/>
        <v>0</v>
      </c>
    </row>
    <row r="351" spans="6:7" ht="15.75" customHeight="1">
      <c r="F351">
        <f>SUMIF([1]Input!A$15:A$24, A351, [1]Input!B$15:B$24)</f>
        <v>0</v>
      </c>
      <c r="G351">
        <f t="shared" si="5"/>
        <v>0</v>
      </c>
    </row>
    <row r="352" spans="6:7" ht="15.75" customHeight="1">
      <c r="F352">
        <f>SUMIF([1]Input!A$15:A$24, A352, [1]Input!B$15:B$24)</f>
        <v>0</v>
      </c>
      <c r="G352">
        <f t="shared" si="5"/>
        <v>0</v>
      </c>
    </row>
    <row r="353" spans="6:7" ht="15.75" customHeight="1">
      <c r="F353">
        <f>SUMIF([1]Input!A$15:A$24, A353, [1]Input!B$15:B$24)</f>
        <v>0</v>
      </c>
      <c r="G353">
        <f t="shared" si="5"/>
        <v>0</v>
      </c>
    </row>
    <row r="354" spans="6:7" ht="15.75" customHeight="1">
      <c r="F354">
        <f>SUMIF([1]Input!A$15:A$24, A354, [1]Input!B$15:B$24)</f>
        <v>0</v>
      </c>
      <c r="G354">
        <f t="shared" si="5"/>
        <v>0</v>
      </c>
    </row>
    <row r="355" spans="6:7" ht="15.75" customHeight="1">
      <c r="F355">
        <f>SUMIF([1]Input!A$15:A$24, A355, [1]Input!B$15:B$24)</f>
        <v>0</v>
      </c>
      <c r="G355">
        <f t="shared" si="5"/>
        <v>0</v>
      </c>
    </row>
    <row r="356" spans="6:7" ht="15.75" customHeight="1">
      <c r="F356">
        <f>SUMIF([1]Input!A$15:A$24, A356, [1]Input!B$15:B$24)</f>
        <v>0</v>
      </c>
      <c r="G356">
        <f t="shared" si="5"/>
        <v>0</v>
      </c>
    </row>
    <row r="357" spans="6:7" ht="15.75" customHeight="1">
      <c r="F357">
        <f>SUMIF([1]Input!A$15:A$24, A357, [1]Input!B$15:B$24)</f>
        <v>0</v>
      </c>
      <c r="G357">
        <f t="shared" si="5"/>
        <v>0</v>
      </c>
    </row>
    <row r="358" spans="6:7" ht="15.75" customHeight="1">
      <c r="F358">
        <f>SUMIF([1]Input!A$15:A$24, A358, [1]Input!B$15:B$24)</f>
        <v>0</v>
      </c>
      <c r="G358">
        <f t="shared" si="5"/>
        <v>0</v>
      </c>
    </row>
    <row r="359" spans="6:7" ht="15.75" customHeight="1">
      <c r="F359">
        <f>SUMIF([1]Input!A$15:A$24, A359, [1]Input!B$15:B$24)</f>
        <v>0</v>
      </c>
      <c r="G359">
        <f t="shared" si="5"/>
        <v>0</v>
      </c>
    </row>
    <row r="360" spans="6:7" ht="15.75" customHeight="1">
      <c r="F360">
        <f>SUMIF([1]Input!A$15:A$24, A360, [1]Input!B$15:B$24)</f>
        <v>0</v>
      </c>
      <c r="G360">
        <f t="shared" si="5"/>
        <v>0</v>
      </c>
    </row>
    <row r="361" spans="6:7" ht="15.75" customHeight="1">
      <c r="F361">
        <f>SUMIF([1]Input!A$15:A$24, A361, [1]Input!B$15:B$24)</f>
        <v>0</v>
      </c>
      <c r="G361">
        <f t="shared" si="5"/>
        <v>0</v>
      </c>
    </row>
    <row r="362" spans="6:7" ht="15.75" customHeight="1">
      <c r="F362">
        <f>SUMIF([1]Input!A$15:A$24, A362, [1]Input!B$15:B$24)</f>
        <v>0</v>
      </c>
      <c r="G362">
        <f t="shared" si="5"/>
        <v>0</v>
      </c>
    </row>
    <row r="363" spans="6:7" ht="15.75" customHeight="1">
      <c r="F363">
        <f>SUMIF([1]Input!A$15:A$24, A363, [1]Input!B$15:B$24)</f>
        <v>0</v>
      </c>
      <c r="G363">
        <f t="shared" si="5"/>
        <v>0</v>
      </c>
    </row>
    <row r="364" spans="6:7" ht="15.75" customHeight="1">
      <c r="F364">
        <f>SUMIF([1]Input!A$15:A$24, A364, [1]Input!B$15:B$24)</f>
        <v>0</v>
      </c>
      <c r="G364">
        <f t="shared" si="5"/>
        <v>0</v>
      </c>
    </row>
    <row r="365" spans="6:7" ht="15.75" customHeight="1">
      <c r="F365">
        <f>SUMIF([1]Input!A$15:A$24, A365, [1]Input!B$15:B$24)</f>
        <v>0</v>
      </c>
      <c r="G365">
        <f t="shared" si="5"/>
        <v>0</v>
      </c>
    </row>
    <row r="366" spans="6:7" ht="15.75" customHeight="1">
      <c r="F366">
        <f>SUMIF([1]Input!A$15:A$24, A366, [1]Input!B$15:B$24)</f>
        <v>0</v>
      </c>
      <c r="G366">
        <f t="shared" si="5"/>
        <v>0</v>
      </c>
    </row>
    <row r="367" spans="6:7" ht="15.75" customHeight="1">
      <c r="F367">
        <f>SUMIF([1]Input!A$15:A$24, A367, [1]Input!B$15:B$24)</f>
        <v>0</v>
      </c>
      <c r="G367">
        <f t="shared" si="5"/>
        <v>0</v>
      </c>
    </row>
    <row r="368" spans="6:7" ht="15.75" customHeight="1">
      <c r="F368">
        <f>SUMIF([1]Input!A$15:A$24, A368, [1]Input!B$15:B$24)</f>
        <v>0</v>
      </c>
      <c r="G368">
        <f t="shared" si="5"/>
        <v>0</v>
      </c>
    </row>
    <row r="369" spans="6:7" ht="15.75" customHeight="1">
      <c r="F369">
        <f>SUMIF([1]Input!A$15:A$24, A369, [1]Input!B$15:B$24)</f>
        <v>0</v>
      </c>
      <c r="G369">
        <f t="shared" si="5"/>
        <v>0</v>
      </c>
    </row>
    <row r="370" spans="6:7" ht="15.75" customHeight="1">
      <c r="F370">
        <f>SUMIF([1]Input!A$15:A$24, A370, [1]Input!B$15:B$24)</f>
        <v>0</v>
      </c>
      <c r="G370">
        <f t="shared" si="5"/>
        <v>0</v>
      </c>
    </row>
    <row r="371" spans="6:7" ht="15.75" customHeight="1">
      <c r="F371">
        <f>SUMIF([1]Input!A$15:A$24, A371, [1]Input!B$15:B$24)</f>
        <v>0</v>
      </c>
      <c r="G371">
        <f t="shared" si="5"/>
        <v>0</v>
      </c>
    </row>
    <row r="372" spans="6:7" ht="15.75" customHeight="1">
      <c r="F372">
        <f>SUMIF([1]Input!A$15:A$24, A372, [1]Input!B$15:B$24)</f>
        <v>0</v>
      </c>
      <c r="G372">
        <f t="shared" si="5"/>
        <v>0</v>
      </c>
    </row>
    <row r="373" spans="6:7" ht="15.75" customHeight="1">
      <c r="F373">
        <f>SUMIF([1]Input!A$15:A$24, A373, [1]Input!B$15:B$24)</f>
        <v>0</v>
      </c>
      <c r="G373">
        <f t="shared" si="5"/>
        <v>0</v>
      </c>
    </row>
    <row r="374" spans="6:7" ht="15.75" customHeight="1">
      <c r="F374">
        <f>SUMIF([1]Input!A$15:A$24, A374, [1]Input!B$15:B$24)</f>
        <v>0</v>
      </c>
      <c r="G374">
        <f t="shared" si="5"/>
        <v>0</v>
      </c>
    </row>
    <row r="375" spans="6:7" ht="15.75" customHeight="1">
      <c r="F375">
        <f>SUMIF([1]Input!A$15:A$24, A375, [1]Input!B$15:B$24)</f>
        <v>0</v>
      </c>
      <c r="G375">
        <f t="shared" si="5"/>
        <v>0</v>
      </c>
    </row>
    <row r="376" spans="6:7" ht="15.75" customHeight="1">
      <c r="F376">
        <f>SUMIF([1]Input!A$15:A$24, A376, [1]Input!B$15:B$24)</f>
        <v>0</v>
      </c>
      <c r="G376">
        <f t="shared" si="5"/>
        <v>0</v>
      </c>
    </row>
    <row r="377" spans="6:7" ht="15.75" customHeight="1">
      <c r="F377">
        <f>SUMIF([1]Input!A$15:A$24, A377, [1]Input!B$15:B$24)</f>
        <v>0</v>
      </c>
      <c r="G377">
        <f t="shared" si="5"/>
        <v>0</v>
      </c>
    </row>
    <row r="378" spans="6:7" ht="15.75" customHeight="1">
      <c r="F378">
        <f>SUMIF([1]Input!A$15:A$24, A378, [1]Input!B$15:B$24)</f>
        <v>0</v>
      </c>
      <c r="G378">
        <f t="shared" si="5"/>
        <v>0</v>
      </c>
    </row>
    <row r="379" spans="6:7" ht="15.75" customHeight="1">
      <c r="F379">
        <f>SUMIF([1]Input!A$15:A$24, A379, [1]Input!B$15:B$24)</f>
        <v>0</v>
      </c>
      <c r="G379">
        <f t="shared" si="5"/>
        <v>0</v>
      </c>
    </row>
    <row r="380" spans="6:7" ht="15.75" customHeight="1">
      <c r="F380">
        <f>SUMIF([1]Input!A$15:A$24, A380, [1]Input!B$15:B$24)</f>
        <v>0</v>
      </c>
      <c r="G380">
        <f t="shared" si="5"/>
        <v>0</v>
      </c>
    </row>
    <row r="381" spans="6:7" ht="15.75" customHeight="1">
      <c r="F381">
        <f>SUMIF([1]Input!A$15:A$24, A381, [1]Input!B$15:B$24)</f>
        <v>0</v>
      </c>
      <c r="G381">
        <f t="shared" si="5"/>
        <v>0</v>
      </c>
    </row>
    <row r="382" spans="6:7" ht="15.75" customHeight="1">
      <c r="F382">
        <f>SUMIF([1]Input!A$15:A$24, A382, [1]Input!B$15:B$24)</f>
        <v>0</v>
      </c>
      <c r="G382">
        <f t="shared" si="5"/>
        <v>0</v>
      </c>
    </row>
    <row r="383" spans="6:7" ht="15.75" customHeight="1">
      <c r="F383">
        <f>SUMIF([1]Input!A$15:A$24, A383, [1]Input!B$15:B$24)</f>
        <v>0</v>
      </c>
      <c r="G383">
        <f t="shared" si="5"/>
        <v>0</v>
      </c>
    </row>
    <row r="384" spans="6:7" ht="15.75" customHeight="1">
      <c r="F384">
        <f>SUMIF([1]Input!A$15:A$24, A384, [1]Input!B$15:B$24)</f>
        <v>0</v>
      </c>
      <c r="G384">
        <f t="shared" si="5"/>
        <v>0</v>
      </c>
    </row>
    <row r="385" spans="6:7" ht="15.75" customHeight="1">
      <c r="F385">
        <f>SUMIF([1]Input!A$15:A$24, A385, [1]Input!B$15:B$24)</f>
        <v>0</v>
      </c>
      <c r="G385">
        <f t="shared" si="5"/>
        <v>0</v>
      </c>
    </row>
    <row r="386" spans="6:7" ht="15.75" customHeight="1">
      <c r="F386">
        <f>SUMIF([1]Input!A$15:A$24, A386, [1]Input!B$15:B$24)</f>
        <v>0</v>
      </c>
      <c r="G386">
        <f t="shared" si="5"/>
        <v>0</v>
      </c>
    </row>
    <row r="387" spans="6:7" ht="15.75" customHeight="1">
      <c r="F387">
        <f>SUMIF([1]Input!A$15:A$24, A387, [1]Input!B$15:B$24)</f>
        <v>0</v>
      </c>
      <c r="G387">
        <f t="shared" ref="G387:G450" si="6">B387 - F387</f>
        <v>0</v>
      </c>
    </row>
    <row r="388" spans="6:7" ht="15.75" customHeight="1">
      <c r="F388">
        <f>SUMIF([1]Input!A$15:A$24, A388, [1]Input!B$15:B$24)</f>
        <v>0</v>
      </c>
      <c r="G388">
        <f t="shared" si="6"/>
        <v>0</v>
      </c>
    </row>
    <row r="389" spans="6:7" ht="15.75" customHeight="1">
      <c r="F389">
        <f>SUMIF([1]Input!A$15:A$24, A389, [1]Input!B$15:B$24)</f>
        <v>0</v>
      </c>
      <c r="G389">
        <f t="shared" si="6"/>
        <v>0</v>
      </c>
    </row>
    <row r="390" spans="6:7" ht="15.75" customHeight="1">
      <c r="F390">
        <f>SUMIF([1]Input!A$15:A$24, A390, [1]Input!B$15:B$24)</f>
        <v>0</v>
      </c>
      <c r="G390">
        <f t="shared" si="6"/>
        <v>0</v>
      </c>
    </row>
    <row r="391" spans="6:7" ht="15.75" customHeight="1">
      <c r="F391">
        <f>SUMIF([1]Input!A$15:A$24, A391, [1]Input!B$15:B$24)</f>
        <v>0</v>
      </c>
      <c r="G391">
        <f t="shared" si="6"/>
        <v>0</v>
      </c>
    </row>
    <row r="392" spans="6:7" ht="15.75" customHeight="1">
      <c r="F392">
        <f>SUMIF([1]Input!A$15:A$24, A392, [1]Input!B$15:B$24)</f>
        <v>0</v>
      </c>
      <c r="G392">
        <f t="shared" si="6"/>
        <v>0</v>
      </c>
    </row>
    <row r="393" spans="6:7" ht="15.75" customHeight="1">
      <c r="F393">
        <f>SUMIF([1]Input!A$15:A$24, A393, [1]Input!B$15:B$24)</f>
        <v>0</v>
      </c>
      <c r="G393">
        <f t="shared" si="6"/>
        <v>0</v>
      </c>
    </row>
    <row r="394" spans="6:7" ht="15.75" customHeight="1">
      <c r="F394">
        <f>SUMIF([1]Input!A$15:A$24, A394, [1]Input!B$15:B$24)</f>
        <v>0</v>
      </c>
      <c r="G394">
        <f t="shared" si="6"/>
        <v>0</v>
      </c>
    </row>
    <row r="395" spans="6:7" ht="15.75" customHeight="1">
      <c r="F395">
        <f>SUMIF([1]Input!A$15:A$24, A395, [1]Input!B$15:B$24)</f>
        <v>0</v>
      </c>
      <c r="G395">
        <f t="shared" si="6"/>
        <v>0</v>
      </c>
    </row>
    <row r="396" spans="6:7" ht="15.75" customHeight="1">
      <c r="F396">
        <f>SUMIF([1]Input!A$15:A$24, A396, [1]Input!B$15:B$24)</f>
        <v>0</v>
      </c>
      <c r="G396">
        <f t="shared" si="6"/>
        <v>0</v>
      </c>
    </row>
    <row r="397" spans="6:7" ht="15.75" customHeight="1">
      <c r="F397">
        <f>SUMIF([1]Input!A$15:A$24, A397, [1]Input!B$15:B$24)</f>
        <v>0</v>
      </c>
      <c r="G397">
        <f t="shared" si="6"/>
        <v>0</v>
      </c>
    </row>
    <row r="398" spans="6:7" ht="15.75" customHeight="1">
      <c r="F398">
        <f>SUMIF([1]Input!A$15:A$24, A398, [1]Input!B$15:B$24)</f>
        <v>0</v>
      </c>
      <c r="G398">
        <f t="shared" si="6"/>
        <v>0</v>
      </c>
    </row>
    <row r="399" spans="6:7" ht="15.75" customHeight="1">
      <c r="F399">
        <f>SUMIF([1]Input!A$15:A$24, A399, [1]Input!B$15:B$24)</f>
        <v>0</v>
      </c>
      <c r="G399">
        <f t="shared" si="6"/>
        <v>0</v>
      </c>
    </row>
    <row r="400" spans="6:7" ht="15.75" customHeight="1">
      <c r="F400">
        <f>SUMIF([1]Input!A$15:A$24, A400, [1]Input!B$15:B$24)</f>
        <v>0</v>
      </c>
      <c r="G400">
        <f t="shared" si="6"/>
        <v>0</v>
      </c>
    </row>
    <row r="401" spans="6:7" ht="15.75" customHeight="1">
      <c r="F401">
        <f>SUMIF([1]Input!A$15:A$24, A401, [1]Input!B$15:B$24)</f>
        <v>0</v>
      </c>
      <c r="G401">
        <f t="shared" si="6"/>
        <v>0</v>
      </c>
    </row>
    <row r="402" spans="6:7" ht="15.75" customHeight="1">
      <c r="F402">
        <f>SUMIF([1]Input!A$15:A$24, A402, [1]Input!B$15:B$24)</f>
        <v>0</v>
      </c>
      <c r="G402">
        <f t="shared" si="6"/>
        <v>0</v>
      </c>
    </row>
    <row r="403" spans="6:7" ht="15.75" customHeight="1">
      <c r="F403">
        <f>SUMIF([1]Input!A$15:A$24, A403, [1]Input!B$15:B$24)</f>
        <v>0</v>
      </c>
      <c r="G403">
        <f t="shared" si="6"/>
        <v>0</v>
      </c>
    </row>
    <row r="404" spans="6:7" ht="15.75" customHeight="1">
      <c r="F404">
        <f>SUMIF([1]Input!A$15:A$24, A404, [1]Input!B$15:B$24)</f>
        <v>0</v>
      </c>
      <c r="G404">
        <f t="shared" si="6"/>
        <v>0</v>
      </c>
    </row>
    <row r="405" spans="6:7" ht="15.75" customHeight="1">
      <c r="F405">
        <f>SUMIF([1]Input!A$15:A$24, A405, [1]Input!B$15:B$24)</f>
        <v>0</v>
      </c>
      <c r="G405">
        <f t="shared" si="6"/>
        <v>0</v>
      </c>
    </row>
    <row r="406" spans="6:7" ht="15.75" customHeight="1">
      <c r="F406">
        <f>SUMIF([1]Input!A$15:A$24, A406, [1]Input!B$15:B$24)</f>
        <v>0</v>
      </c>
      <c r="G406">
        <f t="shared" si="6"/>
        <v>0</v>
      </c>
    </row>
    <row r="407" spans="6:7" ht="15.75" customHeight="1">
      <c r="F407">
        <f>SUMIF([1]Input!A$15:A$24, A407, [1]Input!B$15:B$24)</f>
        <v>0</v>
      </c>
      <c r="G407">
        <f t="shared" si="6"/>
        <v>0</v>
      </c>
    </row>
    <row r="408" spans="6:7" ht="15.75" customHeight="1">
      <c r="F408">
        <f>SUMIF([1]Input!A$15:A$24, A408, [1]Input!B$15:B$24)</f>
        <v>0</v>
      </c>
      <c r="G408">
        <f t="shared" si="6"/>
        <v>0</v>
      </c>
    </row>
    <row r="409" spans="6:7" ht="15.75" customHeight="1">
      <c r="F409">
        <f>SUMIF([1]Input!A$15:A$24, A409, [1]Input!B$15:B$24)</f>
        <v>0</v>
      </c>
      <c r="G409">
        <f t="shared" si="6"/>
        <v>0</v>
      </c>
    </row>
    <row r="410" spans="6:7" ht="15.75" customHeight="1">
      <c r="F410">
        <f>SUMIF([1]Input!A$15:A$24, A410, [1]Input!B$15:B$24)</f>
        <v>0</v>
      </c>
      <c r="G410">
        <f t="shared" si="6"/>
        <v>0</v>
      </c>
    </row>
    <row r="411" spans="6:7" ht="15.75" customHeight="1">
      <c r="F411">
        <f>SUMIF([1]Input!A$15:A$24, A411, [1]Input!B$15:B$24)</f>
        <v>0</v>
      </c>
      <c r="G411">
        <f t="shared" si="6"/>
        <v>0</v>
      </c>
    </row>
    <row r="412" spans="6:7" ht="15.75" customHeight="1">
      <c r="F412">
        <f>SUMIF([1]Input!A$15:A$24, A412, [1]Input!B$15:B$24)</f>
        <v>0</v>
      </c>
      <c r="G412">
        <f t="shared" si="6"/>
        <v>0</v>
      </c>
    </row>
    <row r="413" spans="6:7" ht="15.75" customHeight="1">
      <c r="F413">
        <f>SUMIF([1]Input!A$15:A$24, A413, [1]Input!B$15:B$24)</f>
        <v>0</v>
      </c>
      <c r="G413">
        <f t="shared" si="6"/>
        <v>0</v>
      </c>
    </row>
    <row r="414" spans="6:7" ht="15.75" customHeight="1">
      <c r="F414">
        <f>SUMIF([1]Input!A$15:A$24, A414, [1]Input!B$15:B$24)</f>
        <v>0</v>
      </c>
      <c r="G414">
        <f t="shared" si="6"/>
        <v>0</v>
      </c>
    </row>
    <row r="415" spans="6:7" ht="15.75" customHeight="1">
      <c r="F415">
        <f>SUMIF([1]Input!A$15:A$24, A415, [1]Input!B$15:B$24)</f>
        <v>0</v>
      </c>
      <c r="G415">
        <f t="shared" si="6"/>
        <v>0</v>
      </c>
    </row>
    <row r="416" spans="6:7" ht="15.75" customHeight="1">
      <c r="F416">
        <f>SUMIF([1]Input!A$15:A$24, A416, [1]Input!B$15:B$24)</f>
        <v>0</v>
      </c>
      <c r="G416">
        <f t="shared" si="6"/>
        <v>0</v>
      </c>
    </row>
    <row r="417" spans="6:7" ht="15.75" customHeight="1">
      <c r="F417">
        <f>SUMIF([1]Input!A$15:A$24, A417, [1]Input!B$15:B$24)</f>
        <v>0</v>
      </c>
      <c r="G417">
        <f t="shared" si="6"/>
        <v>0</v>
      </c>
    </row>
    <row r="418" spans="6:7" ht="15.75" customHeight="1">
      <c r="F418">
        <f>SUMIF([1]Input!A$15:A$24, A418, [1]Input!B$15:B$24)</f>
        <v>0</v>
      </c>
      <c r="G418">
        <f t="shared" si="6"/>
        <v>0</v>
      </c>
    </row>
    <row r="419" spans="6:7" ht="15.75" customHeight="1">
      <c r="F419">
        <f>SUMIF([1]Input!A$15:A$24, A419, [1]Input!B$15:B$24)</f>
        <v>0</v>
      </c>
      <c r="G419">
        <f t="shared" si="6"/>
        <v>0</v>
      </c>
    </row>
    <row r="420" spans="6:7" ht="15.75" customHeight="1">
      <c r="F420">
        <f>SUMIF([1]Input!A$15:A$24, A420, [1]Input!B$15:B$24)</f>
        <v>0</v>
      </c>
      <c r="G420">
        <f t="shared" si="6"/>
        <v>0</v>
      </c>
    </row>
    <row r="421" spans="6:7" ht="15.75" customHeight="1">
      <c r="F421">
        <f>SUMIF([1]Input!A$15:A$24, A421, [1]Input!B$15:B$24)</f>
        <v>0</v>
      </c>
      <c r="G421">
        <f t="shared" si="6"/>
        <v>0</v>
      </c>
    </row>
    <row r="422" spans="6:7" ht="15.75" customHeight="1">
      <c r="F422">
        <f>SUMIF([1]Input!A$15:A$24, A422, [1]Input!B$15:B$24)</f>
        <v>0</v>
      </c>
      <c r="G422">
        <f t="shared" si="6"/>
        <v>0</v>
      </c>
    </row>
    <row r="423" spans="6:7" ht="15.75" customHeight="1">
      <c r="F423">
        <f>SUMIF([1]Input!A$15:A$24, A423, [1]Input!B$15:B$24)</f>
        <v>0</v>
      </c>
      <c r="G423">
        <f t="shared" si="6"/>
        <v>0</v>
      </c>
    </row>
    <row r="424" spans="6:7" ht="15.75" customHeight="1">
      <c r="F424">
        <f>SUMIF([1]Input!A$15:A$24, A424, [1]Input!B$15:B$24)</f>
        <v>0</v>
      </c>
      <c r="G424">
        <f t="shared" si="6"/>
        <v>0</v>
      </c>
    </row>
    <row r="425" spans="6:7" ht="15.75" customHeight="1">
      <c r="F425">
        <f>SUMIF([1]Input!A$15:A$24, A425, [1]Input!B$15:B$24)</f>
        <v>0</v>
      </c>
      <c r="G425">
        <f t="shared" si="6"/>
        <v>0</v>
      </c>
    </row>
    <row r="426" spans="6:7" ht="15.75" customHeight="1">
      <c r="F426">
        <f>SUMIF([1]Input!A$15:A$24, A426, [1]Input!B$15:B$24)</f>
        <v>0</v>
      </c>
      <c r="G426">
        <f t="shared" si="6"/>
        <v>0</v>
      </c>
    </row>
    <row r="427" spans="6:7" ht="15.75" customHeight="1">
      <c r="F427">
        <f>SUMIF([1]Input!A$15:A$24, A427, [1]Input!B$15:B$24)</f>
        <v>0</v>
      </c>
      <c r="G427">
        <f t="shared" si="6"/>
        <v>0</v>
      </c>
    </row>
    <row r="428" spans="6:7" ht="15.75" customHeight="1">
      <c r="F428">
        <f>SUMIF([1]Input!A$15:A$24, A428, [1]Input!B$15:B$24)</f>
        <v>0</v>
      </c>
      <c r="G428">
        <f t="shared" si="6"/>
        <v>0</v>
      </c>
    </row>
    <row r="429" spans="6:7" ht="15.75" customHeight="1">
      <c r="F429">
        <f>SUMIF([1]Input!A$15:A$24, A429, [1]Input!B$15:B$24)</f>
        <v>0</v>
      </c>
      <c r="G429">
        <f t="shared" si="6"/>
        <v>0</v>
      </c>
    </row>
    <row r="430" spans="6:7" ht="15.75" customHeight="1">
      <c r="F430">
        <f>SUMIF([1]Input!A$15:A$24, A430, [1]Input!B$15:B$24)</f>
        <v>0</v>
      </c>
      <c r="G430">
        <f t="shared" si="6"/>
        <v>0</v>
      </c>
    </row>
    <row r="431" spans="6:7" ht="15.75" customHeight="1">
      <c r="F431">
        <f>SUMIF([1]Input!A$15:A$24, A431, [1]Input!B$15:B$24)</f>
        <v>0</v>
      </c>
      <c r="G431">
        <f t="shared" si="6"/>
        <v>0</v>
      </c>
    </row>
    <row r="432" spans="6:7" ht="15.75" customHeight="1">
      <c r="F432">
        <f>SUMIF([1]Input!A$15:A$24, A432, [1]Input!B$15:B$24)</f>
        <v>0</v>
      </c>
      <c r="G432">
        <f t="shared" si="6"/>
        <v>0</v>
      </c>
    </row>
    <row r="433" spans="6:7" ht="15.75" customHeight="1">
      <c r="F433">
        <f>SUMIF([1]Input!A$15:A$24, A433, [1]Input!B$15:B$24)</f>
        <v>0</v>
      </c>
      <c r="G433">
        <f t="shared" si="6"/>
        <v>0</v>
      </c>
    </row>
    <row r="434" spans="6:7" ht="15.75" customHeight="1">
      <c r="F434">
        <f>SUMIF([1]Input!A$15:A$24, A434, [1]Input!B$15:B$24)</f>
        <v>0</v>
      </c>
      <c r="G434">
        <f t="shared" si="6"/>
        <v>0</v>
      </c>
    </row>
    <row r="435" spans="6:7" ht="15.75" customHeight="1">
      <c r="F435">
        <f>SUMIF([1]Input!A$15:A$24, A435, [1]Input!B$15:B$24)</f>
        <v>0</v>
      </c>
      <c r="G435">
        <f t="shared" si="6"/>
        <v>0</v>
      </c>
    </row>
    <row r="436" spans="6:7" ht="15.75" customHeight="1">
      <c r="F436">
        <f>SUMIF([1]Input!A$15:A$24, A436, [1]Input!B$15:B$24)</f>
        <v>0</v>
      </c>
      <c r="G436">
        <f t="shared" si="6"/>
        <v>0</v>
      </c>
    </row>
    <row r="437" spans="6:7" ht="15.75" customHeight="1">
      <c r="F437">
        <f>SUMIF([1]Input!A$15:A$24, A437, [1]Input!B$15:B$24)</f>
        <v>0</v>
      </c>
      <c r="G437">
        <f t="shared" si="6"/>
        <v>0</v>
      </c>
    </row>
    <row r="438" spans="6:7" ht="15.75" customHeight="1">
      <c r="F438">
        <f>SUMIF([1]Input!A$15:A$24, A438, [1]Input!B$15:B$24)</f>
        <v>0</v>
      </c>
      <c r="G438">
        <f t="shared" si="6"/>
        <v>0</v>
      </c>
    </row>
    <row r="439" spans="6:7" ht="15.75" customHeight="1">
      <c r="F439">
        <f>SUMIF([1]Input!A$15:A$24, A439, [1]Input!B$15:B$24)</f>
        <v>0</v>
      </c>
      <c r="G439">
        <f t="shared" si="6"/>
        <v>0</v>
      </c>
    </row>
    <row r="440" spans="6:7" ht="15.75" customHeight="1">
      <c r="F440">
        <f>SUMIF([1]Input!A$15:A$24, A440, [1]Input!B$15:B$24)</f>
        <v>0</v>
      </c>
      <c r="G440">
        <f t="shared" si="6"/>
        <v>0</v>
      </c>
    </row>
    <row r="441" spans="6:7" ht="15.75" customHeight="1">
      <c r="F441">
        <f>SUMIF([1]Input!A$15:A$24, A441, [1]Input!B$15:B$24)</f>
        <v>0</v>
      </c>
      <c r="G441">
        <f t="shared" si="6"/>
        <v>0</v>
      </c>
    </row>
    <row r="442" spans="6:7" ht="15.75" customHeight="1">
      <c r="F442">
        <f>SUMIF([1]Input!A$15:A$24, A442, [1]Input!B$15:B$24)</f>
        <v>0</v>
      </c>
      <c r="G442">
        <f t="shared" si="6"/>
        <v>0</v>
      </c>
    </row>
    <row r="443" spans="6:7" ht="15.75" customHeight="1">
      <c r="F443">
        <f>SUMIF([1]Input!A$15:A$24, A443, [1]Input!B$15:B$24)</f>
        <v>0</v>
      </c>
      <c r="G443">
        <f t="shared" si="6"/>
        <v>0</v>
      </c>
    </row>
    <row r="444" spans="6:7" ht="15.75" customHeight="1">
      <c r="F444">
        <f>SUMIF([1]Input!A$15:A$24, A444, [1]Input!B$15:B$24)</f>
        <v>0</v>
      </c>
      <c r="G444">
        <f t="shared" si="6"/>
        <v>0</v>
      </c>
    </row>
    <row r="445" spans="6:7" ht="15.75" customHeight="1">
      <c r="F445">
        <f>SUMIF([1]Input!A$15:A$24, A445, [1]Input!B$15:B$24)</f>
        <v>0</v>
      </c>
      <c r="G445">
        <f t="shared" si="6"/>
        <v>0</v>
      </c>
    </row>
    <row r="446" spans="6:7" ht="15.75" customHeight="1">
      <c r="F446">
        <f>SUMIF([1]Input!A$15:A$24, A446, [1]Input!B$15:B$24)</f>
        <v>0</v>
      </c>
      <c r="G446">
        <f t="shared" si="6"/>
        <v>0</v>
      </c>
    </row>
    <row r="447" spans="6:7" ht="15.75" customHeight="1">
      <c r="F447">
        <f>SUMIF([1]Input!A$15:A$24, A447, [1]Input!B$15:B$24)</f>
        <v>0</v>
      </c>
      <c r="G447">
        <f t="shared" si="6"/>
        <v>0</v>
      </c>
    </row>
    <row r="448" spans="6:7" ht="15.75" customHeight="1">
      <c r="F448">
        <f>SUMIF([1]Input!A$15:A$24, A448, [1]Input!B$15:B$24)</f>
        <v>0</v>
      </c>
      <c r="G448">
        <f t="shared" si="6"/>
        <v>0</v>
      </c>
    </row>
    <row r="449" spans="6:7" ht="15.75" customHeight="1">
      <c r="F449">
        <f>SUMIF([1]Input!A$15:A$24, A449, [1]Input!B$15:B$24)</f>
        <v>0</v>
      </c>
      <c r="G449">
        <f t="shared" si="6"/>
        <v>0</v>
      </c>
    </row>
    <row r="450" spans="6:7" ht="15.75" customHeight="1">
      <c r="F450">
        <f>SUMIF([1]Input!A$15:A$24, A450, [1]Input!B$15:B$24)</f>
        <v>0</v>
      </c>
      <c r="G450">
        <f t="shared" si="6"/>
        <v>0</v>
      </c>
    </row>
    <row r="451" spans="6:7" ht="15.75" customHeight="1">
      <c r="F451">
        <f>SUMIF([1]Input!A$15:A$24, A451, [1]Input!B$15:B$24)</f>
        <v>0</v>
      </c>
      <c r="G451">
        <f t="shared" ref="G451:G514" si="7">B451 - F451</f>
        <v>0</v>
      </c>
    </row>
    <row r="452" spans="6:7" ht="15.75" customHeight="1">
      <c r="F452">
        <f>SUMIF([1]Input!A$15:A$24, A452, [1]Input!B$15:B$24)</f>
        <v>0</v>
      </c>
      <c r="G452">
        <f t="shared" si="7"/>
        <v>0</v>
      </c>
    </row>
    <row r="453" spans="6:7" ht="15.75" customHeight="1">
      <c r="F453">
        <f>SUMIF([1]Input!A$15:A$24, A453, [1]Input!B$15:B$24)</f>
        <v>0</v>
      </c>
      <c r="G453">
        <f t="shared" si="7"/>
        <v>0</v>
      </c>
    </row>
    <row r="454" spans="6:7" ht="15.75" customHeight="1">
      <c r="F454">
        <f>SUMIF([1]Input!A$15:A$24, A454, [1]Input!B$15:B$24)</f>
        <v>0</v>
      </c>
      <c r="G454">
        <f t="shared" si="7"/>
        <v>0</v>
      </c>
    </row>
    <row r="455" spans="6:7" ht="15.75" customHeight="1">
      <c r="F455">
        <f>SUMIF([1]Input!A$15:A$24, A455, [1]Input!B$15:B$24)</f>
        <v>0</v>
      </c>
      <c r="G455">
        <f t="shared" si="7"/>
        <v>0</v>
      </c>
    </row>
    <row r="456" spans="6:7" ht="15.75" customHeight="1">
      <c r="F456">
        <f>SUMIF([1]Input!A$15:A$24, A456, [1]Input!B$15:B$24)</f>
        <v>0</v>
      </c>
      <c r="G456">
        <f t="shared" si="7"/>
        <v>0</v>
      </c>
    </row>
    <row r="457" spans="6:7" ht="15.75" customHeight="1">
      <c r="F457">
        <f>SUMIF([1]Input!A$15:A$24, A457, [1]Input!B$15:B$24)</f>
        <v>0</v>
      </c>
      <c r="G457">
        <f t="shared" si="7"/>
        <v>0</v>
      </c>
    </row>
    <row r="458" spans="6:7" ht="15.75" customHeight="1">
      <c r="F458">
        <f>SUMIF([1]Input!A$15:A$24, A458, [1]Input!B$15:B$24)</f>
        <v>0</v>
      </c>
      <c r="G458">
        <f t="shared" si="7"/>
        <v>0</v>
      </c>
    </row>
    <row r="459" spans="6:7" ht="15.75" customHeight="1">
      <c r="F459">
        <f>SUMIF([1]Input!A$15:A$24, A459, [1]Input!B$15:B$24)</f>
        <v>0</v>
      </c>
      <c r="G459">
        <f t="shared" si="7"/>
        <v>0</v>
      </c>
    </row>
    <row r="460" spans="6:7" ht="15.75" customHeight="1">
      <c r="F460">
        <f>SUMIF([1]Input!A$15:A$24, A460, [1]Input!B$15:B$24)</f>
        <v>0</v>
      </c>
      <c r="G460">
        <f t="shared" si="7"/>
        <v>0</v>
      </c>
    </row>
    <row r="461" spans="6:7" ht="15.75" customHeight="1">
      <c r="F461">
        <f>SUMIF([1]Input!A$15:A$24, A461, [1]Input!B$15:B$24)</f>
        <v>0</v>
      </c>
      <c r="G461">
        <f t="shared" si="7"/>
        <v>0</v>
      </c>
    </row>
    <row r="462" spans="6:7" ht="15.75" customHeight="1">
      <c r="F462">
        <f>SUMIF([1]Input!A$15:A$24, A462, [1]Input!B$15:B$24)</f>
        <v>0</v>
      </c>
      <c r="G462">
        <f t="shared" si="7"/>
        <v>0</v>
      </c>
    </row>
    <row r="463" spans="6:7" ht="15.75" customHeight="1">
      <c r="F463">
        <f>SUMIF([1]Input!A$15:A$24, A463, [1]Input!B$15:B$24)</f>
        <v>0</v>
      </c>
      <c r="G463">
        <f t="shared" si="7"/>
        <v>0</v>
      </c>
    </row>
    <row r="464" spans="6:7" ht="15.75" customHeight="1">
      <c r="F464">
        <f>SUMIF([1]Input!A$15:A$24, A464, [1]Input!B$15:B$24)</f>
        <v>0</v>
      </c>
      <c r="G464">
        <f t="shared" si="7"/>
        <v>0</v>
      </c>
    </row>
    <row r="465" spans="6:7" ht="15.75" customHeight="1">
      <c r="F465">
        <f>SUMIF([1]Input!A$15:A$24, A465, [1]Input!B$15:B$24)</f>
        <v>0</v>
      </c>
      <c r="G465">
        <f t="shared" si="7"/>
        <v>0</v>
      </c>
    </row>
    <row r="466" spans="6:7" ht="15.75" customHeight="1">
      <c r="F466">
        <f>SUMIF([1]Input!A$15:A$24, A466, [1]Input!B$15:B$24)</f>
        <v>0</v>
      </c>
      <c r="G466">
        <f t="shared" si="7"/>
        <v>0</v>
      </c>
    </row>
    <row r="467" spans="6:7" ht="15.75" customHeight="1">
      <c r="F467">
        <f>SUMIF([1]Input!A$15:A$24, A467, [1]Input!B$15:B$24)</f>
        <v>0</v>
      </c>
      <c r="G467">
        <f t="shared" si="7"/>
        <v>0</v>
      </c>
    </row>
    <row r="468" spans="6:7" ht="15.75" customHeight="1">
      <c r="F468">
        <f>SUMIF([1]Input!A$15:A$24, A468, [1]Input!B$15:B$24)</f>
        <v>0</v>
      </c>
      <c r="G468">
        <f t="shared" si="7"/>
        <v>0</v>
      </c>
    </row>
    <row r="469" spans="6:7" ht="15.75" customHeight="1">
      <c r="F469">
        <f>SUMIF([1]Input!A$15:A$24, A469, [1]Input!B$15:B$24)</f>
        <v>0</v>
      </c>
      <c r="G469">
        <f t="shared" si="7"/>
        <v>0</v>
      </c>
    </row>
    <row r="470" spans="6:7" ht="15.75" customHeight="1">
      <c r="F470">
        <f>SUMIF([1]Input!A$15:A$24, A470, [1]Input!B$15:B$24)</f>
        <v>0</v>
      </c>
      <c r="G470">
        <f t="shared" si="7"/>
        <v>0</v>
      </c>
    </row>
    <row r="471" spans="6:7" ht="15.75" customHeight="1">
      <c r="F471">
        <f>SUMIF([1]Input!A$15:A$24, A471, [1]Input!B$15:B$24)</f>
        <v>0</v>
      </c>
      <c r="G471">
        <f t="shared" si="7"/>
        <v>0</v>
      </c>
    </row>
    <row r="472" spans="6:7" ht="15.75" customHeight="1">
      <c r="F472">
        <f>SUMIF([1]Input!A$15:A$24, A472, [1]Input!B$15:B$24)</f>
        <v>0</v>
      </c>
      <c r="G472">
        <f t="shared" si="7"/>
        <v>0</v>
      </c>
    </row>
    <row r="473" spans="6:7" ht="15.75" customHeight="1">
      <c r="F473">
        <f>SUMIF([1]Input!A$15:A$24, A473, [1]Input!B$15:B$24)</f>
        <v>0</v>
      </c>
      <c r="G473">
        <f t="shared" si="7"/>
        <v>0</v>
      </c>
    </row>
    <row r="474" spans="6:7" ht="15.75" customHeight="1">
      <c r="F474">
        <f>SUMIF([1]Input!A$15:A$24, A474, [1]Input!B$15:B$24)</f>
        <v>0</v>
      </c>
      <c r="G474">
        <f t="shared" si="7"/>
        <v>0</v>
      </c>
    </row>
    <row r="475" spans="6:7" ht="15.75" customHeight="1">
      <c r="F475">
        <f>SUMIF([1]Input!A$15:A$24, A475, [1]Input!B$15:B$24)</f>
        <v>0</v>
      </c>
      <c r="G475">
        <f t="shared" si="7"/>
        <v>0</v>
      </c>
    </row>
    <row r="476" spans="6:7" ht="15.75" customHeight="1">
      <c r="F476">
        <f>SUMIF([1]Input!A$15:A$24, A476, [1]Input!B$15:B$24)</f>
        <v>0</v>
      </c>
      <c r="G476">
        <f t="shared" si="7"/>
        <v>0</v>
      </c>
    </row>
    <row r="477" spans="6:7" ht="15.75" customHeight="1">
      <c r="F477">
        <f>SUMIF([1]Input!A$15:A$24, A477, [1]Input!B$15:B$24)</f>
        <v>0</v>
      </c>
      <c r="G477">
        <f t="shared" si="7"/>
        <v>0</v>
      </c>
    </row>
    <row r="478" spans="6:7" ht="15.75" customHeight="1">
      <c r="F478">
        <f>SUMIF([1]Input!A$15:A$24, A478, [1]Input!B$15:B$24)</f>
        <v>0</v>
      </c>
      <c r="G478">
        <f t="shared" si="7"/>
        <v>0</v>
      </c>
    </row>
    <row r="479" spans="6:7" ht="15.75" customHeight="1">
      <c r="F479">
        <f>SUMIF([1]Input!A$15:A$24, A479, [1]Input!B$15:B$24)</f>
        <v>0</v>
      </c>
      <c r="G479">
        <f t="shared" si="7"/>
        <v>0</v>
      </c>
    </row>
    <row r="480" spans="6:7" ht="15.75" customHeight="1">
      <c r="F480">
        <f>SUMIF([1]Input!A$15:A$24, A480, [1]Input!B$15:B$24)</f>
        <v>0</v>
      </c>
      <c r="G480">
        <f t="shared" si="7"/>
        <v>0</v>
      </c>
    </row>
    <row r="481" spans="6:7" ht="15.75" customHeight="1">
      <c r="F481">
        <f>SUMIF([1]Input!A$15:A$24, A481, [1]Input!B$15:B$24)</f>
        <v>0</v>
      </c>
      <c r="G481">
        <f t="shared" si="7"/>
        <v>0</v>
      </c>
    </row>
    <row r="482" spans="6:7" ht="15.75" customHeight="1">
      <c r="F482">
        <f>SUMIF([1]Input!A$15:A$24, A482, [1]Input!B$15:B$24)</f>
        <v>0</v>
      </c>
      <c r="G482">
        <f t="shared" si="7"/>
        <v>0</v>
      </c>
    </row>
    <row r="483" spans="6:7" ht="15.75" customHeight="1">
      <c r="F483">
        <f>SUMIF([1]Input!A$15:A$24, A483, [1]Input!B$15:B$24)</f>
        <v>0</v>
      </c>
      <c r="G483">
        <f t="shared" si="7"/>
        <v>0</v>
      </c>
    </row>
    <row r="484" spans="6:7" ht="15.75" customHeight="1">
      <c r="F484">
        <f>SUMIF([1]Input!A$15:A$24, A484, [1]Input!B$15:B$24)</f>
        <v>0</v>
      </c>
      <c r="G484">
        <f t="shared" si="7"/>
        <v>0</v>
      </c>
    </row>
    <row r="485" spans="6:7" ht="15.75" customHeight="1">
      <c r="F485">
        <f>SUMIF([1]Input!A$15:A$24, A485, [1]Input!B$15:B$24)</f>
        <v>0</v>
      </c>
      <c r="G485">
        <f t="shared" si="7"/>
        <v>0</v>
      </c>
    </row>
    <row r="486" spans="6:7" ht="15.75" customHeight="1">
      <c r="F486">
        <f>SUMIF([1]Input!A$15:A$24, A486, [1]Input!B$15:B$24)</f>
        <v>0</v>
      </c>
      <c r="G486">
        <f t="shared" si="7"/>
        <v>0</v>
      </c>
    </row>
    <row r="487" spans="6:7" ht="15.75" customHeight="1">
      <c r="F487">
        <f>SUMIF([1]Input!A$15:A$24, A487, [1]Input!B$15:B$24)</f>
        <v>0</v>
      </c>
      <c r="G487">
        <f t="shared" si="7"/>
        <v>0</v>
      </c>
    </row>
    <row r="488" spans="6:7" ht="15.75" customHeight="1">
      <c r="F488">
        <f>SUMIF([1]Input!A$15:A$24, A488, [1]Input!B$15:B$24)</f>
        <v>0</v>
      </c>
      <c r="G488">
        <f t="shared" si="7"/>
        <v>0</v>
      </c>
    </row>
    <row r="489" spans="6:7" ht="15.75" customHeight="1">
      <c r="F489">
        <f>SUMIF([1]Input!A$15:A$24, A489, [1]Input!B$15:B$24)</f>
        <v>0</v>
      </c>
      <c r="G489">
        <f t="shared" si="7"/>
        <v>0</v>
      </c>
    </row>
    <row r="490" spans="6:7" ht="15.75" customHeight="1">
      <c r="F490">
        <f>SUMIF([1]Input!A$15:A$24, A490, [1]Input!B$15:B$24)</f>
        <v>0</v>
      </c>
      <c r="G490">
        <f t="shared" si="7"/>
        <v>0</v>
      </c>
    </row>
    <row r="491" spans="6:7" ht="15.75" customHeight="1">
      <c r="F491">
        <f>SUMIF([1]Input!A$15:A$24, A491, [1]Input!B$15:B$24)</f>
        <v>0</v>
      </c>
      <c r="G491">
        <f t="shared" si="7"/>
        <v>0</v>
      </c>
    </row>
    <row r="492" spans="6:7" ht="15.75" customHeight="1">
      <c r="F492">
        <f>SUMIF([1]Input!A$15:A$24, A492, [1]Input!B$15:B$24)</f>
        <v>0</v>
      </c>
      <c r="G492">
        <f t="shared" si="7"/>
        <v>0</v>
      </c>
    </row>
    <row r="493" spans="6:7" ht="15.75" customHeight="1">
      <c r="F493">
        <f>SUMIF([1]Input!A$15:A$24, A493, [1]Input!B$15:B$24)</f>
        <v>0</v>
      </c>
      <c r="G493">
        <f t="shared" si="7"/>
        <v>0</v>
      </c>
    </row>
    <row r="494" spans="6:7" ht="15.75" customHeight="1">
      <c r="F494">
        <f>SUMIF([1]Input!A$15:A$24, A494, [1]Input!B$15:B$24)</f>
        <v>0</v>
      </c>
      <c r="G494">
        <f t="shared" si="7"/>
        <v>0</v>
      </c>
    </row>
    <row r="495" spans="6:7" ht="15.75" customHeight="1">
      <c r="F495">
        <f>SUMIF([1]Input!A$15:A$24, A495, [1]Input!B$15:B$24)</f>
        <v>0</v>
      </c>
      <c r="G495">
        <f t="shared" si="7"/>
        <v>0</v>
      </c>
    </row>
    <row r="496" spans="6:7" ht="15.75" customHeight="1">
      <c r="F496">
        <f>SUMIF([1]Input!A$15:A$24, A496, [1]Input!B$15:B$24)</f>
        <v>0</v>
      </c>
      <c r="G496">
        <f t="shared" si="7"/>
        <v>0</v>
      </c>
    </row>
    <row r="497" spans="6:7" ht="15.75" customHeight="1">
      <c r="F497">
        <f>SUMIF([1]Input!A$15:A$24, A497, [1]Input!B$15:B$24)</f>
        <v>0</v>
      </c>
      <c r="G497">
        <f t="shared" si="7"/>
        <v>0</v>
      </c>
    </row>
    <row r="498" spans="6:7" ht="15.75" customHeight="1">
      <c r="F498">
        <f>SUMIF([1]Input!A$15:A$24, A498, [1]Input!B$15:B$24)</f>
        <v>0</v>
      </c>
      <c r="G498">
        <f t="shared" si="7"/>
        <v>0</v>
      </c>
    </row>
    <row r="499" spans="6:7" ht="15.75" customHeight="1">
      <c r="F499">
        <f>SUMIF([1]Input!A$15:A$24, A499, [1]Input!B$15:B$24)</f>
        <v>0</v>
      </c>
      <c r="G499">
        <f t="shared" si="7"/>
        <v>0</v>
      </c>
    </row>
    <row r="500" spans="6:7" ht="15.75" customHeight="1">
      <c r="F500">
        <f>SUMIF([1]Input!A$15:A$24, A500, [1]Input!B$15:B$24)</f>
        <v>0</v>
      </c>
      <c r="G500">
        <f t="shared" si="7"/>
        <v>0</v>
      </c>
    </row>
    <row r="501" spans="6:7" ht="15.75" customHeight="1">
      <c r="F501">
        <f>SUMIF([1]Input!A$15:A$24, A501, [1]Input!B$15:B$24)</f>
        <v>0</v>
      </c>
      <c r="G501">
        <f t="shared" si="7"/>
        <v>0</v>
      </c>
    </row>
    <row r="502" spans="6:7" ht="15.75" customHeight="1">
      <c r="F502">
        <f>SUMIF([1]Input!A$15:A$24, A502, [1]Input!B$15:B$24)</f>
        <v>0</v>
      </c>
      <c r="G502">
        <f t="shared" si="7"/>
        <v>0</v>
      </c>
    </row>
    <row r="503" spans="6:7" ht="15.75" customHeight="1">
      <c r="F503">
        <f>SUMIF([1]Input!A$15:A$24, A503, [1]Input!B$15:B$24)</f>
        <v>0</v>
      </c>
      <c r="G503">
        <f t="shared" si="7"/>
        <v>0</v>
      </c>
    </row>
    <row r="504" spans="6:7" ht="15.75" customHeight="1">
      <c r="F504">
        <f>SUMIF([1]Input!A$15:A$24, A504, [1]Input!B$15:B$24)</f>
        <v>0</v>
      </c>
      <c r="G504">
        <f t="shared" si="7"/>
        <v>0</v>
      </c>
    </row>
    <row r="505" spans="6:7" ht="15.75" customHeight="1">
      <c r="F505">
        <f>SUMIF([1]Input!A$15:A$24, A505, [1]Input!B$15:B$24)</f>
        <v>0</v>
      </c>
      <c r="G505">
        <f t="shared" si="7"/>
        <v>0</v>
      </c>
    </row>
    <row r="506" spans="6:7" ht="15.75" customHeight="1">
      <c r="F506">
        <f>SUMIF([1]Input!A$15:A$24, A506, [1]Input!B$15:B$24)</f>
        <v>0</v>
      </c>
      <c r="G506">
        <f t="shared" si="7"/>
        <v>0</v>
      </c>
    </row>
    <row r="507" spans="6:7" ht="15.75" customHeight="1">
      <c r="F507">
        <f>SUMIF([1]Input!A$15:A$24, A507, [1]Input!B$15:B$24)</f>
        <v>0</v>
      </c>
      <c r="G507">
        <f t="shared" si="7"/>
        <v>0</v>
      </c>
    </row>
    <row r="508" spans="6:7" ht="15.75" customHeight="1">
      <c r="F508">
        <f>SUMIF([1]Input!A$15:A$24, A508, [1]Input!B$15:B$24)</f>
        <v>0</v>
      </c>
      <c r="G508">
        <f t="shared" si="7"/>
        <v>0</v>
      </c>
    </row>
    <row r="509" spans="6:7" ht="15.75" customHeight="1">
      <c r="F509">
        <f>SUMIF([1]Input!A$15:A$24, A509, [1]Input!B$15:B$24)</f>
        <v>0</v>
      </c>
      <c r="G509">
        <f t="shared" si="7"/>
        <v>0</v>
      </c>
    </row>
    <row r="510" spans="6:7" ht="15.75" customHeight="1">
      <c r="F510">
        <f>SUMIF([1]Input!A$15:A$24, A510, [1]Input!B$15:B$24)</f>
        <v>0</v>
      </c>
      <c r="G510">
        <f t="shared" si="7"/>
        <v>0</v>
      </c>
    </row>
    <row r="511" spans="6:7" ht="15.75" customHeight="1">
      <c r="F511">
        <f>SUMIF([1]Input!A$15:A$24, A511, [1]Input!B$15:B$24)</f>
        <v>0</v>
      </c>
      <c r="G511">
        <f t="shared" si="7"/>
        <v>0</v>
      </c>
    </row>
    <row r="512" spans="6:7" ht="15.75" customHeight="1">
      <c r="F512">
        <f>SUMIF([1]Input!A$15:A$24, A512, [1]Input!B$15:B$24)</f>
        <v>0</v>
      </c>
      <c r="G512">
        <f t="shared" si="7"/>
        <v>0</v>
      </c>
    </row>
    <row r="513" spans="6:7" ht="15.75" customHeight="1">
      <c r="F513">
        <f>SUMIF([1]Input!A$15:A$24, A513, [1]Input!B$15:B$24)</f>
        <v>0</v>
      </c>
      <c r="G513">
        <f t="shared" si="7"/>
        <v>0</v>
      </c>
    </row>
    <row r="514" spans="6:7" ht="15.75" customHeight="1">
      <c r="F514">
        <f>SUMIF([1]Input!A$15:A$24, A514, [1]Input!B$15:B$24)</f>
        <v>0</v>
      </c>
      <c r="G514">
        <f t="shared" si="7"/>
        <v>0</v>
      </c>
    </row>
    <row r="515" spans="6:7" ht="15.75" customHeight="1">
      <c r="F515">
        <f>SUMIF([1]Input!A$15:A$24, A515, [1]Input!B$15:B$24)</f>
        <v>0</v>
      </c>
      <c r="G515">
        <f t="shared" ref="G515:G578" si="8">B515 - F515</f>
        <v>0</v>
      </c>
    </row>
    <row r="516" spans="6:7" ht="15.75" customHeight="1">
      <c r="F516">
        <f>SUMIF([1]Input!A$15:A$24, A516, [1]Input!B$15:B$24)</f>
        <v>0</v>
      </c>
      <c r="G516">
        <f t="shared" si="8"/>
        <v>0</v>
      </c>
    </row>
    <row r="517" spans="6:7" ht="15.75" customHeight="1">
      <c r="F517">
        <f>SUMIF([1]Input!A$15:A$24, A517, [1]Input!B$15:B$24)</f>
        <v>0</v>
      </c>
      <c r="G517">
        <f t="shared" si="8"/>
        <v>0</v>
      </c>
    </row>
    <row r="518" spans="6:7" ht="15.75" customHeight="1">
      <c r="F518">
        <f>SUMIF([1]Input!A$15:A$24, A518, [1]Input!B$15:B$24)</f>
        <v>0</v>
      </c>
      <c r="G518">
        <f t="shared" si="8"/>
        <v>0</v>
      </c>
    </row>
    <row r="519" spans="6:7" ht="15.75" customHeight="1">
      <c r="F519">
        <f>SUMIF([1]Input!A$15:A$24, A519, [1]Input!B$15:B$24)</f>
        <v>0</v>
      </c>
      <c r="G519">
        <f t="shared" si="8"/>
        <v>0</v>
      </c>
    </row>
    <row r="520" spans="6:7" ht="15.75" customHeight="1">
      <c r="F520">
        <f>SUMIF([1]Input!A$15:A$24, A520, [1]Input!B$15:B$24)</f>
        <v>0</v>
      </c>
      <c r="G520">
        <f t="shared" si="8"/>
        <v>0</v>
      </c>
    </row>
    <row r="521" spans="6:7" ht="15.75" customHeight="1">
      <c r="F521">
        <f>SUMIF([1]Input!A$15:A$24, A521, [1]Input!B$15:B$24)</f>
        <v>0</v>
      </c>
      <c r="G521">
        <f t="shared" si="8"/>
        <v>0</v>
      </c>
    </row>
    <row r="522" spans="6:7" ht="15.75" customHeight="1">
      <c r="F522">
        <f>SUMIF([1]Input!A$15:A$24, A522, [1]Input!B$15:B$24)</f>
        <v>0</v>
      </c>
      <c r="G522">
        <f t="shared" si="8"/>
        <v>0</v>
      </c>
    </row>
    <row r="523" spans="6:7" ht="15.75" customHeight="1">
      <c r="F523">
        <f>SUMIF([1]Input!A$15:A$24, A523, [1]Input!B$15:B$24)</f>
        <v>0</v>
      </c>
      <c r="G523">
        <f t="shared" si="8"/>
        <v>0</v>
      </c>
    </row>
    <row r="524" spans="6:7" ht="15.75" customHeight="1">
      <c r="F524">
        <f>SUMIF([1]Input!A$15:A$24, A524, [1]Input!B$15:B$24)</f>
        <v>0</v>
      </c>
      <c r="G524">
        <f t="shared" si="8"/>
        <v>0</v>
      </c>
    </row>
    <row r="525" spans="6:7" ht="15.75" customHeight="1">
      <c r="F525">
        <f>SUMIF([1]Input!A$15:A$24, A525, [1]Input!B$15:B$24)</f>
        <v>0</v>
      </c>
      <c r="G525">
        <f t="shared" si="8"/>
        <v>0</v>
      </c>
    </row>
    <row r="526" spans="6:7" ht="15.75" customHeight="1">
      <c r="F526">
        <f>SUMIF([1]Input!A$15:A$24, A526, [1]Input!B$15:B$24)</f>
        <v>0</v>
      </c>
      <c r="G526">
        <f t="shared" si="8"/>
        <v>0</v>
      </c>
    </row>
    <row r="527" spans="6:7" ht="15.75" customHeight="1">
      <c r="F527">
        <f>SUMIF([1]Input!A$15:A$24, A527, [1]Input!B$15:B$24)</f>
        <v>0</v>
      </c>
      <c r="G527">
        <f t="shared" si="8"/>
        <v>0</v>
      </c>
    </row>
    <row r="528" spans="6:7" ht="15.75" customHeight="1">
      <c r="F528">
        <f>SUMIF([1]Input!A$15:A$24, A528, [1]Input!B$15:B$24)</f>
        <v>0</v>
      </c>
      <c r="G528">
        <f t="shared" si="8"/>
        <v>0</v>
      </c>
    </row>
    <row r="529" spans="6:7" ht="15.75" customHeight="1">
      <c r="F529">
        <f>SUMIF([1]Input!A$15:A$24, A529, [1]Input!B$15:B$24)</f>
        <v>0</v>
      </c>
      <c r="G529">
        <f t="shared" si="8"/>
        <v>0</v>
      </c>
    </row>
    <row r="530" spans="6:7" ht="15.75" customHeight="1">
      <c r="F530">
        <f>SUMIF([1]Input!A$15:A$24, A530, [1]Input!B$15:B$24)</f>
        <v>0</v>
      </c>
      <c r="G530">
        <f t="shared" si="8"/>
        <v>0</v>
      </c>
    </row>
    <row r="531" spans="6:7" ht="15.75" customHeight="1">
      <c r="F531">
        <f>SUMIF([1]Input!A$15:A$24, A531, [1]Input!B$15:B$24)</f>
        <v>0</v>
      </c>
      <c r="G531">
        <f t="shared" si="8"/>
        <v>0</v>
      </c>
    </row>
    <row r="532" spans="6:7" ht="15.75" customHeight="1">
      <c r="F532">
        <f>SUMIF([1]Input!A$15:A$24, A532, [1]Input!B$15:B$24)</f>
        <v>0</v>
      </c>
      <c r="G532">
        <f t="shared" si="8"/>
        <v>0</v>
      </c>
    </row>
    <row r="533" spans="6:7" ht="15.75" customHeight="1">
      <c r="F533">
        <f>SUMIF([1]Input!A$15:A$24, A533, [1]Input!B$15:B$24)</f>
        <v>0</v>
      </c>
      <c r="G533">
        <f t="shared" si="8"/>
        <v>0</v>
      </c>
    </row>
    <row r="534" spans="6:7" ht="15.75" customHeight="1">
      <c r="F534">
        <f>SUMIF([1]Input!A$15:A$24, A534, [1]Input!B$15:B$24)</f>
        <v>0</v>
      </c>
      <c r="G534">
        <f t="shared" si="8"/>
        <v>0</v>
      </c>
    </row>
    <row r="535" spans="6:7" ht="15.75" customHeight="1">
      <c r="F535">
        <f>SUMIF([1]Input!A$15:A$24, A535, [1]Input!B$15:B$24)</f>
        <v>0</v>
      </c>
      <c r="G535">
        <f t="shared" si="8"/>
        <v>0</v>
      </c>
    </row>
    <row r="536" spans="6:7" ht="15.75" customHeight="1">
      <c r="F536">
        <f>SUMIF([1]Input!A$15:A$24, A536, [1]Input!B$15:B$24)</f>
        <v>0</v>
      </c>
      <c r="G536">
        <f t="shared" si="8"/>
        <v>0</v>
      </c>
    </row>
    <row r="537" spans="6:7" ht="15.75" customHeight="1">
      <c r="F537">
        <f>SUMIF([1]Input!A$15:A$24, A537, [1]Input!B$15:B$24)</f>
        <v>0</v>
      </c>
      <c r="G537">
        <f t="shared" si="8"/>
        <v>0</v>
      </c>
    </row>
    <row r="538" spans="6:7" ht="15.75" customHeight="1">
      <c r="F538">
        <f>SUMIF([1]Input!A$15:A$24, A538, [1]Input!B$15:B$24)</f>
        <v>0</v>
      </c>
      <c r="G538">
        <f t="shared" si="8"/>
        <v>0</v>
      </c>
    </row>
    <row r="539" spans="6:7" ht="15.75" customHeight="1">
      <c r="F539">
        <f>SUMIF([1]Input!A$15:A$24, A539, [1]Input!B$15:B$24)</f>
        <v>0</v>
      </c>
      <c r="G539">
        <f t="shared" si="8"/>
        <v>0</v>
      </c>
    </row>
    <row r="540" spans="6:7" ht="15.75" customHeight="1">
      <c r="F540">
        <f>SUMIF([1]Input!A$15:A$24, A540, [1]Input!B$15:B$24)</f>
        <v>0</v>
      </c>
      <c r="G540">
        <f t="shared" si="8"/>
        <v>0</v>
      </c>
    </row>
    <row r="541" spans="6:7" ht="15.75" customHeight="1">
      <c r="F541">
        <f>SUMIF([1]Input!A$15:A$24, A541, [1]Input!B$15:B$24)</f>
        <v>0</v>
      </c>
      <c r="G541">
        <f t="shared" si="8"/>
        <v>0</v>
      </c>
    </row>
    <row r="542" spans="6:7" ht="15.75" customHeight="1">
      <c r="F542">
        <f>SUMIF([1]Input!A$15:A$24, A542, [1]Input!B$15:B$24)</f>
        <v>0</v>
      </c>
      <c r="G542">
        <f t="shared" si="8"/>
        <v>0</v>
      </c>
    </row>
    <row r="543" spans="6:7" ht="15.75" customHeight="1">
      <c r="F543">
        <f>SUMIF([1]Input!A$15:A$24, A543, [1]Input!B$15:B$24)</f>
        <v>0</v>
      </c>
      <c r="G543">
        <f t="shared" si="8"/>
        <v>0</v>
      </c>
    </row>
    <row r="544" spans="6:7" ht="15.75" customHeight="1">
      <c r="F544">
        <f>SUMIF([1]Input!A$15:A$24, A544, [1]Input!B$15:B$24)</f>
        <v>0</v>
      </c>
      <c r="G544">
        <f t="shared" si="8"/>
        <v>0</v>
      </c>
    </row>
    <row r="545" spans="6:7" ht="15.75" customHeight="1">
      <c r="F545">
        <f>SUMIF([1]Input!A$15:A$24, A545, [1]Input!B$15:B$24)</f>
        <v>0</v>
      </c>
      <c r="G545">
        <f t="shared" si="8"/>
        <v>0</v>
      </c>
    </row>
    <row r="546" spans="6:7" ht="15.75" customHeight="1">
      <c r="F546">
        <f>SUMIF([1]Input!A$15:A$24, A546, [1]Input!B$15:B$24)</f>
        <v>0</v>
      </c>
      <c r="G546">
        <f t="shared" si="8"/>
        <v>0</v>
      </c>
    </row>
    <row r="547" spans="6:7" ht="15.75" customHeight="1">
      <c r="F547">
        <f>SUMIF([1]Input!A$15:A$24, A547, [1]Input!B$15:B$24)</f>
        <v>0</v>
      </c>
      <c r="G547">
        <f t="shared" si="8"/>
        <v>0</v>
      </c>
    </row>
    <row r="548" spans="6:7" ht="15.75" customHeight="1">
      <c r="F548">
        <f>SUMIF([1]Input!A$15:A$24, A548, [1]Input!B$15:B$24)</f>
        <v>0</v>
      </c>
      <c r="G548">
        <f t="shared" si="8"/>
        <v>0</v>
      </c>
    </row>
    <row r="549" spans="6:7" ht="15.75" customHeight="1">
      <c r="F549">
        <f>SUMIF([1]Input!A$15:A$24, A549, [1]Input!B$15:B$24)</f>
        <v>0</v>
      </c>
      <c r="G549">
        <f t="shared" si="8"/>
        <v>0</v>
      </c>
    </row>
    <row r="550" spans="6:7" ht="15.75" customHeight="1">
      <c r="F550">
        <f>SUMIF([1]Input!A$15:A$24, A550, [1]Input!B$15:B$24)</f>
        <v>0</v>
      </c>
      <c r="G550">
        <f t="shared" si="8"/>
        <v>0</v>
      </c>
    </row>
    <row r="551" spans="6:7" ht="15.75" customHeight="1">
      <c r="F551">
        <f>SUMIF([1]Input!A$15:A$24, A551, [1]Input!B$15:B$24)</f>
        <v>0</v>
      </c>
      <c r="G551">
        <f t="shared" si="8"/>
        <v>0</v>
      </c>
    </row>
    <row r="552" spans="6:7" ht="15.75" customHeight="1">
      <c r="F552">
        <f>SUMIF([1]Input!A$15:A$24, A552, [1]Input!B$15:B$24)</f>
        <v>0</v>
      </c>
      <c r="G552">
        <f t="shared" si="8"/>
        <v>0</v>
      </c>
    </row>
    <row r="553" spans="6:7" ht="15.75" customHeight="1">
      <c r="F553">
        <f>SUMIF([1]Input!A$15:A$24, A553, [1]Input!B$15:B$24)</f>
        <v>0</v>
      </c>
      <c r="G553">
        <f t="shared" si="8"/>
        <v>0</v>
      </c>
    </row>
    <row r="554" spans="6:7" ht="15.75" customHeight="1">
      <c r="F554">
        <f>SUMIF([1]Input!A$15:A$24, A554, [1]Input!B$15:B$24)</f>
        <v>0</v>
      </c>
      <c r="G554">
        <f t="shared" si="8"/>
        <v>0</v>
      </c>
    </row>
    <row r="555" spans="6:7" ht="15.75" customHeight="1">
      <c r="F555">
        <f>SUMIF([1]Input!A$15:A$24, A555, [1]Input!B$15:B$24)</f>
        <v>0</v>
      </c>
      <c r="G555">
        <f t="shared" si="8"/>
        <v>0</v>
      </c>
    </row>
    <row r="556" spans="6:7" ht="15.75" customHeight="1">
      <c r="F556">
        <f>SUMIF([1]Input!A$15:A$24, A556, [1]Input!B$15:B$24)</f>
        <v>0</v>
      </c>
      <c r="G556">
        <f t="shared" si="8"/>
        <v>0</v>
      </c>
    </row>
    <row r="557" spans="6:7" ht="15.75" customHeight="1">
      <c r="F557">
        <f>SUMIF([1]Input!A$15:A$24, A557, [1]Input!B$15:B$24)</f>
        <v>0</v>
      </c>
      <c r="G557">
        <f t="shared" si="8"/>
        <v>0</v>
      </c>
    </row>
    <row r="558" spans="6:7" ht="15.75" customHeight="1">
      <c r="F558">
        <f>SUMIF([1]Input!A$15:A$24, A558, [1]Input!B$15:B$24)</f>
        <v>0</v>
      </c>
      <c r="G558">
        <f t="shared" si="8"/>
        <v>0</v>
      </c>
    </row>
    <row r="559" spans="6:7" ht="15.75" customHeight="1">
      <c r="F559">
        <f>SUMIF([1]Input!A$15:A$24, A559, [1]Input!B$15:B$24)</f>
        <v>0</v>
      </c>
      <c r="G559">
        <f t="shared" si="8"/>
        <v>0</v>
      </c>
    </row>
    <row r="560" spans="6:7" ht="15.75" customHeight="1">
      <c r="F560">
        <f>SUMIF([1]Input!A$15:A$24, A560, [1]Input!B$15:B$24)</f>
        <v>0</v>
      </c>
      <c r="G560">
        <f t="shared" si="8"/>
        <v>0</v>
      </c>
    </row>
    <row r="561" spans="6:7" ht="15.75" customHeight="1">
      <c r="F561">
        <f>SUMIF([1]Input!A$15:A$24, A561, [1]Input!B$15:B$24)</f>
        <v>0</v>
      </c>
      <c r="G561">
        <f t="shared" si="8"/>
        <v>0</v>
      </c>
    </row>
    <row r="562" spans="6:7" ht="15.75" customHeight="1">
      <c r="F562">
        <f>SUMIF([1]Input!A$15:A$24, A562, [1]Input!B$15:B$24)</f>
        <v>0</v>
      </c>
      <c r="G562">
        <f t="shared" si="8"/>
        <v>0</v>
      </c>
    </row>
    <row r="563" spans="6:7" ht="15.75" customHeight="1">
      <c r="F563">
        <f>SUMIF([1]Input!A$15:A$24, A563, [1]Input!B$15:B$24)</f>
        <v>0</v>
      </c>
      <c r="G563">
        <f t="shared" si="8"/>
        <v>0</v>
      </c>
    </row>
    <row r="564" spans="6:7" ht="15.75" customHeight="1">
      <c r="F564">
        <f>SUMIF([1]Input!A$15:A$24, A564, [1]Input!B$15:B$24)</f>
        <v>0</v>
      </c>
      <c r="G564">
        <f t="shared" si="8"/>
        <v>0</v>
      </c>
    </row>
    <row r="565" spans="6:7" ht="15.75" customHeight="1">
      <c r="F565">
        <f>SUMIF([1]Input!A$15:A$24, A565, [1]Input!B$15:B$24)</f>
        <v>0</v>
      </c>
      <c r="G565">
        <f t="shared" si="8"/>
        <v>0</v>
      </c>
    </row>
    <row r="566" spans="6:7" ht="15.75" customHeight="1">
      <c r="F566">
        <f>SUMIF([1]Input!A$15:A$24, A566, [1]Input!B$15:B$24)</f>
        <v>0</v>
      </c>
      <c r="G566">
        <f t="shared" si="8"/>
        <v>0</v>
      </c>
    </row>
    <row r="567" spans="6:7" ht="15.75" customHeight="1">
      <c r="F567">
        <f>SUMIF([1]Input!A$15:A$24, A567, [1]Input!B$15:B$24)</f>
        <v>0</v>
      </c>
      <c r="G567">
        <f t="shared" si="8"/>
        <v>0</v>
      </c>
    </row>
    <row r="568" spans="6:7" ht="15.75" customHeight="1">
      <c r="F568">
        <f>SUMIF([1]Input!A$15:A$24, A568, [1]Input!B$15:B$24)</f>
        <v>0</v>
      </c>
      <c r="G568">
        <f t="shared" si="8"/>
        <v>0</v>
      </c>
    </row>
    <row r="569" spans="6:7" ht="15.75" customHeight="1">
      <c r="F569">
        <f>SUMIF([1]Input!A$15:A$24, A569, [1]Input!B$15:B$24)</f>
        <v>0</v>
      </c>
      <c r="G569">
        <f t="shared" si="8"/>
        <v>0</v>
      </c>
    </row>
    <row r="570" spans="6:7" ht="15.75" customHeight="1">
      <c r="F570">
        <f>SUMIF([1]Input!A$15:A$24, A570, [1]Input!B$15:B$24)</f>
        <v>0</v>
      </c>
      <c r="G570">
        <f t="shared" si="8"/>
        <v>0</v>
      </c>
    </row>
    <row r="571" spans="6:7" ht="15.75" customHeight="1">
      <c r="F571">
        <f>SUMIF([1]Input!A$15:A$24, A571, [1]Input!B$15:B$24)</f>
        <v>0</v>
      </c>
      <c r="G571">
        <f t="shared" si="8"/>
        <v>0</v>
      </c>
    </row>
    <row r="572" spans="6:7" ht="15.75" customHeight="1">
      <c r="F572">
        <f>SUMIF([1]Input!A$15:A$24, A572, [1]Input!B$15:B$24)</f>
        <v>0</v>
      </c>
      <c r="G572">
        <f t="shared" si="8"/>
        <v>0</v>
      </c>
    </row>
    <row r="573" spans="6:7" ht="15.75" customHeight="1">
      <c r="F573">
        <f>SUMIF([1]Input!A$15:A$24, A573, [1]Input!B$15:B$24)</f>
        <v>0</v>
      </c>
      <c r="G573">
        <f t="shared" si="8"/>
        <v>0</v>
      </c>
    </row>
    <row r="574" spans="6:7" ht="15.75" customHeight="1">
      <c r="F574">
        <f>SUMIF([1]Input!A$15:A$24, A574, [1]Input!B$15:B$24)</f>
        <v>0</v>
      </c>
      <c r="G574">
        <f t="shared" si="8"/>
        <v>0</v>
      </c>
    </row>
    <row r="575" spans="6:7" ht="15.75" customHeight="1">
      <c r="F575">
        <f>SUMIF([1]Input!A$15:A$24, A575, [1]Input!B$15:B$24)</f>
        <v>0</v>
      </c>
      <c r="G575">
        <f t="shared" si="8"/>
        <v>0</v>
      </c>
    </row>
    <row r="576" spans="6:7" ht="15.75" customHeight="1">
      <c r="F576">
        <f>SUMIF([1]Input!A$15:A$24, A576, [1]Input!B$15:B$24)</f>
        <v>0</v>
      </c>
      <c r="G576">
        <f t="shared" si="8"/>
        <v>0</v>
      </c>
    </row>
    <row r="577" spans="6:7" ht="15.75" customHeight="1">
      <c r="F577">
        <f>SUMIF([1]Input!A$15:A$24, A577, [1]Input!B$15:B$24)</f>
        <v>0</v>
      </c>
      <c r="G577">
        <f t="shared" si="8"/>
        <v>0</v>
      </c>
    </row>
    <row r="578" spans="6:7" ht="15.75" customHeight="1">
      <c r="F578">
        <f>SUMIF([1]Input!A$15:A$24, A578, [1]Input!B$15:B$24)</f>
        <v>0</v>
      </c>
      <c r="G578">
        <f t="shared" si="8"/>
        <v>0</v>
      </c>
    </row>
    <row r="579" spans="6:7" ht="15.75" customHeight="1">
      <c r="F579">
        <f>SUMIF([1]Input!A$15:A$24, A579, [1]Input!B$15:B$24)</f>
        <v>0</v>
      </c>
      <c r="G579">
        <f t="shared" ref="G579:G642" si="9">B579 - F579</f>
        <v>0</v>
      </c>
    </row>
    <row r="580" spans="6:7" ht="15.75" customHeight="1">
      <c r="F580">
        <f>SUMIF([1]Input!A$15:A$24, A580, [1]Input!B$15:B$24)</f>
        <v>0</v>
      </c>
      <c r="G580">
        <f t="shared" si="9"/>
        <v>0</v>
      </c>
    </row>
    <row r="581" spans="6:7" ht="15.75" customHeight="1">
      <c r="F581">
        <f>SUMIF([1]Input!A$15:A$24, A581, [1]Input!B$15:B$24)</f>
        <v>0</v>
      </c>
      <c r="G581">
        <f t="shared" si="9"/>
        <v>0</v>
      </c>
    </row>
    <row r="582" spans="6:7" ht="15.75" customHeight="1">
      <c r="F582">
        <f>SUMIF([1]Input!A$15:A$24, A582, [1]Input!B$15:B$24)</f>
        <v>0</v>
      </c>
      <c r="G582">
        <f t="shared" si="9"/>
        <v>0</v>
      </c>
    </row>
    <row r="583" spans="6:7" ht="15.75" customHeight="1">
      <c r="F583">
        <f>SUMIF([1]Input!A$15:A$24, A583, [1]Input!B$15:B$24)</f>
        <v>0</v>
      </c>
      <c r="G583">
        <f t="shared" si="9"/>
        <v>0</v>
      </c>
    </row>
    <row r="584" spans="6:7" ht="15.75" customHeight="1">
      <c r="F584">
        <f>SUMIF([1]Input!A$15:A$24, A584, [1]Input!B$15:B$24)</f>
        <v>0</v>
      </c>
      <c r="G584">
        <f t="shared" si="9"/>
        <v>0</v>
      </c>
    </row>
    <row r="585" spans="6:7" ht="15.75" customHeight="1">
      <c r="F585">
        <f>SUMIF([1]Input!A$15:A$24, A585, [1]Input!B$15:B$24)</f>
        <v>0</v>
      </c>
      <c r="G585">
        <f t="shared" si="9"/>
        <v>0</v>
      </c>
    </row>
    <row r="586" spans="6:7" ht="15.75" customHeight="1">
      <c r="F586">
        <f>SUMIF([1]Input!A$15:A$24, A586, [1]Input!B$15:B$24)</f>
        <v>0</v>
      </c>
      <c r="G586">
        <f t="shared" si="9"/>
        <v>0</v>
      </c>
    </row>
    <row r="587" spans="6:7" ht="15.75" customHeight="1">
      <c r="F587">
        <f>SUMIF([1]Input!A$15:A$24, A587, [1]Input!B$15:B$24)</f>
        <v>0</v>
      </c>
      <c r="G587">
        <f t="shared" si="9"/>
        <v>0</v>
      </c>
    </row>
    <row r="588" spans="6:7" ht="15.75" customHeight="1">
      <c r="F588">
        <f>SUMIF([1]Input!A$15:A$24, A588, [1]Input!B$15:B$24)</f>
        <v>0</v>
      </c>
      <c r="G588">
        <f t="shared" si="9"/>
        <v>0</v>
      </c>
    </row>
    <row r="589" spans="6:7" ht="15.75" customHeight="1">
      <c r="F589">
        <f>SUMIF([1]Input!A$15:A$24, A589, [1]Input!B$15:B$24)</f>
        <v>0</v>
      </c>
      <c r="G589">
        <f t="shared" si="9"/>
        <v>0</v>
      </c>
    </row>
    <row r="590" spans="6:7" ht="15.75" customHeight="1">
      <c r="F590">
        <f>SUMIF([1]Input!A$15:A$24, A590, [1]Input!B$15:B$24)</f>
        <v>0</v>
      </c>
      <c r="G590">
        <f t="shared" si="9"/>
        <v>0</v>
      </c>
    </row>
    <row r="591" spans="6:7" ht="15.75" customHeight="1">
      <c r="F591">
        <f>SUMIF([1]Input!A$15:A$24, A591, [1]Input!B$15:B$24)</f>
        <v>0</v>
      </c>
      <c r="G591">
        <f t="shared" si="9"/>
        <v>0</v>
      </c>
    </row>
    <row r="592" spans="6:7" ht="15.75" customHeight="1">
      <c r="F592">
        <f>SUMIF([1]Input!A$15:A$24, A592, [1]Input!B$15:B$24)</f>
        <v>0</v>
      </c>
      <c r="G592">
        <f t="shared" si="9"/>
        <v>0</v>
      </c>
    </row>
    <row r="593" spans="6:7" ht="15.75" customHeight="1">
      <c r="F593">
        <f>SUMIF([1]Input!A$15:A$24, A593, [1]Input!B$15:B$24)</f>
        <v>0</v>
      </c>
      <c r="G593">
        <f t="shared" si="9"/>
        <v>0</v>
      </c>
    </row>
    <row r="594" spans="6:7" ht="15.75" customHeight="1">
      <c r="F594">
        <f>SUMIF([1]Input!A$15:A$24, A594, [1]Input!B$15:B$24)</f>
        <v>0</v>
      </c>
      <c r="G594">
        <f t="shared" si="9"/>
        <v>0</v>
      </c>
    </row>
    <row r="595" spans="6:7" ht="15.75" customHeight="1">
      <c r="F595">
        <f>SUMIF([1]Input!A$15:A$24, A595, [1]Input!B$15:B$24)</f>
        <v>0</v>
      </c>
      <c r="G595">
        <f t="shared" si="9"/>
        <v>0</v>
      </c>
    </row>
    <row r="596" spans="6:7" ht="15.75" customHeight="1">
      <c r="F596">
        <f>SUMIF([1]Input!A$15:A$24, A596, [1]Input!B$15:B$24)</f>
        <v>0</v>
      </c>
      <c r="G596">
        <f t="shared" si="9"/>
        <v>0</v>
      </c>
    </row>
    <row r="597" spans="6:7" ht="15.75" customHeight="1">
      <c r="F597">
        <f>SUMIF([1]Input!A$15:A$24, A597, [1]Input!B$15:B$24)</f>
        <v>0</v>
      </c>
      <c r="G597">
        <f t="shared" si="9"/>
        <v>0</v>
      </c>
    </row>
    <row r="598" spans="6:7" ht="15.75" customHeight="1">
      <c r="F598">
        <f>SUMIF([1]Input!A$15:A$24, A598, [1]Input!B$15:B$24)</f>
        <v>0</v>
      </c>
      <c r="G598">
        <f t="shared" si="9"/>
        <v>0</v>
      </c>
    </row>
    <row r="599" spans="6:7" ht="15.75" customHeight="1">
      <c r="F599">
        <f>SUMIF([1]Input!A$15:A$24, A599, [1]Input!B$15:B$24)</f>
        <v>0</v>
      </c>
      <c r="G599">
        <f t="shared" si="9"/>
        <v>0</v>
      </c>
    </row>
    <row r="600" spans="6:7" ht="15.75" customHeight="1">
      <c r="F600">
        <f>SUMIF([1]Input!A$15:A$24, A600, [1]Input!B$15:B$24)</f>
        <v>0</v>
      </c>
      <c r="G600">
        <f t="shared" si="9"/>
        <v>0</v>
      </c>
    </row>
    <row r="601" spans="6:7" ht="15.75" customHeight="1">
      <c r="F601">
        <f>SUMIF([1]Input!A$15:A$24, A601, [1]Input!B$15:B$24)</f>
        <v>0</v>
      </c>
      <c r="G601">
        <f t="shared" si="9"/>
        <v>0</v>
      </c>
    </row>
    <row r="602" spans="6:7" ht="15.75" customHeight="1">
      <c r="F602">
        <f>SUMIF([1]Input!A$15:A$24, A602, [1]Input!B$15:B$24)</f>
        <v>0</v>
      </c>
      <c r="G602">
        <f t="shared" si="9"/>
        <v>0</v>
      </c>
    </row>
    <row r="603" spans="6:7" ht="15.75" customHeight="1">
      <c r="F603">
        <f>SUMIF([1]Input!A$15:A$24, A603, [1]Input!B$15:B$24)</f>
        <v>0</v>
      </c>
      <c r="G603">
        <f t="shared" si="9"/>
        <v>0</v>
      </c>
    </row>
    <row r="604" spans="6:7" ht="15.75" customHeight="1">
      <c r="F604">
        <f>SUMIF([1]Input!A$15:A$24, A604, [1]Input!B$15:B$24)</f>
        <v>0</v>
      </c>
      <c r="G604">
        <f t="shared" si="9"/>
        <v>0</v>
      </c>
    </row>
    <row r="605" spans="6:7" ht="15.75" customHeight="1">
      <c r="F605">
        <f>SUMIF([1]Input!A$15:A$24, A605, [1]Input!B$15:B$24)</f>
        <v>0</v>
      </c>
      <c r="G605">
        <f t="shared" si="9"/>
        <v>0</v>
      </c>
    </row>
    <row r="606" spans="6:7" ht="15.75" customHeight="1">
      <c r="F606">
        <f>SUMIF([1]Input!A$15:A$24, A606, [1]Input!B$15:B$24)</f>
        <v>0</v>
      </c>
      <c r="G606">
        <f t="shared" si="9"/>
        <v>0</v>
      </c>
    </row>
    <row r="607" spans="6:7" ht="15.75" customHeight="1">
      <c r="F607">
        <f>SUMIF([1]Input!A$15:A$24, A607, [1]Input!B$15:B$24)</f>
        <v>0</v>
      </c>
      <c r="G607">
        <f t="shared" si="9"/>
        <v>0</v>
      </c>
    </row>
    <row r="608" spans="6:7" ht="15.75" customHeight="1">
      <c r="F608">
        <f>SUMIF([1]Input!A$15:A$24, A608, [1]Input!B$15:B$24)</f>
        <v>0</v>
      </c>
      <c r="G608">
        <f t="shared" si="9"/>
        <v>0</v>
      </c>
    </row>
    <row r="609" spans="6:7" ht="15.75" customHeight="1">
      <c r="F609">
        <f>SUMIF([1]Input!A$15:A$24, A609, [1]Input!B$15:B$24)</f>
        <v>0</v>
      </c>
      <c r="G609">
        <f t="shared" si="9"/>
        <v>0</v>
      </c>
    </row>
    <row r="610" spans="6:7" ht="15.75" customHeight="1">
      <c r="F610">
        <f>SUMIF([1]Input!A$15:A$24, A610, [1]Input!B$15:B$24)</f>
        <v>0</v>
      </c>
      <c r="G610">
        <f t="shared" si="9"/>
        <v>0</v>
      </c>
    </row>
    <row r="611" spans="6:7" ht="15.75" customHeight="1">
      <c r="F611">
        <f>SUMIF([1]Input!A$15:A$24, A611, [1]Input!B$15:B$24)</f>
        <v>0</v>
      </c>
      <c r="G611">
        <f t="shared" si="9"/>
        <v>0</v>
      </c>
    </row>
    <row r="612" spans="6:7" ht="15.75" customHeight="1">
      <c r="F612">
        <f>SUMIF([1]Input!A$15:A$24, A612, [1]Input!B$15:B$24)</f>
        <v>0</v>
      </c>
      <c r="G612">
        <f t="shared" si="9"/>
        <v>0</v>
      </c>
    </row>
    <row r="613" spans="6:7" ht="15.75" customHeight="1">
      <c r="F613">
        <f>SUMIF([1]Input!A$15:A$24, A613, [1]Input!B$15:B$24)</f>
        <v>0</v>
      </c>
      <c r="G613">
        <f t="shared" si="9"/>
        <v>0</v>
      </c>
    </row>
    <row r="614" spans="6:7" ht="15.75" customHeight="1">
      <c r="F614">
        <f>SUMIF([1]Input!A$15:A$24, A614, [1]Input!B$15:B$24)</f>
        <v>0</v>
      </c>
      <c r="G614">
        <f t="shared" si="9"/>
        <v>0</v>
      </c>
    </row>
    <row r="615" spans="6:7" ht="15.75" customHeight="1">
      <c r="F615">
        <f>SUMIF([1]Input!A$15:A$24, A615, [1]Input!B$15:B$24)</f>
        <v>0</v>
      </c>
      <c r="G615">
        <f t="shared" si="9"/>
        <v>0</v>
      </c>
    </row>
    <row r="616" spans="6:7" ht="15.75" customHeight="1">
      <c r="F616">
        <f>SUMIF([1]Input!A$15:A$24, A616, [1]Input!B$15:B$24)</f>
        <v>0</v>
      </c>
      <c r="G616">
        <f t="shared" si="9"/>
        <v>0</v>
      </c>
    </row>
    <row r="617" spans="6:7" ht="15.75" customHeight="1">
      <c r="F617">
        <f>SUMIF([1]Input!A$15:A$24, A617, [1]Input!B$15:B$24)</f>
        <v>0</v>
      </c>
      <c r="G617">
        <f t="shared" si="9"/>
        <v>0</v>
      </c>
    </row>
    <row r="618" spans="6:7" ht="15.75" customHeight="1">
      <c r="F618">
        <f>SUMIF([1]Input!A$15:A$24, A618, [1]Input!B$15:B$24)</f>
        <v>0</v>
      </c>
      <c r="G618">
        <f t="shared" si="9"/>
        <v>0</v>
      </c>
    </row>
    <row r="619" spans="6:7" ht="15.75" customHeight="1">
      <c r="F619">
        <f>SUMIF([1]Input!A$15:A$24, A619, [1]Input!B$15:B$24)</f>
        <v>0</v>
      </c>
      <c r="G619">
        <f t="shared" si="9"/>
        <v>0</v>
      </c>
    </row>
    <row r="620" spans="6:7" ht="15.75" customHeight="1">
      <c r="F620">
        <f>SUMIF([1]Input!A$15:A$24, A620, [1]Input!B$15:B$24)</f>
        <v>0</v>
      </c>
      <c r="G620">
        <f t="shared" si="9"/>
        <v>0</v>
      </c>
    </row>
    <row r="621" spans="6:7" ht="15.75" customHeight="1">
      <c r="F621">
        <f>SUMIF([1]Input!A$15:A$24, A621, [1]Input!B$15:B$24)</f>
        <v>0</v>
      </c>
      <c r="G621">
        <f t="shared" si="9"/>
        <v>0</v>
      </c>
    </row>
    <row r="622" spans="6:7" ht="15.75" customHeight="1">
      <c r="F622">
        <f>SUMIF([1]Input!A$15:A$24, A622, [1]Input!B$15:B$24)</f>
        <v>0</v>
      </c>
      <c r="G622">
        <f t="shared" si="9"/>
        <v>0</v>
      </c>
    </row>
    <row r="623" spans="6:7" ht="15.75" customHeight="1">
      <c r="F623">
        <f>SUMIF([1]Input!A$15:A$24, A623, [1]Input!B$15:B$24)</f>
        <v>0</v>
      </c>
      <c r="G623">
        <f t="shared" si="9"/>
        <v>0</v>
      </c>
    </row>
    <row r="624" spans="6:7" ht="15.75" customHeight="1">
      <c r="F624">
        <f>SUMIF([1]Input!A$15:A$24, A624, [1]Input!B$15:B$24)</f>
        <v>0</v>
      </c>
      <c r="G624">
        <f t="shared" si="9"/>
        <v>0</v>
      </c>
    </row>
    <row r="625" spans="6:7" ht="15.75" customHeight="1">
      <c r="F625">
        <f>SUMIF([1]Input!A$15:A$24, A625, [1]Input!B$15:B$24)</f>
        <v>0</v>
      </c>
      <c r="G625">
        <f t="shared" si="9"/>
        <v>0</v>
      </c>
    </row>
    <row r="626" spans="6:7" ht="15.75" customHeight="1">
      <c r="F626">
        <f>SUMIF([1]Input!A$15:A$24, A626, [1]Input!B$15:B$24)</f>
        <v>0</v>
      </c>
      <c r="G626">
        <f t="shared" si="9"/>
        <v>0</v>
      </c>
    </row>
    <row r="627" spans="6:7" ht="15.75" customHeight="1">
      <c r="F627">
        <f>SUMIF([1]Input!A$15:A$24, A627, [1]Input!B$15:B$24)</f>
        <v>0</v>
      </c>
      <c r="G627">
        <f t="shared" si="9"/>
        <v>0</v>
      </c>
    </row>
    <row r="628" spans="6:7" ht="15.75" customHeight="1">
      <c r="F628">
        <f>SUMIF([1]Input!A$15:A$24, A628, [1]Input!B$15:B$24)</f>
        <v>0</v>
      </c>
      <c r="G628">
        <f t="shared" si="9"/>
        <v>0</v>
      </c>
    </row>
    <row r="629" spans="6:7" ht="15.75" customHeight="1">
      <c r="F629">
        <f>SUMIF([1]Input!A$15:A$24, A629, [1]Input!B$15:B$24)</f>
        <v>0</v>
      </c>
      <c r="G629">
        <f t="shared" si="9"/>
        <v>0</v>
      </c>
    </row>
    <row r="630" spans="6:7" ht="15.75" customHeight="1">
      <c r="F630">
        <f>SUMIF([1]Input!A$15:A$24, A630, [1]Input!B$15:B$24)</f>
        <v>0</v>
      </c>
      <c r="G630">
        <f t="shared" si="9"/>
        <v>0</v>
      </c>
    </row>
    <row r="631" spans="6:7" ht="15.75" customHeight="1">
      <c r="F631">
        <f>SUMIF([1]Input!A$15:A$24, A631, [1]Input!B$15:B$24)</f>
        <v>0</v>
      </c>
      <c r="G631">
        <f t="shared" si="9"/>
        <v>0</v>
      </c>
    </row>
    <row r="632" spans="6:7" ht="15.75" customHeight="1">
      <c r="F632">
        <f>SUMIF([1]Input!A$15:A$24, A632, [1]Input!B$15:B$24)</f>
        <v>0</v>
      </c>
      <c r="G632">
        <f t="shared" si="9"/>
        <v>0</v>
      </c>
    </row>
    <row r="633" spans="6:7" ht="15.75" customHeight="1">
      <c r="F633">
        <f>SUMIF([1]Input!A$15:A$24, A633, [1]Input!B$15:B$24)</f>
        <v>0</v>
      </c>
      <c r="G633">
        <f t="shared" si="9"/>
        <v>0</v>
      </c>
    </row>
    <row r="634" spans="6:7" ht="15.75" customHeight="1">
      <c r="F634">
        <f>SUMIF([1]Input!A$15:A$24, A634, [1]Input!B$15:B$24)</f>
        <v>0</v>
      </c>
      <c r="G634">
        <f t="shared" si="9"/>
        <v>0</v>
      </c>
    </row>
    <row r="635" spans="6:7" ht="15.75" customHeight="1">
      <c r="F635">
        <f>SUMIF([1]Input!A$15:A$24, A635, [1]Input!B$15:B$24)</f>
        <v>0</v>
      </c>
      <c r="G635">
        <f t="shared" si="9"/>
        <v>0</v>
      </c>
    </row>
    <row r="636" spans="6:7" ht="15.75" customHeight="1">
      <c r="F636">
        <f>SUMIF([1]Input!A$15:A$24, A636, [1]Input!B$15:B$24)</f>
        <v>0</v>
      </c>
      <c r="G636">
        <f t="shared" si="9"/>
        <v>0</v>
      </c>
    </row>
    <row r="637" spans="6:7" ht="15.75" customHeight="1">
      <c r="F637">
        <f>SUMIF([1]Input!A$15:A$24, A637, [1]Input!B$15:B$24)</f>
        <v>0</v>
      </c>
      <c r="G637">
        <f t="shared" si="9"/>
        <v>0</v>
      </c>
    </row>
    <row r="638" spans="6:7" ht="15.75" customHeight="1">
      <c r="F638">
        <f>SUMIF([1]Input!A$15:A$24, A638, [1]Input!B$15:B$24)</f>
        <v>0</v>
      </c>
      <c r="G638">
        <f t="shared" si="9"/>
        <v>0</v>
      </c>
    </row>
    <row r="639" spans="6:7" ht="15.75" customHeight="1">
      <c r="F639">
        <f>SUMIF([1]Input!A$15:A$24, A639, [1]Input!B$15:B$24)</f>
        <v>0</v>
      </c>
      <c r="G639">
        <f t="shared" si="9"/>
        <v>0</v>
      </c>
    </row>
    <row r="640" spans="6:7" ht="15.75" customHeight="1">
      <c r="F640">
        <f>SUMIF([1]Input!A$15:A$24, A640, [1]Input!B$15:B$24)</f>
        <v>0</v>
      </c>
      <c r="G640">
        <f t="shared" si="9"/>
        <v>0</v>
      </c>
    </row>
    <row r="641" spans="6:7" ht="15.75" customHeight="1">
      <c r="F641">
        <f>SUMIF([1]Input!A$15:A$24, A641, [1]Input!B$15:B$24)</f>
        <v>0</v>
      </c>
      <c r="G641">
        <f t="shared" si="9"/>
        <v>0</v>
      </c>
    </row>
    <row r="642" spans="6:7" ht="15.75" customHeight="1">
      <c r="F642">
        <f>SUMIF([1]Input!A$15:A$24, A642, [1]Input!B$15:B$24)</f>
        <v>0</v>
      </c>
      <c r="G642">
        <f t="shared" si="9"/>
        <v>0</v>
      </c>
    </row>
    <row r="643" spans="6:7" ht="15.75" customHeight="1">
      <c r="F643">
        <f>SUMIF([1]Input!A$15:A$24, A643, [1]Input!B$15:B$24)</f>
        <v>0</v>
      </c>
      <c r="G643">
        <f t="shared" ref="G643:G706" si="10">B643 - F643</f>
        <v>0</v>
      </c>
    </row>
    <row r="644" spans="6:7" ht="15.75" customHeight="1">
      <c r="F644">
        <f>SUMIF([1]Input!A$15:A$24, A644, [1]Input!B$15:B$24)</f>
        <v>0</v>
      </c>
      <c r="G644">
        <f t="shared" si="10"/>
        <v>0</v>
      </c>
    </row>
    <row r="645" spans="6:7" ht="15.75" customHeight="1">
      <c r="F645">
        <f>SUMIF([1]Input!A$15:A$24, A645, [1]Input!B$15:B$24)</f>
        <v>0</v>
      </c>
      <c r="G645">
        <f t="shared" si="10"/>
        <v>0</v>
      </c>
    </row>
    <row r="646" spans="6:7" ht="15.75" customHeight="1">
      <c r="F646">
        <f>SUMIF([1]Input!A$15:A$24, A646, [1]Input!B$15:B$24)</f>
        <v>0</v>
      </c>
      <c r="G646">
        <f t="shared" si="10"/>
        <v>0</v>
      </c>
    </row>
    <row r="647" spans="6:7" ht="15.75" customHeight="1">
      <c r="F647">
        <f>SUMIF([1]Input!A$15:A$24, A647, [1]Input!B$15:B$24)</f>
        <v>0</v>
      </c>
      <c r="G647">
        <f t="shared" si="10"/>
        <v>0</v>
      </c>
    </row>
    <row r="648" spans="6:7" ht="15.75" customHeight="1">
      <c r="F648">
        <f>SUMIF([1]Input!A$15:A$24, A648, [1]Input!B$15:B$24)</f>
        <v>0</v>
      </c>
      <c r="G648">
        <f t="shared" si="10"/>
        <v>0</v>
      </c>
    </row>
    <row r="649" spans="6:7" ht="15.75" customHeight="1">
      <c r="F649">
        <f>SUMIF([1]Input!A$15:A$24, A649, [1]Input!B$15:B$24)</f>
        <v>0</v>
      </c>
      <c r="G649">
        <f t="shared" si="10"/>
        <v>0</v>
      </c>
    </row>
    <row r="650" spans="6:7" ht="15.75" customHeight="1">
      <c r="F650">
        <f>SUMIF([1]Input!A$15:A$24, A650, [1]Input!B$15:B$24)</f>
        <v>0</v>
      </c>
      <c r="G650">
        <f t="shared" si="10"/>
        <v>0</v>
      </c>
    </row>
    <row r="651" spans="6:7" ht="15.75" customHeight="1">
      <c r="F651">
        <f>SUMIF([1]Input!A$15:A$24, A651, [1]Input!B$15:B$24)</f>
        <v>0</v>
      </c>
      <c r="G651">
        <f t="shared" si="10"/>
        <v>0</v>
      </c>
    </row>
    <row r="652" spans="6:7" ht="15.75" customHeight="1">
      <c r="F652">
        <f>SUMIF([1]Input!A$15:A$24, A652, [1]Input!B$15:B$24)</f>
        <v>0</v>
      </c>
      <c r="G652">
        <f t="shared" si="10"/>
        <v>0</v>
      </c>
    </row>
    <row r="653" spans="6:7" ht="15.75" customHeight="1">
      <c r="F653">
        <f>SUMIF([1]Input!A$15:A$24, A653, [1]Input!B$15:B$24)</f>
        <v>0</v>
      </c>
      <c r="G653">
        <f t="shared" si="10"/>
        <v>0</v>
      </c>
    </row>
    <row r="654" spans="6:7" ht="15.75" customHeight="1">
      <c r="F654">
        <f>SUMIF([1]Input!A$15:A$24, A654, [1]Input!B$15:B$24)</f>
        <v>0</v>
      </c>
      <c r="G654">
        <f t="shared" si="10"/>
        <v>0</v>
      </c>
    </row>
    <row r="655" spans="6:7" ht="15.75" customHeight="1">
      <c r="F655">
        <f>SUMIF([1]Input!A$15:A$24, A655, [1]Input!B$15:B$24)</f>
        <v>0</v>
      </c>
      <c r="G655">
        <f t="shared" si="10"/>
        <v>0</v>
      </c>
    </row>
    <row r="656" spans="6:7" ht="15.75" customHeight="1">
      <c r="F656">
        <f>SUMIF([1]Input!A$15:A$24, A656, [1]Input!B$15:B$24)</f>
        <v>0</v>
      </c>
      <c r="G656">
        <f t="shared" si="10"/>
        <v>0</v>
      </c>
    </row>
    <row r="657" spans="6:7" ht="15.75" customHeight="1">
      <c r="F657">
        <f>SUMIF([1]Input!A$15:A$24, A657, [1]Input!B$15:B$24)</f>
        <v>0</v>
      </c>
      <c r="G657">
        <f t="shared" si="10"/>
        <v>0</v>
      </c>
    </row>
    <row r="658" spans="6:7" ht="15.75" customHeight="1">
      <c r="F658">
        <f>SUMIF([1]Input!A$15:A$24, A658, [1]Input!B$15:B$24)</f>
        <v>0</v>
      </c>
      <c r="G658">
        <f t="shared" si="10"/>
        <v>0</v>
      </c>
    </row>
    <row r="659" spans="6:7" ht="15.75" customHeight="1">
      <c r="F659">
        <f>SUMIF([1]Input!A$15:A$24, A659, [1]Input!B$15:B$24)</f>
        <v>0</v>
      </c>
      <c r="G659">
        <f t="shared" si="10"/>
        <v>0</v>
      </c>
    </row>
    <row r="660" spans="6:7" ht="15.75" customHeight="1">
      <c r="F660">
        <f>SUMIF([1]Input!A$15:A$24, A660, [1]Input!B$15:B$24)</f>
        <v>0</v>
      </c>
      <c r="G660">
        <f t="shared" si="10"/>
        <v>0</v>
      </c>
    </row>
    <row r="661" spans="6:7" ht="15.75" customHeight="1">
      <c r="F661">
        <f>SUMIF([1]Input!A$15:A$24, A661, [1]Input!B$15:B$24)</f>
        <v>0</v>
      </c>
      <c r="G661">
        <f t="shared" si="10"/>
        <v>0</v>
      </c>
    </row>
    <row r="662" spans="6:7" ht="15.75" customHeight="1">
      <c r="F662">
        <f>SUMIF([1]Input!A$15:A$24, A662, [1]Input!B$15:B$24)</f>
        <v>0</v>
      </c>
      <c r="G662">
        <f t="shared" si="10"/>
        <v>0</v>
      </c>
    </row>
    <row r="663" spans="6:7" ht="15.75" customHeight="1">
      <c r="F663">
        <f>SUMIF([1]Input!A$15:A$24, A663, [1]Input!B$15:B$24)</f>
        <v>0</v>
      </c>
      <c r="G663">
        <f t="shared" si="10"/>
        <v>0</v>
      </c>
    </row>
    <row r="664" spans="6:7" ht="15.75" customHeight="1">
      <c r="F664">
        <f>SUMIF([1]Input!A$15:A$24, A664, [1]Input!B$15:B$24)</f>
        <v>0</v>
      </c>
      <c r="G664">
        <f t="shared" si="10"/>
        <v>0</v>
      </c>
    </row>
    <row r="665" spans="6:7" ht="15.75" customHeight="1">
      <c r="F665">
        <f>SUMIF([1]Input!A$15:A$24, A665, [1]Input!B$15:B$24)</f>
        <v>0</v>
      </c>
      <c r="G665">
        <f t="shared" si="10"/>
        <v>0</v>
      </c>
    </row>
    <row r="666" spans="6:7" ht="15.75" customHeight="1">
      <c r="F666">
        <f>SUMIF([1]Input!A$15:A$24, A666, [1]Input!B$15:B$24)</f>
        <v>0</v>
      </c>
      <c r="G666">
        <f t="shared" si="10"/>
        <v>0</v>
      </c>
    </row>
    <row r="667" spans="6:7" ht="15.75" customHeight="1">
      <c r="F667">
        <f>SUMIF([1]Input!A$15:A$24, A667, [1]Input!B$15:B$24)</f>
        <v>0</v>
      </c>
      <c r="G667">
        <f t="shared" si="10"/>
        <v>0</v>
      </c>
    </row>
    <row r="668" spans="6:7" ht="15.75" customHeight="1">
      <c r="F668">
        <f>SUMIF([1]Input!A$15:A$24, A668, [1]Input!B$15:B$24)</f>
        <v>0</v>
      </c>
      <c r="G668">
        <f t="shared" si="10"/>
        <v>0</v>
      </c>
    </row>
    <row r="669" spans="6:7" ht="15.75" customHeight="1">
      <c r="F669">
        <f>SUMIF([1]Input!A$15:A$24, A669, [1]Input!B$15:B$24)</f>
        <v>0</v>
      </c>
      <c r="G669">
        <f t="shared" si="10"/>
        <v>0</v>
      </c>
    </row>
    <row r="670" spans="6:7" ht="15.75" customHeight="1">
      <c r="F670">
        <f>SUMIF([1]Input!A$15:A$24, A670, [1]Input!B$15:B$24)</f>
        <v>0</v>
      </c>
      <c r="G670">
        <f t="shared" si="10"/>
        <v>0</v>
      </c>
    </row>
    <row r="671" spans="6:7" ht="15.75" customHeight="1">
      <c r="F671">
        <f>SUMIF([1]Input!A$15:A$24, A671, [1]Input!B$15:B$24)</f>
        <v>0</v>
      </c>
      <c r="G671">
        <f t="shared" si="10"/>
        <v>0</v>
      </c>
    </row>
    <row r="672" spans="6:7" ht="15.75" customHeight="1">
      <c r="F672">
        <f>SUMIF([1]Input!A$15:A$24, A672, [1]Input!B$15:B$24)</f>
        <v>0</v>
      </c>
      <c r="G672">
        <f t="shared" si="10"/>
        <v>0</v>
      </c>
    </row>
    <row r="673" spans="6:7" ht="15.75" customHeight="1">
      <c r="F673">
        <f>SUMIF([1]Input!A$15:A$24, A673, [1]Input!B$15:B$24)</f>
        <v>0</v>
      </c>
      <c r="G673">
        <f t="shared" si="10"/>
        <v>0</v>
      </c>
    </row>
    <row r="674" spans="6:7" ht="15.75" customHeight="1">
      <c r="F674">
        <f>SUMIF([1]Input!A$15:A$24, A674, [1]Input!B$15:B$24)</f>
        <v>0</v>
      </c>
      <c r="G674">
        <f t="shared" si="10"/>
        <v>0</v>
      </c>
    </row>
    <row r="675" spans="6:7" ht="15.75" customHeight="1">
      <c r="F675">
        <f>SUMIF([1]Input!A$15:A$24, A675, [1]Input!B$15:B$24)</f>
        <v>0</v>
      </c>
      <c r="G675">
        <f t="shared" si="10"/>
        <v>0</v>
      </c>
    </row>
    <row r="676" spans="6:7" ht="15.75" customHeight="1">
      <c r="F676">
        <f>SUMIF([1]Input!A$15:A$24, A676, [1]Input!B$15:B$24)</f>
        <v>0</v>
      </c>
      <c r="G676">
        <f t="shared" si="10"/>
        <v>0</v>
      </c>
    </row>
    <row r="677" spans="6:7" ht="15.75" customHeight="1">
      <c r="F677">
        <f>SUMIF([1]Input!A$15:A$24, A677, [1]Input!B$15:B$24)</f>
        <v>0</v>
      </c>
      <c r="G677">
        <f t="shared" si="10"/>
        <v>0</v>
      </c>
    </row>
    <row r="678" spans="6:7" ht="15.75" customHeight="1">
      <c r="F678">
        <f>SUMIF([1]Input!A$15:A$24, A678, [1]Input!B$15:B$24)</f>
        <v>0</v>
      </c>
      <c r="G678">
        <f t="shared" si="10"/>
        <v>0</v>
      </c>
    </row>
    <row r="679" spans="6:7" ht="15.75" customHeight="1">
      <c r="F679">
        <f>SUMIF([1]Input!A$15:A$24, A679, [1]Input!B$15:B$24)</f>
        <v>0</v>
      </c>
      <c r="G679">
        <f t="shared" si="10"/>
        <v>0</v>
      </c>
    </row>
    <row r="680" spans="6:7" ht="15.75" customHeight="1">
      <c r="F680">
        <f>SUMIF([1]Input!A$15:A$24, A680, [1]Input!B$15:B$24)</f>
        <v>0</v>
      </c>
      <c r="G680">
        <f t="shared" si="10"/>
        <v>0</v>
      </c>
    </row>
    <row r="681" spans="6:7" ht="15.75" customHeight="1">
      <c r="F681">
        <f>SUMIF([1]Input!A$15:A$24, A681, [1]Input!B$15:B$24)</f>
        <v>0</v>
      </c>
      <c r="G681">
        <f t="shared" si="10"/>
        <v>0</v>
      </c>
    </row>
    <row r="682" spans="6:7" ht="15.75" customHeight="1">
      <c r="F682">
        <f>SUMIF([1]Input!A$15:A$24, A682, [1]Input!B$15:B$24)</f>
        <v>0</v>
      </c>
      <c r="G682">
        <f t="shared" si="10"/>
        <v>0</v>
      </c>
    </row>
    <row r="683" spans="6:7" ht="15.75" customHeight="1">
      <c r="F683">
        <f>SUMIF([1]Input!A$15:A$24, A683, [1]Input!B$15:B$24)</f>
        <v>0</v>
      </c>
      <c r="G683">
        <f t="shared" si="10"/>
        <v>0</v>
      </c>
    </row>
    <row r="684" spans="6:7" ht="15.75" customHeight="1">
      <c r="F684">
        <f>SUMIF([1]Input!A$15:A$24, A684, [1]Input!B$15:B$24)</f>
        <v>0</v>
      </c>
      <c r="G684">
        <f t="shared" si="10"/>
        <v>0</v>
      </c>
    </row>
    <row r="685" spans="6:7" ht="15.75" customHeight="1">
      <c r="F685">
        <f>SUMIF([1]Input!A$15:A$24, A685, [1]Input!B$15:B$24)</f>
        <v>0</v>
      </c>
      <c r="G685">
        <f t="shared" si="10"/>
        <v>0</v>
      </c>
    </row>
    <row r="686" spans="6:7" ht="15.75" customHeight="1">
      <c r="F686">
        <f>SUMIF([1]Input!A$15:A$24, A686, [1]Input!B$15:B$24)</f>
        <v>0</v>
      </c>
      <c r="G686">
        <f t="shared" si="10"/>
        <v>0</v>
      </c>
    </row>
    <row r="687" spans="6:7" ht="15.75" customHeight="1">
      <c r="F687">
        <f>SUMIF([1]Input!A$15:A$24, A687, [1]Input!B$15:B$24)</f>
        <v>0</v>
      </c>
      <c r="G687">
        <f t="shared" si="10"/>
        <v>0</v>
      </c>
    </row>
    <row r="688" spans="6:7" ht="15.75" customHeight="1">
      <c r="F688">
        <f>SUMIF([1]Input!A$15:A$24, A688, [1]Input!B$15:B$24)</f>
        <v>0</v>
      </c>
      <c r="G688">
        <f t="shared" si="10"/>
        <v>0</v>
      </c>
    </row>
    <row r="689" spans="6:7" ht="15.75" customHeight="1">
      <c r="F689">
        <f>SUMIF([1]Input!A$15:A$24, A689, [1]Input!B$15:B$24)</f>
        <v>0</v>
      </c>
      <c r="G689">
        <f t="shared" si="10"/>
        <v>0</v>
      </c>
    </row>
    <row r="690" spans="6:7" ht="15.75" customHeight="1">
      <c r="F690">
        <f>SUMIF([1]Input!A$15:A$24, A690, [1]Input!B$15:B$24)</f>
        <v>0</v>
      </c>
      <c r="G690">
        <f t="shared" si="10"/>
        <v>0</v>
      </c>
    </row>
    <row r="691" spans="6:7" ht="15.75" customHeight="1">
      <c r="F691">
        <f>SUMIF([1]Input!A$15:A$24, A691, [1]Input!B$15:B$24)</f>
        <v>0</v>
      </c>
      <c r="G691">
        <f t="shared" si="10"/>
        <v>0</v>
      </c>
    </row>
    <row r="692" spans="6:7" ht="15.75" customHeight="1">
      <c r="F692">
        <f>SUMIF([1]Input!A$15:A$24, A692, [1]Input!B$15:B$24)</f>
        <v>0</v>
      </c>
      <c r="G692">
        <f t="shared" si="10"/>
        <v>0</v>
      </c>
    </row>
    <row r="693" spans="6:7" ht="15.75" customHeight="1">
      <c r="F693">
        <f>SUMIF([1]Input!A$15:A$24, A693, [1]Input!B$15:B$24)</f>
        <v>0</v>
      </c>
      <c r="G693">
        <f t="shared" si="10"/>
        <v>0</v>
      </c>
    </row>
    <row r="694" spans="6:7" ht="15.75" customHeight="1">
      <c r="F694">
        <f>SUMIF([1]Input!A$15:A$24, A694, [1]Input!B$15:B$24)</f>
        <v>0</v>
      </c>
      <c r="G694">
        <f t="shared" si="10"/>
        <v>0</v>
      </c>
    </row>
    <row r="695" spans="6:7" ht="15.75" customHeight="1">
      <c r="F695">
        <f>SUMIF([1]Input!A$15:A$24, A695, [1]Input!B$15:B$24)</f>
        <v>0</v>
      </c>
      <c r="G695">
        <f t="shared" si="10"/>
        <v>0</v>
      </c>
    </row>
    <row r="696" spans="6:7" ht="15.75" customHeight="1">
      <c r="F696">
        <f>SUMIF([1]Input!A$15:A$24, A696, [1]Input!B$15:B$24)</f>
        <v>0</v>
      </c>
      <c r="G696">
        <f t="shared" si="10"/>
        <v>0</v>
      </c>
    </row>
    <row r="697" spans="6:7" ht="15.75" customHeight="1">
      <c r="F697">
        <f>SUMIF([1]Input!A$15:A$24, A697, [1]Input!B$15:B$24)</f>
        <v>0</v>
      </c>
      <c r="G697">
        <f t="shared" si="10"/>
        <v>0</v>
      </c>
    </row>
    <row r="698" spans="6:7" ht="15.75" customHeight="1">
      <c r="F698">
        <f>SUMIF([1]Input!A$15:A$24, A698, [1]Input!B$15:B$24)</f>
        <v>0</v>
      </c>
      <c r="G698">
        <f t="shared" si="10"/>
        <v>0</v>
      </c>
    </row>
    <row r="699" spans="6:7" ht="15.75" customHeight="1">
      <c r="F699">
        <f>SUMIF([1]Input!A$15:A$24, A699, [1]Input!B$15:B$24)</f>
        <v>0</v>
      </c>
      <c r="G699">
        <f t="shared" si="10"/>
        <v>0</v>
      </c>
    </row>
    <row r="700" spans="6:7" ht="15.75" customHeight="1">
      <c r="F700">
        <f>SUMIF([1]Input!A$15:A$24, A700, [1]Input!B$15:B$24)</f>
        <v>0</v>
      </c>
      <c r="G700">
        <f t="shared" si="10"/>
        <v>0</v>
      </c>
    </row>
    <row r="701" spans="6:7" ht="15.75" customHeight="1">
      <c r="F701">
        <f>SUMIF([1]Input!A$15:A$24, A701, [1]Input!B$15:B$24)</f>
        <v>0</v>
      </c>
      <c r="G701">
        <f t="shared" si="10"/>
        <v>0</v>
      </c>
    </row>
    <row r="702" spans="6:7" ht="15.75" customHeight="1">
      <c r="F702">
        <f>SUMIF([1]Input!A$15:A$24, A702, [1]Input!B$15:B$24)</f>
        <v>0</v>
      </c>
      <c r="G702">
        <f t="shared" si="10"/>
        <v>0</v>
      </c>
    </row>
    <row r="703" spans="6:7" ht="15.75" customHeight="1">
      <c r="F703">
        <f>SUMIF([1]Input!A$15:A$24, A703, [1]Input!B$15:B$24)</f>
        <v>0</v>
      </c>
      <c r="G703">
        <f t="shared" si="10"/>
        <v>0</v>
      </c>
    </row>
    <row r="704" spans="6:7" ht="15.75" customHeight="1">
      <c r="F704">
        <f>SUMIF([1]Input!A$15:A$24, A704, [1]Input!B$15:B$24)</f>
        <v>0</v>
      </c>
      <c r="G704">
        <f t="shared" si="10"/>
        <v>0</v>
      </c>
    </row>
    <row r="705" spans="6:7" ht="15.75" customHeight="1">
      <c r="F705">
        <f>SUMIF([1]Input!A$15:A$24, A705, [1]Input!B$15:B$24)</f>
        <v>0</v>
      </c>
      <c r="G705">
        <f t="shared" si="10"/>
        <v>0</v>
      </c>
    </row>
    <row r="706" spans="6:7" ht="15.75" customHeight="1">
      <c r="F706">
        <f>SUMIF([1]Input!A$15:A$24, A706, [1]Input!B$15:B$24)</f>
        <v>0</v>
      </c>
      <c r="G706">
        <f t="shared" si="10"/>
        <v>0</v>
      </c>
    </row>
    <row r="707" spans="6:7" ht="15.75" customHeight="1">
      <c r="F707">
        <f>SUMIF([1]Input!A$15:A$24, A707, [1]Input!B$15:B$24)</f>
        <v>0</v>
      </c>
      <c r="G707">
        <f t="shared" ref="G707:G770" si="11">B707 - F707</f>
        <v>0</v>
      </c>
    </row>
    <row r="708" spans="6:7" ht="15.75" customHeight="1">
      <c r="F708">
        <f>SUMIF([1]Input!A$15:A$24, A708, [1]Input!B$15:B$24)</f>
        <v>0</v>
      </c>
      <c r="G708">
        <f t="shared" si="11"/>
        <v>0</v>
      </c>
    </row>
    <row r="709" spans="6:7" ht="15.75" customHeight="1">
      <c r="F709">
        <f>SUMIF([1]Input!A$15:A$24, A709, [1]Input!B$15:B$24)</f>
        <v>0</v>
      </c>
      <c r="G709">
        <f t="shared" si="11"/>
        <v>0</v>
      </c>
    </row>
    <row r="710" spans="6:7" ht="15.75" customHeight="1">
      <c r="F710">
        <f>SUMIF([1]Input!A$15:A$24, A710, [1]Input!B$15:B$24)</f>
        <v>0</v>
      </c>
      <c r="G710">
        <f t="shared" si="11"/>
        <v>0</v>
      </c>
    </row>
    <row r="711" spans="6:7" ht="15.75" customHeight="1">
      <c r="F711">
        <f>SUMIF([1]Input!A$15:A$24, A711, [1]Input!B$15:B$24)</f>
        <v>0</v>
      </c>
      <c r="G711">
        <f t="shared" si="11"/>
        <v>0</v>
      </c>
    </row>
    <row r="712" spans="6:7" ht="15.75" customHeight="1">
      <c r="F712">
        <f>SUMIF([1]Input!A$15:A$24, A712, [1]Input!B$15:B$24)</f>
        <v>0</v>
      </c>
      <c r="G712">
        <f t="shared" si="11"/>
        <v>0</v>
      </c>
    </row>
    <row r="713" spans="6:7" ht="15.75" customHeight="1">
      <c r="F713">
        <f>SUMIF([1]Input!A$15:A$24, A713, [1]Input!B$15:B$24)</f>
        <v>0</v>
      </c>
      <c r="G713">
        <f t="shared" si="11"/>
        <v>0</v>
      </c>
    </row>
    <row r="714" spans="6:7" ht="15.75" customHeight="1">
      <c r="F714">
        <f>SUMIF([1]Input!A$15:A$24, A714, [1]Input!B$15:B$24)</f>
        <v>0</v>
      </c>
      <c r="G714">
        <f t="shared" si="11"/>
        <v>0</v>
      </c>
    </row>
    <row r="715" spans="6:7" ht="15.75" customHeight="1">
      <c r="F715">
        <f>SUMIF([1]Input!A$15:A$24, A715, [1]Input!B$15:B$24)</f>
        <v>0</v>
      </c>
      <c r="G715">
        <f t="shared" si="11"/>
        <v>0</v>
      </c>
    </row>
    <row r="716" spans="6:7" ht="15.75" customHeight="1">
      <c r="F716">
        <f>SUMIF([1]Input!A$15:A$24, A716, [1]Input!B$15:B$24)</f>
        <v>0</v>
      </c>
      <c r="G716">
        <f t="shared" si="11"/>
        <v>0</v>
      </c>
    </row>
    <row r="717" spans="6:7" ht="15.75" customHeight="1">
      <c r="F717">
        <f>SUMIF([1]Input!A$15:A$24, A717, [1]Input!B$15:B$24)</f>
        <v>0</v>
      </c>
      <c r="G717">
        <f t="shared" si="11"/>
        <v>0</v>
      </c>
    </row>
    <row r="718" spans="6:7" ht="15.75" customHeight="1">
      <c r="F718">
        <f>SUMIF([1]Input!A$15:A$24, A718, [1]Input!B$15:B$24)</f>
        <v>0</v>
      </c>
      <c r="G718">
        <f t="shared" si="11"/>
        <v>0</v>
      </c>
    </row>
    <row r="719" spans="6:7" ht="15.75" customHeight="1">
      <c r="F719">
        <f>SUMIF([1]Input!A$15:A$24, A719, [1]Input!B$15:B$24)</f>
        <v>0</v>
      </c>
      <c r="G719">
        <f t="shared" si="11"/>
        <v>0</v>
      </c>
    </row>
    <row r="720" spans="6:7" ht="15.75" customHeight="1">
      <c r="F720">
        <f>SUMIF([1]Input!A$15:A$24, A720, [1]Input!B$15:B$24)</f>
        <v>0</v>
      </c>
      <c r="G720">
        <f t="shared" si="11"/>
        <v>0</v>
      </c>
    </row>
    <row r="721" spans="6:7" ht="15.75" customHeight="1">
      <c r="F721">
        <f>SUMIF([1]Input!A$15:A$24, A721, [1]Input!B$15:B$24)</f>
        <v>0</v>
      </c>
      <c r="G721">
        <f t="shared" si="11"/>
        <v>0</v>
      </c>
    </row>
    <row r="722" spans="6:7" ht="15.75" customHeight="1">
      <c r="F722">
        <f>SUMIF([1]Input!A$15:A$24, A722, [1]Input!B$15:B$24)</f>
        <v>0</v>
      </c>
      <c r="G722">
        <f t="shared" si="11"/>
        <v>0</v>
      </c>
    </row>
    <row r="723" spans="6:7" ht="15.75" customHeight="1">
      <c r="F723">
        <f>SUMIF([1]Input!A$15:A$24, A723, [1]Input!B$15:B$24)</f>
        <v>0</v>
      </c>
      <c r="G723">
        <f t="shared" si="11"/>
        <v>0</v>
      </c>
    </row>
    <row r="724" spans="6:7" ht="15.75" customHeight="1">
      <c r="F724">
        <f>SUMIF([1]Input!A$15:A$24, A724, [1]Input!B$15:B$24)</f>
        <v>0</v>
      </c>
      <c r="G724">
        <f t="shared" si="11"/>
        <v>0</v>
      </c>
    </row>
    <row r="725" spans="6:7" ht="15.75" customHeight="1">
      <c r="F725">
        <f>SUMIF([1]Input!A$15:A$24, A725, [1]Input!B$15:B$24)</f>
        <v>0</v>
      </c>
      <c r="G725">
        <f t="shared" si="11"/>
        <v>0</v>
      </c>
    </row>
    <row r="726" spans="6:7" ht="15.75" customHeight="1">
      <c r="F726">
        <f>SUMIF([1]Input!A$15:A$24, A726, [1]Input!B$15:B$24)</f>
        <v>0</v>
      </c>
      <c r="G726">
        <f t="shared" si="11"/>
        <v>0</v>
      </c>
    </row>
    <row r="727" spans="6:7" ht="15.75" customHeight="1">
      <c r="F727">
        <f>SUMIF([1]Input!A$15:A$24, A727, [1]Input!B$15:B$24)</f>
        <v>0</v>
      </c>
      <c r="G727">
        <f t="shared" si="11"/>
        <v>0</v>
      </c>
    </row>
    <row r="728" spans="6:7" ht="15.75" customHeight="1">
      <c r="F728">
        <f>SUMIF([1]Input!A$15:A$24, A728, [1]Input!B$15:B$24)</f>
        <v>0</v>
      </c>
      <c r="G728">
        <f t="shared" si="11"/>
        <v>0</v>
      </c>
    </row>
    <row r="729" spans="6:7" ht="15.75" customHeight="1">
      <c r="F729">
        <f>SUMIF([1]Input!A$15:A$24, A729, [1]Input!B$15:B$24)</f>
        <v>0</v>
      </c>
      <c r="G729">
        <f t="shared" si="11"/>
        <v>0</v>
      </c>
    </row>
    <row r="730" spans="6:7" ht="15.75" customHeight="1">
      <c r="F730">
        <f>SUMIF([1]Input!A$15:A$24, A730, [1]Input!B$15:B$24)</f>
        <v>0</v>
      </c>
      <c r="G730">
        <f t="shared" si="11"/>
        <v>0</v>
      </c>
    </row>
    <row r="731" spans="6:7" ht="15.75" customHeight="1">
      <c r="F731">
        <f>SUMIF([1]Input!A$15:A$24, A731, [1]Input!B$15:B$24)</f>
        <v>0</v>
      </c>
      <c r="G731">
        <f t="shared" si="11"/>
        <v>0</v>
      </c>
    </row>
    <row r="732" spans="6:7" ht="15.75" customHeight="1">
      <c r="F732">
        <f>SUMIF([1]Input!A$15:A$24, A732, [1]Input!B$15:B$24)</f>
        <v>0</v>
      </c>
      <c r="G732">
        <f t="shared" si="11"/>
        <v>0</v>
      </c>
    </row>
    <row r="733" spans="6:7" ht="15.75" customHeight="1">
      <c r="F733">
        <f>SUMIF([1]Input!A$15:A$24, A733, [1]Input!B$15:B$24)</f>
        <v>0</v>
      </c>
      <c r="G733">
        <f t="shared" si="11"/>
        <v>0</v>
      </c>
    </row>
    <row r="734" spans="6:7" ht="15.75" customHeight="1">
      <c r="F734">
        <f>SUMIF([1]Input!A$15:A$24, A734, [1]Input!B$15:B$24)</f>
        <v>0</v>
      </c>
      <c r="G734">
        <f t="shared" si="11"/>
        <v>0</v>
      </c>
    </row>
    <row r="735" spans="6:7" ht="15.75" customHeight="1">
      <c r="F735">
        <f>SUMIF([1]Input!A$15:A$24, A735, [1]Input!B$15:B$24)</f>
        <v>0</v>
      </c>
      <c r="G735">
        <f t="shared" si="11"/>
        <v>0</v>
      </c>
    </row>
    <row r="736" spans="6:7" ht="15.75" customHeight="1">
      <c r="F736">
        <f>SUMIF([1]Input!A$15:A$24, A736, [1]Input!B$15:B$24)</f>
        <v>0</v>
      </c>
      <c r="G736">
        <f t="shared" si="11"/>
        <v>0</v>
      </c>
    </row>
    <row r="737" spans="6:7" ht="15.75" customHeight="1">
      <c r="F737">
        <f>SUMIF([1]Input!A$15:A$24, A737, [1]Input!B$15:B$24)</f>
        <v>0</v>
      </c>
      <c r="G737">
        <f t="shared" si="11"/>
        <v>0</v>
      </c>
    </row>
    <row r="738" spans="6:7" ht="15.75" customHeight="1">
      <c r="F738">
        <f>SUMIF([1]Input!A$15:A$24, A738, [1]Input!B$15:B$24)</f>
        <v>0</v>
      </c>
      <c r="G738">
        <f t="shared" si="11"/>
        <v>0</v>
      </c>
    </row>
    <row r="739" spans="6:7" ht="15.75" customHeight="1">
      <c r="F739">
        <f>SUMIF([1]Input!A$15:A$24, A739, [1]Input!B$15:B$24)</f>
        <v>0</v>
      </c>
      <c r="G739">
        <f t="shared" si="11"/>
        <v>0</v>
      </c>
    </row>
    <row r="740" spans="6:7" ht="15.75" customHeight="1">
      <c r="F740">
        <f>SUMIF([1]Input!A$15:A$24, A740, [1]Input!B$15:B$24)</f>
        <v>0</v>
      </c>
      <c r="G740">
        <f t="shared" si="11"/>
        <v>0</v>
      </c>
    </row>
    <row r="741" spans="6:7" ht="15.75" customHeight="1">
      <c r="F741">
        <f>SUMIF([1]Input!A$15:A$24, A741, [1]Input!B$15:B$24)</f>
        <v>0</v>
      </c>
      <c r="G741">
        <f t="shared" si="11"/>
        <v>0</v>
      </c>
    </row>
    <row r="742" spans="6:7" ht="15.75" customHeight="1">
      <c r="F742">
        <f>SUMIF([1]Input!A$15:A$24, A742, [1]Input!B$15:B$24)</f>
        <v>0</v>
      </c>
      <c r="G742">
        <f t="shared" si="11"/>
        <v>0</v>
      </c>
    </row>
    <row r="743" spans="6:7" ht="15.75" customHeight="1">
      <c r="F743">
        <f>SUMIF([1]Input!A$15:A$24, A743, [1]Input!B$15:B$24)</f>
        <v>0</v>
      </c>
      <c r="G743">
        <f t="shared" si="11"/>
        <v>0</v>
      </c>
    </row>
    <row r="744" spans="6:7" ht="15.75" customHeight="1">
      <c r="F744">
        <f>SUMIF([1]Input!A$15:A$24, A744, [1]Input!B$15:B$24)</f>
        <v>0</v>
      </c>
      <c r="G744">
        <f t="shared" si="11"/>
        <v>0</v>
      </c>
    </row>
    <row r="745" spans="6:7" ht="15.75" customHeight="1">
      <c r="F745">
        <f>SUMIF([1]Input!A$15:A$24, A745, [1]Input!B$15:B$24)</f>
        <v>0</v>
      </c>
      <c r="G745">
        <f t="shared" si="11"/>
        <v>0</v>
      </c>
    </row>
    <row r="746" spans="6:7" ht="15.75" customHeight="1">
      <c r="F746">
        <f>SUMIF([1]Input!A$15:A$24, A746, [1]Input!B$15:B$24)</f>
        <v>0</v>
      </c>
      <c r="G746">
        <f t="shared" si="11"/>
        <v>0</v>
      </c>
    </row>
    <row r="747" spans="6:7" ht="15.75" customHeight="1">
      <c r="F747">
        <f>SUMIF([1]Input!A$15:A$24, A747, [1]Input!B$15:B$24)</f>
        <v>0</v>
      </c>
      <c r="G747">
        <f t="shared" si="11"/>
        <v>0</v>
      </c>
    </row>
    <row r="748" spans="6:7" ht="15.75" customHeight="1">
      <c r="F748">
        <f>SUMIF([1]Input!A$15:A$24, A748, [1]Input!B$15:B$24)</f>
        <v>0</v>
      </c>
      <c r="G748">
        <f t="shared" si="11"/>
        <v>0</v>
      </c>
    </row>
    <row r="749" spans="6:7" ht="15.75" customHeight="1">
      <c r="F749">
        <f>SUMIF([1]Input!A$15:A$24, A749, [1]Input!B$15:B$24)</f>
        <v>0</v>
      </c>
      <c r="G749">
        <f t="shared" si="11"/>
        <v>0</v>
      </c>
    </row>
    <row r="750" spans="6:7" ht="15.75" customHeight="1">
      <c r="F750">
        <f>SUMIF([1]Input!A$15:A$24, A750, [1]Input!B$15:B$24)</f>
        <v>0</v>
      </c>
      <c r="G750">
        <f t="shared" si="11"/>
        <v>0</v>
      </c>
    </row>
    <row r="751" spans="6:7" ht="15.75" customHeight="1">
      <c r="F751">
        <f>SUMIF([1]Input!A$15:A$24, A751, [1]Input!B$15:B$24)</f>
        <v>0</v>
      </c>
      <c r="G751">
        <f t="shared" si="11"/>
        <v>0</v>
      </c>
    </row>
    <row r="752" spans="6:7" ht="15.75" customHeight="1">
      <c r="F752">
        <f>SUMIF([1]Input!A$15:A$24, A752, [1]Input!B$15:B$24)</f>
        <v>0</v>
      </c>
      <c r="G752">
        <f t="shared" si="11"/>
        <v>0</v>
      </c>
    </row>
    <row r="753" spans="6:7" ht="15.75" customHeight="1">
      <c r="F753">
        <f>SUMIF([1]Input!A$15:A$24, A753, [1]Input!B$15:B$24)</f>
        <v>0</v>
      </c>
      <c r="G753">
        <f t="shared" si="11"/>
        <v>0</v>
      </c>
    </row>
    <row r="754" spans="6:7" ht="15.75" customHeight="1">
      <c r="F754">
        <f>SUMIF([1]Input!A$15:A$24, A754, [1]Input!B$15:B$24)</f>
        <v>0</v>
      </c>
      <c r="G754">
        <f t="shared" si="11"/>
        <v>0</v>
      </c>
    </row>
    <row r="755" spans="6:7" ht="15.75" customHeight="1">
      <c r="F755">
        <f>SUMIF([1]Input!A$15:A$24, A755, [1]Input!B$15:B$24)</f>
        <v>0</v>
      </c>
      <c r="G755">
        <f t="shared" si="11"/>
        <v>0</v>
      </c>
    </row>
    <row r="756" spans="6:7" ht="15.75" customHeight="1">
      <c r="F756">
        <f>SUMIF([1]Input!A$15:A$24, A756, [1]Input!B$15:B$24)</f>
        <v>0</v>
      </c>
      <c r="G756">
        <f t="shared" si="11"/>
        <v>0</v>
      </c>
    </row>
    <row r="757" spans="6:7" ht="15.75" customHeight="1">
      <c r="F757">
        <f>SUMIF([1]Input!A$15:A$24, A757, [1]Input!B$15:B$24)</f>
        <v>0</v>
      </c>
      <c r="G757">
        <f t="shared" si="11"/>
        <v>0</v>
      </c>
    </row>
    <row r="758" spans="6:7" ht="15.75" customHeight="1">
      <c r="F758">
        <f>SUMIF([1]Input!A$15:A$24, A758, [1]Input!B$15:B$24)</f>
        <v>0</v>
      </c>
      <c r="G758">
        <f t="shared" si="11"/>
        <v>0</v>
      </c>
    </row>
    <row r="759" spans="6:7" ht="15.75" customHeight="1">
      <c r="F759">
        <f>SUMIF([1]Input!A$15:A$24, A759, [1]Input!B$15:B$24)</f>
        <v>0</v>
      </c>
      <c r="G759">
        <f t="shared" si="11"/>
        <v>0</v>
      </c>
    </row>
    <row r="760" spans="6:7" ht="15.75" customHeight="1">
      <c r="F760">
        <f>SUMIF([1]Input!A$15:A$24, A760, [1]Input!B$15:B$24)</f>
        <v>0</v>
      </c>
      <c r="G760">
        <f t="shared" si="11"/>
        <v>0</v>
      </c>
    </row>
    <row r="761" spans="6:7" ht="15.75" customHeight="1">
      <c r="F761">
        <f>SUMIF([1]Input!A$15:A$24, A761, [1]Input!B$15:B$24)</f>
        <v>0</v>
      </c>
      <c r="G761">
        <f t="shared" si="11"/>
        <v>0</v>
      </c>
    </row>
    <row r="762" spans="6:7" ht="15.75" customHeight="1">
      <c r="F762">
        <f>SUMIF([1]Input!A$15:A$24, A762, [1]Input!B$15:B$24)</f>
        <v>0</v>
      </c>
      <c r="G762">
        <f t="shared" si="11"/>
        <v>0</v>
      </c>
    </row>
    <row r="763" spans="6:7" ht="15.75" customHeight="1">
      <c r="F763">
        <f>SUMIF([1]Input!A$15:A$24, A763, [1]Input!B$15:B$24)</f>
        <v>0</v>
      </c>
      <c r="G763">
        <f t="shared" si="11"/>
        <v>0</v>
      </c>
    </row>
    <row r="764" spans="6:7" ht="15.75" customHeight="1">
      <c r="F764">
        <f>SUMIF([1]Input!A$15:A$24, A764, [1]Input!B$15:B$24)</f>
        <v>0</v>
      </c>
      <c r="G764">
        <f t="shared" si="11"/>
        <v>0</v>
      </c>
    </row>
    <row r="765" spans="6:7" ht="15.75" customHeight="1">
      <c r="F765">
        <f>SUMIF([1]Input!A$15:A$24, A765, [1]Input!B$15:B$24)</f>
        <v>0</v>
      </c>
      <c r="G765">
        <f t="shared" si="11"/>
        <v>0</v>
      </c>
    </row>
    <row r="766" spans="6:7" ht="15.75" customHeight="1">
      <c r="F766">
        <f>SUMIF([1]Input!A$15:A$24, A766, [1]Input!B$15:B$24)</f>
        <v>0</v>
      </c>
      <c r="G766">
        <f t="shared" si="11"/>
        <v>0</v>
      </c>
    </row>
    <row r="767" spans="6:7" ht="15.75" customHeight="1">
      <c r="F767">
        <f>SUMIF([1]Input!A$15:A$24, A767, [1]Input!B$15:B$24)</f>
        <v>0</v>
      </c>
      <c r="G767">
        <f t="shared" si="11"/>
        <v>0</v>
      </c>
    </row>
    <row r="768" spans="6:7" ht="15.75" customHeight="1">
      <c r="F768">
        <f>SUMIF([1]Input!A$15:A$24, A768, [1]Input!B$15:B$24)</f>
        <v>0</v>
      </c>
      <c r="G768">
        <f t="shared" si="11"/>
        <v>0</v>
      </c>
    </row>
    <row r="769" spans="6:7" ht="15.75" customHeight="1">
      <c r="F769">
        <f>SUMIF([1]Input!A$15:A$24, A769, [1]Input!B$15:B$24)</f>
        <v>0</v>
      </c>
      <c r="G769">
        <f t="shared" si="11"/>
        <v>0</v>
      </c>
    </row>
    <row r="770" spans="6:7" ht="15.75" customHeight="1">
      <c r="F770">
        <f>SUMIF([1]Input!A$15:A$24, A770, [1]Input!B$15:B$24)</f>
        <v>0</v>
      </c>
      <c r="G770">
        <f t="shared" si="11"/>
        <v>0</v>
      </c>
    </row>
    <row r="771" spans="6:7" ht="15.75" customHeight="1">
      <c r="F771">
        <f>SUMIF([1]Input!A$15:A$24, A771, [1]Input!B$15:B$24)</f>
        <v>0</v>
      </c>
      <c r="G771">
        <f t="shared" ref="G771:G834" si="12">B771 - F771</f>
        <v>0</v>
      </c>
    </row>
    <row r="772" spans="6:7" ht="15.75" customHeight="1">
      <c r="F772">
        <f>SUMIF([1]Input!A$15:A$24, A772, [1]Input!B$15:B$24)</f>
        <v>0</v>
      </c>
      <c r="G772">
        <f t="shared" si="12"/>
        <v>0</v>
      </c>
    </row>
    <row r="773" spans="6:7" ht="15.75" customHeight="1">
      <c r="F773">
        <f>SUMIF([1]Input!A$15:A$24, A773, [1]Input!B$15:B$24)</f>
        <v>0</v>
      </c>
      <c r="G773">
        <f t="shared" si="12"/>
        <v>0</v>
      </c>
    </row>
    <row r="774" spans="6:7" ht="15.75" customHeight="1">
      <c r="F774">
        <f>SUMIF([1]Input!A$15:A$24, A774, [1]Input!B$15:B$24)</f>
        <v>0</v>
      </c>
      <c r="G774">
        <f t="shared" si="12"/>
        <v>0</v>
      </c>
    </row>
    <row r="775" spans="6:7" ht="15.75" customHeight="1">
      <c r="F775">
        <f>SUMIF([1]Input!A$15:A$24, A775, [1]Input!B$15:B$24)</f>
        <v>0</v>
      </c>
      <c r="G775">
        <f t="shared" si="12"/>
        <v>0</v>
      </c>
    </row>
    <row r="776" spans="6:7" ht="15.75" customHeight="1">
      <c r="F776">
        <f>SUMIF([1]Input!A$15:A$24, A776, [1]Input!B$15:B$24)</f>
        <v>0</v>
      </c>
      <c r="G776">
        <f t="shared" si="12"/>
        <v>0</v>
      </c>
    </row>
    <row r="777" spans="6:7" ht="15.75" customHeight="1">
      <c r="F777">
        <f>SUMIF([1]Input!A$15:A$24, A777, [1]Input!B$15:B$24)</f>
        <v>0</v>
      </c>
      <c r="G777">
        <f t="shared" si="12"/>
        <v>0</v>
      </c>
    </row>
    <row r="778" spans="6:7" ht="15.75" customHeight="1">
      <c r="F778">
        <f>SUMIF([1]Input!A$15:A$24, A778, [1]Input!B$15:B$24)</f>
        <v>0</v>
      </c>
      <c r="G778">
        <f t="shared" si="12"/>
        <v>0</v>
      </c>
    </row>
    <row r="779" spans="6:7" ht="15.75" customHeight="1">
      <c r="F779">
        <f>SUMIF([1]Input!A$15:A$24, A779, [1]Input!B$15:B$24)</f>
        <v>0</v>
      </c>
      <c r="G779">
        <f t="shared" si="12"/>
        <v>0</v>
      </c>
    </row>
    <row r="780" spans="6:7" ht="15.75" customHeight="1">
      <c r="F780">
        <f>SUMIF([1]Input!A$15:A$24, A780, [1]Input!B$15:B$24)</f>
        <v>0</v>
      </c>
      <c r="G780">
        <f t="shared" si="12"/>
        <v>0</v>
      </c>
    </row>
    <row r="781" spans="6:7" ht="15.75" customHeight="1">
      <c r="F781">
        <f>SUMIF([1]Input!A$15:A$24, A781, [1]Input!B$15:B$24)</f>
        <v>0</v>
      </c>
      <c r="G781">
        <f t="shared" si="12"/>
        <v>0</v>
      </c>
    </row>
    <row r="782" spans="6:7" ht="15.75" customHeight="1">
      <c r="F782">
        <f>SUMIF([1]Input!A$15:A$24, A782, [1]Input!B$15:B$24)</f>
        <v>0</v>
      </c>
      <c r="G782">
        <f t="shared" si="12"/>
        <v>0</v>
      </c>
    </row>
    <row r="783" spans="6:7" ht="15.75" customHeight="1">
      <c r="F783">
        <f>SUMIF([1]Input!A$15:A$24, A783, [1]Input!B$15:B$24)</f>
        <v>0</v>
      </c>
      <c r="G783">
        <f t="shared" si="12"/>
        <v>0</v>
      </c>
    </row>
    <row r="784" spans="6:7" ht="15.75" customHeight="1">
      <c r="F784">
        <f>SUMIF([1]Input!A$15:A$24, A784, [1]Input!B$15:B$24)</f>
        <v>0</v>
      </c>
      <c r="G784">
        <f t="shared" si="12"/>
        <v>0</v>
      </c>
    </row>
    <row r="785" spans="6:7" ht="15.75" customHeight="1">
      <c r="F785">
        <f>SUMIF([1]Input!A$15:A$24, A785, [1]Input!B$15:B$24)</f>
        <v>0</v>
      </c>
      <c r="G785">
        <f t="shared" si="12"/>
        <v>0</v>
      </c>
    </row>
    <row r="786" spans="6:7" ht="15.75" customHeight="1">
      <c r="F786">
        <f>SUMIF([1]Input!A$15:A$24, A786, [1]Input!B$15:B$24)</f>
        <v>0</v>
      </c>
      <c r="G786">
        <f t="shared" si="12"/>
        <v>0</v>
      </c>
    </row>
    <row r="787" spans="6:7" ht="15.75" customHeight="1">
      <c r="F787">
        <f>SUMIF([1]Input!A$15:A$24, A787, [1]Input!B$15:B$24)</f>
        <v>0</v>
      </c>
      <c r="G787">
        <f t="shared" si="12"/>
        <v>0</v>
      </c>
    </row>
    <row r="788" spans="6:7" ht="15.75" customHeight="1">
      <c r="F788">
        <f>SUMIF([1]Input!A$15:A$24, A788, [1]Input!B$15:B$24)</f>
        <v>0</v>
      </c>
      <c r="G788">
        <f t="shared" si="12"/>
        <v>0</v>
      </c>
    </row>
    <row r="789" spans="6:7" ht="15.75" customHeight="1">
      <c r="F789">
        <f>SUMIF([1]Input!A$15:A$24, A789, [1]Input!B$15:B$24)</f>
        <v>0</v>
      </c>
      <c r="G789">
        <f t="shared" si="12"/>
        <v>0</v>
      </c>
    </row>
    <row r="790" spans="6:7" ht="15.75" customHeight="1">
      <c r="F790">
        <f>SUMIF([1]Input!A$15:A$24, A790, [1]Input!B$15:B$24)</f>
        <v>0</v>
      </c>
      <c r="G790">
        <f t="shared" si="12"/>
        <v>0</v>
      </c>
    </row>
    <row r="791" spans="6:7" ht="15.75" customHeight="1">
      <c r="F791">
        <f>SUMIF([1]Input!A$15:A$24, A791, [1]Input!B$15:B$24)</f>
        <v>0</v>
      </c>
      <c r="G791">
        <f t="shared" si="12"/>
        <v>0</v>
      </c>
    </row>
    <row r="792" spans="6:7" ht="15.75" customHeight="1">
      <c r="F792">
        <f>SUMIF([1]Input!A$15:A$24, A792, [1]Input!B$15:B$24)</f>
        <v>0</v>
      </c>
      <c r="G792">
        <f t="shared" si="12"/>
        <v>0</v>
      </c>
    </row>
    <row r="793" spans="6:7" ht="15.75" customHeight="1">
      <c r="F793">
        <f>SUMIF([1]Input!A$15:A$24, A793, [1]Input!B$15:B$24)</f>
        <v>0</v>
      </c>
      <c r="G793">
        <f t="shared" si="12"/>
        <v>0</v>
      </c>
    </row>
    <row r="794" spans="6:7" ht="15.75" customHeight="1">
      <c r="F794">
        <f>SUMIF([1]Input!A$15:A$24, A794, [1]Input!B$15:B$24)</f>
        <v>0</v>
      </c>
      <c r="G794">
        <f t="shared" si="12"/>
        <v>0</v>
      </c>
    </row>
    <row r="795" spans="6:7" ht="15.75" customHeight="1">
      <c r="F795">
        <f>SUMIF([1]Input!A$15:A$24, A795, [1]Input!B$15:B$24)</f>
        <v>0</v>
      </c>
      <c r="G795">
        <f t="shared" si="12"/>
        <v>0</v>
      </c>
    </row>
    <row r="796" spans="6:7" ht="15.75" customHeight="1">
      <c r="F796">
        <f>SUMIF([1]Input!A$15:A$24, A796, [1]Input!B$15:B$24)</f>
        <v>0</v>
      </c>
      <c r="G796">
        <f t="shared" si="12"/>
        <v>0</v>
      </c>
    </row>
    <row r="797" spans="6:7" ht="15.75" customHeight="1">
      <c r="F797">
        <f>SUMIF([1]Input!A$15:A$24, A797, [1]Input!B$15:B$24)</f>
        <v>0</v>
      </c>
      <c r="G797">
        <f t="shared" si="12"/>
        <v>0</v>
      </c>
    </row>
    <row r="798" spans="6:7" ht="15.75" customHeight="1">
      <c r="F798">
        <f>SUMIF([1]Input!A$15:A$24, A798, [1]Input!B$15:B$24)</f>
        <v>0</v>
      </c>
      <c r="G798">
        <f t="shared" si="12"/>
        <v>0</v>
      </c>
    </row>
    <row r="799" spans="6:7" ht="15.75" customHeight="1">
      <c r="F799">
        <f>SUMIF([1]Input!A$15:A$24, A799, [1]Input!B$15:B$24)</f>
        <v>0</v>
      </c>
      <c r="G799">
        <f t="shared" si="12"/>
        <v>0</v>
      </c>
    </row>
    <row r="800" spans="6:7" ht="15.75" customHeight="1">
      <c r="F800">
        <f>SUMIF([1]Input!A$15:A$24, A800, [1]Input!B$15:B$24)</f>
        <v>0</v>
      </c>
      <c r="G800">
        <f t="shared" si="12"/>
        <v>0</v>
      </c>
    </row>
    <row r="801" spans="6:7" ht="15.75" customHeight="1">
      <c r="F801">
        <f>SUMIF([1]Input!A$15:A$24, A801, [1]Input!B$15:B$24)</f>
        <v>0</v>
      </c>
      <c r="G801">
        <f t="shared" si="12"/>
        <v>0</v>
      </c>
    </row>
    <row r="802" spans="6:7" ht="15.75" customHeight="1">
      <c r="F802">
        <f>SUMIF([1]Input!A$15:A$24, A802, [1]Input!B$15:B$24)</f>
        <v>0</v>
      </c>
      <c r="G802">
        <f t="shared" si="12"/>
        <v>0</v>
      </c>
    </row>
    <row r="803" spans="6:7" ht="15.75" customHeight="1">
      <c r="F803">
        <f>SUMIF([1]Input!A$15:A$24, A803, [1]Input!B$15:B$24)</f>
        <v>0</v>
      </c>
      <c r="G803">
        <f t="shared" si="12"/>
        <v>0</v>
      </c>
    </row>
    <row r="804" spans="6:7" ht="15.75" customHeight="1">
      <c r="F804">
        <f>SUMIF([1]Input!A$15:A$24, A804, [1]Input!B$15:B$24)</f>
        <v>0</v>
      </c>
      <c r="G804">
        <f t="shared" si="12"/>
        <v>0</v>
      </c>
    </row>
    <row r="805" spans="6:7" ht="15.75" customHeight="1">
      <c r="F805">
        <f>SUMIF([1]Input!A$15:A$24, A805, [1]Input!B$15:B$24)</f>
        <v>0</v>
      </c>
      <c r="G805">
        <f t="shared" si="12"/>
        <v>0</v>
      </c>
    </row>
    <row r="806" spans="6:7" ht="15.75" customHeight="1">
      <c r="F806">
        <f>SUMIF([1]Input!A$15:A$24, A806, [1]Input!B$15:B$24)</f>
        <v>0</v>
      </c>
      <c r="G806">
        <f t="shared" si="12"/>
        <v>0</v>
      </c>
    </row>
    <row r="807" spans="6:7" ht="15.75" customHeight="1">
      <c r="F807">
        <f>SUMIF([1]Input!A$15:A$24, A807, [1]Input!B$15:B$24)</f>
        <v>0</v>
      </c>
      <c r="G807">
        <f t="shared" si="12"/>
        <v>0</v>
      </c>
    </row>
    <row r="808" spans="6:7" ht="15.75" customHeight="1">
      <c r="F808">
        <f>SUMIF([1]Input!A$15:A$24, A808, [1]Input!B$15:B$24)</f>
        <v>0</v>
      </c>
      <c r="G808">
        <f t="shared" si="12"/>
        <v>0</v>
      </c>
    </row>
    <row r="809" spans="6:7" ht="15.75" customHeight="1">
      <c r="F809">
        <f>SUMIF([1]Input!A$15:A$24, A809, [1]Input!B$15:B$24)</f>
        <v>0</v>
      </c>
      <c r="G809">
        <f t="shared" si="12"/>
        <v>0</v>
      </c>
    </row>
    <row r="810" spans="6:7" ht="15.75" customHeight="1">
      <c r="F810">
        <f>SUMIF([1]Input!A$15:A$24, A810, [1]Input!B$15:B$24)</f>
        <v>0</v>
      </c>
      <c r="G810">
        <f t="shared" si="12"/>
        <v>0</v>
      </c>
    </row>
    <row r="811" spans="6:7" ht="15.75" customHeight="1">
      <c r="F811">
        <f>SUMIF([1]Input!A$15:A$24, A811, [1]Input!B$15:B$24)</f>
        <v>0</v>
      </c>
      <c r="G811">
        <f t="shared" si="12"/>
        <v>0</v>
      </c>
    </row>
    <row r="812" spans="6:7" ht="15.75" customHeight="1">
      <c r="F812">
        <f>SUMIF([1]Input!A$15:A$24, A812, [1]Input!B$15:B$24)</f>
        <v>0</v>
      </c>
      <c r="G812">
        <f t="shared" si="12"/>
        <v>0</v>
      </c>
    </row>
    <row r="813" spans="6:7" ht="15.75" customHeight="1">
      <c r="F813">
        <f>SUMIF([1]Input!A$15:A$24, A813, [1]Input!B$15:B$24)</f>
        <v>0</v>
      </c>
      <c r="G813">
        <f t="shared" si="12"/>
        <v>0</v>
      </c>
    </row>
    <row r="814" spans="6:7" ht="15.75" customHeight="1">
      <c r="F814">
        <f>SUMIF([1]Input!A$15:A$24, A814, [1]Input!B$15:B$24)</f>
        <v>0</v>
      </c>
      <c r="G814">
        <f t="shared" si="12"/>
        <v>0</v>
      </c>
    </row>
    <row r="815" spans="6:7" ht="15.75" customHeight="1">
      <c r="F815">
        <f>SUMIF([1]Input!A$15:A$24, A815, [1]Input!B$15:B$24)</f>
        <v>0</v>
      </c>
      <c r="G815">
        <f t="shared" si="12"/>
        <v>0</v>
      </c>
    </row>
    <row r="816" spans="6:7" ht="15.75" customHeight="1">
      <c r="F816">
        <f>SUMIF([1]Input!A$15:A$24, A816, [1]Input!B$15:B$24)</f>
        <v>0</v>
      </c>
      <c r="G816">
        <f t="shared" si="12"/>
        <v>0</v>
      </c>
    </row>
    <row r="817" spans="6:7" ht="15.75" customHeight="1">
      <c r="F817">
        <f>SUMIF([1]Input!A$15:A$24, A817, [1]Input!B$15:B$24)</f>
        <v>0</v>
      </c>
      <c r="G817">
        <f t="shared" si="12"/>
        <v>0</v>
      </c>
    </row>
    <row r="818" spans="6:7" ht="15.75" customHeight="1">
      <c r="F818">
        <f>SUMIF([1]Input!A$15:A$24, A818, [1]Input!B$15:B$24)</f>
        <v>0</v>
      </c>
      <c r="G818">
        <f t="shared" si="12"/>
        <v>0</v>
      </c>
    </row>
    <row r="819" spans="6:7" ht="15.75" customHeight="1">
      <c r="F819">
        <f>SUMIF([1]Input!A$15:A$24, A819, [1]Input!B$15:B$24)</f>
        <v>0</v>
      </c>
      <c r="G819">
        <f t="shared" si="12"/>
        <v>0</v>
      </c>
    </row>
    <row r="820" spans="6:7" ht="15.75" customHeight="1">
      <c r="F820">
        <f>SUMIF([1]Input!A$15:A$24, A820, [1]Input!B$15:B$24)</f>
        <v>0</v>
      </c>
      <c r="G820">
        <f t="shared" si="12"/>
        <v>0</v>
      </c>
    </row>
    <row r="821" spans="6:7" ht="15.75" customHeight="1">
      <c r="F821">
        <f>SUMIF([1]Input!A$15:A$24, A821, [1]Input!B$15:B$24)</f>
        <v>0</v>
      </c>
      <c r="G821">
        <f t="shared" si="12"/>
        <v>0</v>
      </c>
    </row>
    <row r="822" spans="6:7" ht="15.75" customHeight="1">
      <c r="F822">
        <f>SUMIF([1]Input!A$15:A$24, A822, [1]Input!B$15:B$24)</f>
        <v>0</v>
      </c>
      <c r="G822">
        <f t="shared" si="12"/>
        <v>0</v>
      </c>
    </row>
    <row r="823" spans="6:7" ht="15.75" customHeight="1">
      <c r="F823">
        <f>SUMIF([1]Input!A$15:A$24, A823, [1]Input!B$15:B$24)</f>
        <v>0</v>
      </c>
      <c r="G823">
        <f t="shared" si="12"/>
        <v>0</v>
      </c>
    </row>
    <row r="824" spans="6:7" ht="15.75" customHeight="1">
      <c r="F824">
        <f>SUMIF([1]Input!A$15:A$24, A824, [1]Input!B$15:B$24)</f>
        <v>0</v>
      </c>
      <c r="G824">
        <f t="shared" si="12"/>
        <v>0</v>
      </c>
    </row>
    <row r="825" spans="6:7" ht="15.75" customHeight="1">
      <c r="F825">
        <f>SUMIF([1]Input!A$15:A$24, A825, [1]Input!B$15:B$24)</f>
        <v>0</v>
      </c>
      <c r="G825">
        <f t="shared" si="12"/>
        <v>0</v>
      </c>
    </row>
    <row r="826" spans="6:7" ht="15.75" customHeight="1">
      <c r="F826">
        <f>SUMIF([1]Input!A$15:A$24, A826, [1]Input!B$15:B$24)</f>
        <v>0</v>
      </c>
      <c r="G826">
        <f t="shared" si="12"/>
        <v>0</v>
      </c>
    </row>
    <row r="827" spans="6:7" ht="15.75" customHeight="1">
      <c r="F827">
        <f>SUMIF([1]Input!A$15:A$24, A827, [1]Input!B$15:B$24)</f>
        <v>0</v>
      </c>
      <c r="G827">
        <f t="shared" si="12"/>
        <v>0</v>
      </c>
    </row>
    <row r="828" spans="6:7" ht="15.75" customHeight="1">
      <c r="F828">
        <f>SUMIF([1]Input!A$15:A$24, A828, [1]Input!B$15:B$24)</f>
        <v>0</v>
      </c>
      <c r="G828">
        <f t="shared" si="12"/>
        <v>0</v>
      </c>
    </row>
    <row r="829" spans="6:7" ht="15.75" customHeight="1">
      <c r="F829">
        <f>SUMIF([1]Input!A$15:A$24, A829, [1]Input!B$15:B$24)</f>
        <v>0</v>
      </c>
      <c r="G829">
        <f t="shared" si="12"/>
        <v>0</v>
      </c>
    </row>
    <row r="830" spans="6:7" ht="15.75" customHeight="1">
      <c r="F830">
        <f>SUMIF([1]Input!A$15:A$24, A830, [1]Input!B$15:B$24)</f>
        <v>0</v>
      </c>
      <c r="G830">
        <f t="shared" si="12"/>
        <v>0</v>
      </c>
    </row>
    <row r="831" spans="6:7" ht="15.75" customHeight="1">
      <c r="F831">
        <f>SUMIF([1]Input!A$15:A$24, A831, [1]Input!B$15:B$24)</f>
        <v>0</v>
      </c>
      <c r="G831">
        <f t="shared" si="12"/>
        <v>0</v>
      </c>
    </row>
    <row r="832" spans="6:7" ht="15.75" customHeight="1">
      <c r="F832">
        <f>SUMIF([1]Input!A$15:A$24, A832, [1]Input!B$15:B$24)</f>
        <v>0</v>
      </c>
      <c r="G832">
        <f t="shared" si="12"/>
        <v>0</v>
      </c>
    </row>
    <row r="833" spans="6:7" ht="15.75" customHeight="1">
      <c r="F833">
        <f>SUMIF([1]Input!A$15:A$24, A833, [1]Input!B$15:B$24)</f>
        <v>0</v>
      </c>
      <c r="G833">
        <f t="shared" si="12"/>
        <v>0</v>
      </c>
    </row>
    <row r="834" spans="6:7" ht="15.75" customHeight="1">
      <c r="F834">
        <f>SUMIF([1]Input!A$15:A$24, A834, [1]Input!B$15:B$24)</f>
        <v>0</v>
      </c>
      <c r="G834">
        <f t="shared" si="12"/>
        <v>0</v>
      </c>
    </row>
    <row r="835" spans="6:7" ht="15.75" customHeight="1">
      <c r="F835">
        <f>SUMIF([1]Input!A$15:A$24, A835, [1]Input!B$15:B$24)</f>
        <v>0</v>
      </c>
      <c r="G835">
        <f t="shared" ref="G835:G898" si="13">B835 - F835</f>
        <v>0</v>
      </c>
    </row>
    <row r="836" spans="6:7" ht="15.75" customHeight="1">
      <c r="F836">
        <f>SUMIF([1]Input!A$15:A$24, A836, [1]Input!B$15:B$24)</f>
        <v>0</v>
      </c>
      <c r="G836">
        <f t="shared" si="13"/>
        <v>0</v>
      </c>
    </row>
    <row r="837" spans="6:7" ht="15.75" customHeight="1">
      <c r="F837">
        <f>SUMIF([1]Input!A$15:A$24, A837, [1]Input!B$15:B$24)</f>
        <v>0</v>
      </c>
      <c r="G837">
        <f t="shared" si="13"/>
        <v>0</v>
      </c>
    </row>
    <row r="838" spans="6:7" ht="15.75" customHeight="1">
      <c r="F838">
        <f>SUMIF([1]Input!A$15:A$24, A838, [1]Input!B$15:B$24)</f>
        <v>0</v>
      </c>
      <c r="G838">
        <f t="shared" si="13"/>
        <v>0</v>
      </c>
    </row>
    <row r="839" spans="6:7" ht="15.75" customHeight="1">
      <c r="F839">
        <f>SUMIF([1]Input!A$15:A$24, A839, [1]Input!B$15:B$24)</f>
        <v>0</v>
      </c>
      <c r="G839">
        <f t="shared" si="13"/>
        <v>0</v>
      </c>
    </row>
    <row r="840" spans="6:7" ht="15.75" customHeight="1">
      <c r="F840">
        <f>SUMIF([1]Input!A$15:A$24, A840, [1]Input!B$15:B$24)</f>
        <v>0</v>
      </c>
      <c r="G840">
        <f t="shared" si="13"/>
        <v>0</v>
      </c>
    </row>
    <row r="841" spans="6:7" ht="15.75" customHeight="1">
      <c r="F841">
        <f>SUMIF([1]Input!A$15:A$24, A841, [1]Input!B$15:B$24)</f>
        <v>0</v>
      </c>
      <c r="G841">
        <f t="shared" si="13"/>
        <v>0</v>
      </c>
    </row>
    <row r="842" spans="6:7" ht="15.75" customHeight="1">
      <c r="F842">
        <f>SUMIF([1]Input!A$15:A$24, A842, [1]Input!B$15:B$24)</f>
        <v>0</v>
      </c>
      <c r="G842">
        <f t="shared" si="13"/>
        <v>0</v>
      </c>
    </row>
    <row r="843" spans="6:7" ht="15.75" customHeight="1">
      <c r="F843">
        <f>SUMIF([1]Input!A$15:A$24, A843, [1]Input!B$15:B$24)</f>
        <v>0</v>
      </c>
      <c r="G843">
        <f t="shared" si="13"/>
        <v>0</v>
      </c>
    </row>
    <row r="844" spans="6:7" ht="15.75" customHeight="1">
      <c r="F844">
        <f>SUMIF([1]Input!A$15:A$24, A844, [1]Input!B$15:B$24)</f>
        <v>0</v>
      </c>
      <c r="G844">
        <f t="shared" si="13"/>
        <v>0</v>
      </c>
    </row>
    <row r="845" spans="6:7" ht="15.75" customHeight="1">
      <c r="F845">
        <f>SUMIF([1]Input!A$15:A$24, A845, [1]Input!B$15:B$24)</f>
        <v>0</v>
      </c>
      <c r="G845">
        <f t="shared" si="13"/>
        <v>0</v>
      </c>
    </row>
    <row r="846" spans="6:7" ht="15.75" customHeight="1">
      <c r="F846">
        <f>SUMIF([1]Input!A$15:A$24, A846, [1]Input!B$15:B$24)</f>
        <v>0</v>
      </c>
      <c r="G846">
        <f t="shared" si="13"/>
        <v>0</v>
      </c>
    </row>
    <row r="847" spans="6:7" ht="15.75" customHeight="1">
      <c r="F847">
        <f>SUMIF([1]Input!A$15:A$24, A847, [1]Input!B$15:B$24)</f>
        <v>0</v>
      </c>
      <c r="G847">
        <f t="shared" si="13"/>
        <v>0</v>
      </c>
    </row>
    <row r="848" spans="6:7" ht="15.75" customHeight="1">
      <c r="F848">
        <f>SUMIF([1]Input!A$15:A$24, A848, [1]Input!B$15:B$24)</f>
        <v>0</v>
      </c>
      <c r="G848">
        <f t="shared" si="13"/>
        <v>0</v>
      </c>
    </row>
    <row r="849" spans="6:7" ht="15.75" customHeight="1">
      <c r="F849">
        <f>SUMIF([1]Input!A$15:A$24, A849, [1]Input!B$15:B$24)</f>
        <v>0</v>
      </c>
      <c r="G849">
        <f t="shared" si="13"/>
        <v>0</v>
      </c>
    </row>
    <row r="850" spans="6:7" ht="15.75" customHeight="1">
      <c r="F850">
        <f>SUMIF([1]Input!A$15:A$24, A850, [1]Input!B$15:B$24)</f>
        <v>0</v>
      </c>
      <c r="G850">
        <f t="shared" si="13"/>
        <v>0</v>
      </c>
    </row>
    <row r="851" spans="6:7" ht="15.75" customHeight="1">
      <c r="F851">
        <f>SUMIF([1]Input!A$15:A$24, A851, [1]Input!B$15:B$24)</f>
        <v>0</v>
      </c>
      <c r="G851">
        <f t="shared" si="13"/>
        <v>0</v>
      </c>
    </row>
    <row r="852" spans="6:7" ht="15.75" customHeight="1">
      <c r="F852">
        <f>SUMIF([1]Input!A$15:A$24, A852, [1]Input!B$15:B$24)</f>
        <v>0</v>
      </c>
      <c r="G852">
        <f t="shared" si="13"/>
        <v>0</v>
      </c>
    </row>
    <row r="853" spans="6:7" ht="15.75" customHeight="1">
      <c r="F853">
        <f>SUMIF([1]Input!A$15:A$24, A853, [1]Input!B$15:B$24)</f>
        <v>0</v>
      </c>
      <c r="G853">
        <f t="shared" si="13"/>
        <v>0</v>
      </c>
    </row>
    <row r="854" spans="6:7" ht="15.75" customHeight="1">
      <c r="F854">
        <f>SUMIF([1]Input!A$15:A$24, A854, [1]Input!B$15:B$24)</f>
        <v>0</v>
      </c>
      <c r="G854">
        <f t="shared" si="13"/>
        <v>0</v>
      </c>
    </row>
    <row r="855" spans="6:7" ht="15.75" customHeight="1">
      <c r="F855">
        <f>SUMIF([1]Input!A$15:A$24, A855, [1]Input!B$15:B$24)</f>
        <v>0</v>
      </c>
      <c r="G855">
        <f t="shared" si="13"/>
        <v>0</v>
      </c>
    </row>
    <row r="856" spans="6:7" ht="15.75" customHeight="1">
      <c r="F856">
        <f>SUMIF([1]Input!A$15:A$24, A856, [1]Input!B$15:B$24)</f>
        <v>0</v>
      </c>
      <c r="G856">
        <f t="shared" si="13"/>
        <v>0</v>
      </c>
    </row>
    <row r="857" spans="6:7" ht="15.75" customHeight="1">
      <c r="F857">
        <f>SUMIF([1]Input!A$15:A$24, A857, [1]Input!B$15:B$24)</f>
        <v>0</v>
      </c>
      <c r="G857">
        <f t="shared" si="13"/>
        <v>0</v>
      </c>
    </row>
    <row r="858" spans="6:7" ht="15.75" customHeight="1">
      <c r="F858">
        <f>SUMIF([1]Input!A$15:A$24, A858, [1]Input!B$15:B$24)</f>
        <v>0</v>
      </c>
      <c r="G858">
        <f t="shared" si="13"/>
        <v>0</v>
      </c>
    </row>
    <row r="859" spans="6:7" ht="15.75" customHeight="1">
      <c r="F859">
        <f>SUMIF([1]Input!A$15:A$24, A859, [1]Input!B$15:B$24)</f>
        <v>0</v>
      </c>
      <c r="G859">
        <f t="shared" si="13"/>
        <v>0</v>
      </c>
    </row>
    <row r="860" spans="6:7" ht="15.75" customHeight="1">
      <c r="F860">
        <f>SUMIF([1]Input!A$15:A$24, A860, [1]Input!B$15:B$24)</f>
        <v>0</v>
      </c>
      <c r="G860">
        <f t="shared" si="13"/>
        <v>0</v>
      </c>
    </row>
    <row r="861" spans="6:7" ht="15.75" customHeight="1">
      <c r="F861">
        <f>SUMIF([1]Input!A$15:A$24, A861, [1]Input!B$15:B$24)</f>
        <v>0</v>
      </c>
      <c r="G861">
        <f t="shared" si="13"/>
        <v>0</v>
      </c>
    </row>
    <row r="862" spans="6:7" ht="15.75" customHeight="1">
      <c r="F862">
        <f>SUMIF([1]Input!A$15:A$24, A862, [1]Input!B$15:B$24)</f>
        <v>0</v>
      </c>
      <c r="G862">
        <f t="shared" si="13"/>
        <v>0</v>
      </c>
    </row>
    <row r="863" spans="6:7" ht="15.75" customHeight="1">
      <c r="F863">
        <f>SUMIF([1]Input!A$15:A$24, A863, [1]Input!B$15:B$24)</f>
        <v>0</v>
      </c>
      <c r="G863">
        <f t="shared" si="13"/>
        <v>0</v>
      </c>
    </row>
    <row r="864" spans="6:7" ht="15.75" customHeight="1">
      <c r="F864">
        <f>SUMIF([1]Input!A$15:A$24, A864, [1]Input!B$15:B$24)</f>
        <v>0</v>
      </c>
      <c r="G864">
        <f t="shared" si="13"/>
        <v>0</v>
      </c>
    </row>
    <row r="865" spans="6:7" ht="15.75" customHeight="1">
      <c r="F865">
        <f>SUMIF([1]Input!A$15:A$24, A865, [1]Input!B$15:B$24)</f>
        <v>0</v>
      </c>
      <c r="G865">
        <f t="shared" si="13"/>
        <v>0</v>
      </c>
    </row>
    <row r="866" spans="6:7" ht="15.75" customHeight="1">
      <c r="F866">
        <f>SUMIF([1]Input!A$15:A$24, A866, [1]Input!B$15:B$24)</f>
        <v>0</v>
      </c>
      <c r="G866">
        <f t="shared" si="13"/>
        <v>0</v>
      </c>
    </row>
    <row r="867" spans="6:7" ht="15.75" customHeight="1">
      <c r="F867">
        <f>SUMIF([1]Input!A$15:A$24, A867, [1]Input!B$15:B$24)</f>
        <v>0</v>
      </c>
      <c r="G867">
        <f t="shared" si="13"/>
        <v>0</v>
      </c>
    </row>
    <row r="868" spans="6:7" ht="15.75" customHeight="1">
      <c r="F868">
        <f>SUMIF([1]Input!A$15:A$24, A868, [1]Input!B$15:B$24)</f>
        <v>0</v>
      </c>
      <c r="G868">
        <f t="shared" si="13"/>
        <v>0</v>
      </c>
    </row>
    <row r="869" spans="6:7" ht="15.75" customHeight="1">
      <c r="F869">
        <f>SUMIF([1]Input!A$15:A$24, A869, [1]Input!B$15:B$24)</f>
        <v>0</v>
      </c>
      <c r="G869">
        <f t="shared" si="13"/>
        <v>0</v>
      </c>
    </row>
    <row r="870" spans="6:7" ht="15.75" customHeight="1">
      <c r="F870">
        <f>SUMIF([1]Input!A$15:A$24, A870, [1]Input!B$15:B$24)</f>
        <v>0</v>
      </c>
      <c r="G870">
        <f t="shared" si="13"/>
        <v>0</v>
      </c>
    </row>
    <row r="871" spans="6:7" ht="15.75" customHeight="1">
      <c r="F871">
        <f>SUMIF([1]Input!A$15:A$24, A871, [1]Input!B$15:B$24)</f>
        <v>0</v>
      </c>
      <c r="G871">
        <f t="shared" si="13"/>
        <v>0</v>
      </c>
    </row>
    <row r="872" spans="6:7" ht="15.75" customHeight="1">
      <c r="F872">
        <f>SUMIF([1]Input!A$15:A$24, A872, [1]Input!B$15:B$24)</f>
        <v>0</v>
      </c>
      <c r="G872">
        <f t="shared" si="13"/>
        <v>0</v>
      </c>
    </row>
    <row r="873" spans="6:7" ht="15.75" customHeight="1">
      <c r="F873">
        <f>SUMIF([1]Input!A$15:A$24, A873, [1]Input!B$15:B$24)</f>
        <v>0</v>
      </c>
      <c r="G873">
        <f t="shared" si="13"/>
        <v>0</v>
      </c>
    </row>
    <row r="874" spans="6:7" ht="15.75" customHeight="1">
      <c r="F874">
        <f>SUMIF([1]Input!A$15:A$24, A874, [1]Input!B$15:B$24)</f>
        <v>0</v>
      </c>
      <c r="G874">
        <f t="shared" si="13"/>
        <v>0</v>
      </c>
    </row>
    <row r="875" spans="6:7" ht="15.75" customHeight="1">
      <c r="F875">
        <f>SUMIF([1]Input!A$15:A$24, A875, [1]Input!B$15:B$24)</f>
        <v>0</v>
      </c>
      <c r="G875">
        <f t="shared" si="13"/>
        <v>0</v>
      </c>
    </row>
    <row r="876" spans="6:7" ht="15.75" customHeight="1">
      <c r="F876">
        <f>SUMIF([1]Input!A$15:A$24, A876, [1]Input!B$15:B$24)</f>
        <v>0</v>
      </c>
      <c r="G876">
        <f t="shared" si="13"/>
        <v>0</v>
      </c>
    </row>
    <row r="877" spans="6:7" ht="15.75" customHeight="1">
      <c r="F877">
        <f>SUMIF([1]Input!A$15:A$24, A877, [1]Input!B$15:B$24)</f>
        <v>0</v>
      </c>
      <c r="G877">
        <f t="shared" si="13"/>
        <v>0</v>
      </c>
    </row>
    <row r="878" spans="6:7" ht="15.75" customHeight="1">
      <c r="F878">
        <f>SUMIF([1]Input!A$15:A$24, A878, [1]Input!B$15:B$24)</f>
        <v>0</v>
      </c>
      <c r="G878">
        <f t="shared" si="13"/>
        <v>0</v>
      </c>
    </row>
    <row r="879" spans="6:7" ht="15.75" customHeight="1">
      <c r="F879">
        <f>SUMIF([1]Input!A$15:A$24, A879, [1]Input!B$15:B$24)</f>
        <v>0</v>
      </c>
      <c r="G879">
        <f t="shared" si="13"/>
        <v>0</v>
      </c>
    </row>
    <row r="880" spans="6:7" ht="15.75" customHeight="1">
      <c r="F880">
        <f>SUMIF([1]Input!A$15:A$24, A880, [1]Input!B$15:B$24)</f>
        <v>0</v>
      </c>
      <c r="G880">
        <f t="shared" si="13"/>
        <v>0</v>
      </c>
    </row>
    <row r="881" spans="6:7" ht="15.75" customHeight="1">
      <c r="F881">
        <f>SUMIF([1]Input!A$15:A$24, A881, [1]Input!B$15:B$24)</f>
        <v>0</v>
      </c>
      <c r="G881">
        <f t="shared" si="13"/>
        <v>0</v>
      </c>
    </row>
    <row r="882" spans="6:7" ht="15.75" customHeight="1">
      <c r="F882">
        <f>SUMIF([1]Input!A$15:A$24, A882, [1]Input!B$15:B$24)</f>
        <v>0</v>
      </c>
      <c r="G882">
        <f t="shared" si="13"/>
        <v>0</v>
      </c>
    </row>
    <row r="883" spans="6:7" ht="15.75" customHeight="1">
      <c r="F883">
        <f>SUMIF([1]Input!A$15:A$24, A883, [1]Input!B$15:B$24)</f>
        <v>0</v>
      </c>
      <c r="G883">
        <f t="shared" si="13"/>
        <v>0</v>
      </c>
    </row>
    <row r="884" spans="6:7" ht="15.75" customHeight="1">
      <c r="F884">
        <f>SUMIF([1]Input!A$15:A$24, A884, [1]Input!B$15:B$24)</f>
        <v>0</v>
      </c>
      <c r="G884">
        <f t="shared" si="13"/>
        <v>0</v>
      </c>
    </row>
    <row r="885" spans="6:7" ht="15.75" customHeight="1">
      <c r="F885">
        <f>SUMIF([1]Input!A$15:A$24, A885, [1]Input!B$15:B$24)</f>
        <v>0</v>
      </c>
      <c r="G885">
        <f t="shared" si="13"/>
        <v>0</v>
      </c>
    </row>
    <row r="886" spans="6:7" ht="15.75" customHeight="1">
      <c r="F886">
        <f>SUMIF([1]Input!A$15:A$24, A886, [1]Input!B$15:B$24)</f>
        <v>0</v>
      </c>
      <c r="G886">
        <f t="shared" si="13"/>
        <v>0</v>
      </c>
    </row>
    <row r="887" spans="6:7" ht="15.75" customHeight="1">
      <c r="F887">
        <f>SUMIF([1]Input!A$15:A$24, A887, [1]Input!B$15:B$24)</f>
        <v>0</v>
      </c>
      <c r="G887">
        <f t="shared" si="13"/>
        <v>0</v>
      </c>
    </row>
    <row r="888" spans="6:7" ht="15.75" customHeight="1">
      <c r="F888">
        <f>SUMIF([1]Input!A$15:A$24, A888, [1]Input!B$15:B$24)</f>
        <v>0</v>
      </c>
      <c r="G888">
        <f t="shared" si="13"/>
        <v>0</v>
      </c>
    </row>
    <row r="889" spans="6:7" ht="15.75" customHeight="1">
      <c r="F889">
        <f>SUMIF([1]Input!A$15:A$24, A889, [1]Input!B$15:B$24)</f>
        <v>0</v>
      </c>
      <c r="G889">
        <f t="shared" si="13"/>
        <v>0</v>
      </c>
    </row>
    <row r="890" spans="6:7" ht="15.75" customHeight="1">
      <c r="F890">
        <f>SUMIF([1]Input!A$15:A$24, A890, [1]Input!B$15:B$24)</f>
        <v>0</v>
      </c>
      <c r="G890">
        <f t="shared" si="13"/>
        <v>0</v>
      </c>
    </row>
    <row r="891" spans="6:7" ht="15.75" customHeight="1">
      <c r="F891">
        <f>SUMIF([1]Input!A$15:A$24, A891, [1]Input!B$15:B$24)</f>
        <v>0</v>
      </c>
      <c r="G891">
        <f t="shared" si="13"/>
        <v>0</v>
      </c>
    </row>
    <row r="892" spans="6:7" ht="15.75" customHeight="1">
      <c r="F892">
        <f>SUMIF([1]Input!A$15:A$24, A892, [1]Input!B$15:B$24)</f>
        <v>0</v>
      </c>
      <c r="G892">
        <f t="shared" si="13"/>
        <v>0</v>
      </c>
    </row>
    <row r="893" spans="6:7" ht="15.75" customHeight="1">
      <c r="F893">
        <f>SUMIF([1]Input!A$15:A$24, A893, [1]Input!B$15:B$24)</f>
        <v>0</v>
      </c>
      <c r="G893">
        <f t="shared" si="13"/>
        <v>0</v>
      </c>
    </row>
    <row r="894" spans="6:7" ht="15.75" customHeight="1">
      <c r="F894">
        <f>SUMIF([1]Input!A$15:A$24, A894, [1]Input!B$15:B$24)</f>
        <v>0</v>
      </c>
      <c r="G894">
        <f t="shared" si="13"/>
        <v>0</v>
      </c>
    </row>
    <row r="895" spans="6:7" ht="15.75" customHeight="1">
      <c r="F895">
        <f>SUMIF([1]Input!A$15:A$24, A895, [1]Input!B$15:B$24)</f>
        <v>0</v>
      </c>
      <c r="G895">
        <f t="shared" si="13"/>
        <v>0</v>
      </c>
    </row>
    <row r="896" spans="6:7" ht="15.75" customHeight="1">
      <c r="F896">
        <f>SUMIF([1]Input!A$15:A$24, A896, [1]Input!B$15:B$24)</f>
        <v>0</v>
      </c>
      <c r="G896">
        <f t="shared" si="13"/>
        <v>0</v>
      </c>
    </row>
    <row r="897" spans="6:7" ht="15.75" customHeight="1">
      <c r="F897">
        <f>SUMIF([1]Input!A$15:A$24, A897, [1]Input!B$15:B$24)</f>
        <v>0</v>
      </c>
      <c r="G897">
        <f t="shared" si="13"/>
        <v>0</v>
      </c>
    </row>
    <row r="898" spans="6:7" ht="15.75" customHeight="1">
      <c r="F898">
        <f>SUMIF([1]Input!A$15:A$24, A898, [1]Input!B$15:B$24)</f>
        <v>0</v>
      </c>
      <c r="G898">
        <f t="shared" si="13"/>
        <v>0</v>
      </c>
    </row>
    <row r="899" spans="6:7" ht="15.75" customHeight="1">
      <c r="F899">
        <f>SUMIF([1]Input!A$15:A$24, A899, [1]Input!B$15:B$24)</f>
        <v>0</v>
      </c>
      <c r="G899">
        <f t="shared" ref="G899:G962" si="14">B899 - F899</f>
        <v>0</v>
      </c>
    </row>
    <row r="900" spans="6:7" ht="15.75" customHeight="1">
      <c r="F900">
        <f>SUMIF([1]Input!A$15:A$24, A900, [1]Input!B$15:B$24)</f>
        <v>0</v>
      </c>
      <c r="G900">
        <f t="shared" si="14"/>
        <v>0</v>
      </c>
    </row>
    <row r="901" spans="6:7" ht="15.75" customHeight="1">
      <c r="F901">
        <f>SUMIF([1]Input!A$15:A$24, A901, [1]Input!B$15:B$24)</f>
        <v>0</v>
      </c>
      <c r="G901">
        <f t="shared" si="14"/>
        <v>0</v>
      </c>
    </row>
    <row r="902" spans="6:7" ht="15.75" customHeight="1">
      <c r="F902">
        <f>SUMIF([1]Input!A$15:A$24, A902, [1]Input!B$15:B$24)</f>
        <v>0</v>
      </c>
      <c r="G902">
        <f t="shared" si="14"/>
        <v>0</v>
      </c>
    </row>
    <row r="903" spans="6:7" ht="15.75" customHeight="1">
      <c r="F903">
        <f>SUMIF([1]Input!A$15:A$24, A903, [1]Input!B$15:B$24)</f>
        <v>0</v>
      </c>
      <c r="G903">
        <f t="shared" si="14"/>
        <v>0</v>
      </c>
    </row>
    <row r="904" spans="6:7" ht="15.75" customHeight="1">
      <c r="F904">
        <f>SUMIF([1]Input!A$15:A$24, A904, [1]Input!B$15:B$24)</f>
        <v>0</v>
      </c>
      <c r="G904">
        <f t="shared" si="14"/>
        <v>0</v>
      </c>
    </row>
    <row r="905" spans="6:7" ht="15.75" customHeight="1">
      <c r="F905">
        <f>SUMIF([1]Input!A$15:A$24, A905, [1]Input!B$15:B$24)</f>
        <v>0</v>
      </c>
      <c r="G905">
        <f t="shared" si="14"/>
        <v>0</v>
      </c>
    </row>
    <row r="906" spans="6:7" ht="15.75" customHeight="1">
      <c r="F906">
        <f>SUMIF([1]Input!A$15:A$24, A906, [1]Input!B$15:B$24)</f>
        <v>0</v>
      </c>
      <c r="G906">
        <f t="shared" si="14"/>
        <v>0</v>
      </c>
    </row>
    <row r="907" spans="6:7" ht="15.75" customHeight="1">
      <c r="F907">
        <f>SUMIF([1]Input!A$15:A$24, A907, [1]Input!B$15:B$24)</f>
        <v>0</v>
      </c>
      <c r="G907">
        <f t="shared" si="14"/>
        <v>0</v>
      </c>
    </row>
    <row r="908" spans="6:7" ht="15.75" customHeight="1">
      <c r="F908">
        <f>SUMIF([1]Input!A$15:A$24, A908, [1]Input!B$15:B$24)</f>
        <v>0</v>
      </c>
      <c r="G908">
        <f t="shared" si="14"/>
        <v>0</v>
      </c>
    </row>
    <row r="909" spans="6:7" ht="15.75" customHeight="1">
      <c r="F909">
        <f>SUMIF([1]Input!A$15:A$24, A909, [1]Input!B$15:B$24)</f>
        <v>0</v>
      </c>
      <c r="G909">
        <f t="shared" si="14"/>
        <v>0</v>
      </c>
    </row>
    <row r="910" spans="6:7" ht="15.75" customHeight="1">
      <c r="F910">
        <f>SUMIF([1]Input!A$15:A$24, A910, [1]Input!B$15:B$24)</f>
        <v>0</v>
      </c>
      <c r="G910">
        <f t="shared" si="14"/>
        <v>0</v>
      </c>
    </row>
    <row r="911" spans="6:7" ht="15.75" customHeight="1">
      <c r="F911">
        <f>SUMIF([1]Input!A$15:A$24, A911, [1]Input!B$15:B$24)</f>
        <v>0</v>
      </c>
      <c r="G911">
        <f t="shared" si="14"/>
        <v>0</v>
      </c>
    </row>
    <row r="912" spans="6:7" ht="15.75" customHeight="1">
      <c r="F912">
        <f>SUMIF([1]Input!A$15:A$24, A912, [1]Input!B$15:B$24)</f>
        <v>0</v>
      </c>
      <c r="G912">
        <f t="shared" si="14"/>
        <v>0</v>
      </c>
    </row>
    <row r="913" spans="6:7" ht="15.75" customHeight="1">
      <c r="F913">
        <f>SUMIF([1]Input!A$15:A$24, A913, [1]Input!B$15:B$24)</f>
        <v>0</v>
      </c>
      <c r="G913">
        <f t="shared" si="14"/>
        <v>0</v>
      </c>
    </row>
    <row r="914" spans="6:7" ht="15.75" customHeight="1">
      <c r="F914">
        <f>SUMIF([1]Input!A$15:A$24, A914, [1]Input!B$15:B$24)</f>
        <v>0</v>
      </c>
      <c r="G914">
        <f t="shared" si="14"/>
        <v>0</v>
      </c>
    </row>
    <row r="915" spans="6:7" ht="15.75" customHeight="1">
      <c r="F915">
        <f>SUMIF([1]Input!A$15:A$24, A915, [1]Input!B$15:B$24)</f>
        <v>0</v>
      </c>
      <c r="G915">
        <f t="shared" si="14"/>
        <v>0</v>
      </c>
    </row>
    <row r="916" spans="6:7" ht="15.75" customHeight="1">
      <c r="F916">
        <f>SUMIF([1]Input!A$15:A$24, A916, [1]Input!B$15:B$24)</f>
        <v>0</v>
      </c>
      <c r="G916">
        <f t="shared" si="14"/>
        <v>0</v>
      </c>
    </row>
    <row r="917" spans="6:7" ht="15.75" customHeight="1">
      <c r="F917">
        <f>SUMIF([1]Input!A$15:A$24, A917, [1]Input!B$15:B$24)</f>
        <v>0</v>
      </c>
      <c r="G917">
        <f t="shared" si="14"/>
        <v>0</v>
      </c>
    </row>
    <row r="918" spans="6:7" ht="15.75" customHeight="1">
      <c r="F918">
        <f>SUMIF([1]Input!A$15:A$24, A918, [1]Input!B$15:B$24)</f>
        <v>0</v>
      </c>
      <c r="G918">
        <f t="shared" si="14"/>
        <v>0</v>
      </c>
    </row>
    <row r="919" spans="6:7" ht="15.75" customHeight="1">
      <c r="F919">
        <f>SUMIF([1]Input!A$15:A$24, A919, [1]Input!B$15:B$24)</f>
        <v>0</v>
      </c>
      <c r="G919">
        <f t="shared" si="14"/>
        <v>0</v>
      </c>
    </row>
    <row r="920" spans="6:7" ht="15.75" customHeight="1">
      <c r="F920">
        <f>SUMIF([1]Input!A$15:A$24, A920, [1]Input!B$15:B$24)</f>
        <v>0</v>
      </c>
      <c r="G920">
        <f t="shared" si="14"/>
        <v>0</v>
      </c>
    </row>
    <row r="921" spans="6:7" ht="15.75" customHeight="1">
      <c r="F921">
        <f>SUMIF([1]Input!A$15:A$24, A921, [1]Input!B$15:B$24)</f>
        <v>0</v>
      </c>
      <c r="G921">
        <f t="shared" si="14"/>
        <v>0</v>
      </c>
    </row>
    <row r="922" spans="6:7" ht="15.75" customHeight="1">
      <c r="F922">
        <f>SUMIF([1]Input!A$15:A$24, A922, [1]Input!B$15:B$24)</f>
        <v>0</v>
      </c>
      <c r="G922">
        <f t="shared" si="14"/>
        <v>0</v>
      </c>
    </row>
    <row r="923" spans="6:7" ht="15.75" customHeight="1">
      <c r="F923">
        <f>SUMIF([1]Input!A$15:A$24, A923, [1]Input!B$15:B$24)</f>
        <v>0</v>
      </c>
      <c r="G923">
        <f t="shared" si="14"/>
        <v>0</v>
      </c>
    </row>
    <row r="924" spans="6:7" ht="15.75" customHeight="1">
      <c r="F924">
        <f>SUMIF([1]Input!A$15:A$24, A924, [1]Input!B$15:B$24)</f>
        <v>0</v>
      </c>
      <c r="G924">
        <f t="shared" si="14"/>
        <v>0</v>
      </c>
    </row>
    <row r="925" spans="6:7" ht="15.75" customHeight="1">
      <c r="F925">
        <f>SUMIF([1]Input!A$15:A$24, A925, [1]Input!B$15:B$24)</f>
        <v>0</v>
      </c>
      <c r="G925">
        <f t="shared" si="14"/>
        <v>0</v>
      </c>
    </row>
    <row r="926" spans="6:7" ht="15.75" customHeight="1">
      <c r="F926">
        <f>SUMIF([1]Input!A$15:A$24, A926, [1]Input!B$15:B$24)</f>
        <v>0</v>
      </c>
      <c r="G926">
        <f t="shared" si="14"/>
        <v>0</v>
      </c>
    </row>
    <row r="927" spans="6:7" ht="15.75" customHeight="1">
      <c r="F927">
        <f>SUMIF([1]Input!A$15:A$24, A927, [1]Input!B$15:B$24)</f>
        <v>0</v>
      </c>
      <c r="G927">
        <f t="shared" si="14"/>
        <v>0</v>
      </c>
    </row>
    <row r="928" spans="6:7" ht="15.75" customHeight="1">
      <c r="F928">
        <f>SUMIF([1]Input!A$15:A$24, A928, [1]Input!B$15:B$24)</f>
        <v>0</v>
      </c>
      <c r="G928">
        <f t="shared" si="14"/>
        <v>0</v>
      </c>
    </row>
    <row r="929" spans="6:7" ht="15.75" customHeight="1">
      <c r="F929">
        <f>SUMIF([1]Input!A$15:A$24, A929, [1]Input!B$15:B$24)</f>
        <v>0</v>
      </c>
      <c r="G929">
        <f t="shared" si="14"/>
        <v>0</v>
      </c>
    </row>
    <row r="930" spans="6:7" ht="15.75" customHeight="1">
      <c r="F930">
        <f>SUMIF([1]Input!A$15:A$24, A930, [1]Input!B$15:B$24)</f>
        <v>0</v>
      </c>
      <c r="G930">
        <f t="shared" si="14"/>
        <v>0</v>
      </c>
    </row>
    <row r="931" spans="6:7" ht="15.75" customHeight="1">
      <c r="F931">
        <f>SUMIF([1]Input!A$15:A$24, A931, [1]Input!B$15:B$24)</f>
        <v>0</v>
      </c>
      <c r="G931">
        <f t="shared" si="14"/>
        <v>0</v>
      </c>
    </row>
    <row r="932" spans="6:7" ht="15.75" customHeight="1">
      <c r="F932">
        <f>SUMIF([1]Input!A$15:A$24, A932, [1]Input!B$15:B$24)</f>
        <v>0</v>
      </c>
      <c r="G932">
        <f t="shared" si="14"/>
        <v>0</v>
      </c>
    </row>
    <row r="933" spans="6:7" ht="15.75" customHeight="1">
      <c r="F933">
        <f>SUMIF([1]Input!A$15:A$24, A933, [1]Input!B$15:B$24)</f>
        <v>0</v>
      </c>
      <c r="G933">
        <f t="shared" si="14"/>
        <v>0</v>
      </c>
    </row>
    <row r="934" spans="6:7" ht="15.75" customHeight="1">
      <c r="F934">
        <f>SUMIF([1]Input!A$15:A$24, A934, [1]Input!B$15:B$24)</f>
        <v>0</v>
      </c>
      <c r="G934">
        <f t="shared" si="14"/>
        <v>0</v>
      </c>
    </row>
    <row r="935" spans="6:7" ht="15.75" customHeight="1">
      <c r="F935">
        <f>SUMIF([1]Input!A$15:A$24, A935, [1]Input!B$15:B$24)</f>
        <v>0</v>
      </c>
      <c r="G935">
        <f t="shared" si="14"/>
        <v>0</v>
      </c>
    </row>
    <row r="936" spans="6:7" ht="15.75" customHeight="1">
      <c r="F936">
        <f>SUMIF([1]Input!A$15:A$24, A936, [1]Input!B$15:B$24)</f>
        <v>0</v>
      </c>
      <c r="G936">
        <f t="shared" si="14"/>
        <v>0</v>
      </c>
    </row>
    <row r="937" spans="6:7" ht="15.75" customHeight="1">
      <c r="F937">
        <f>SUMIF([1]Input!A$15:A$24, A937, [1]Input!B$15:B$24)</f>
        <v>0</v>
      </c>
      <c r="G937">
        <f t="shared" si="14"/>
        <v>0</v>
      </c>
    </row>
    <row r="938" spans="6:7" ht="15.75" customHeight="1">
      <c r="F938">
        <f>SUMIF([1]Input!A$15:A$24, A938, [1]Input!B$15:B$24)</f>
        <v>0</v>
      </c>
      <c r="G938">
        <f t="shared" si="14"/>
        <v>0</v>
      </c>
    </row>
    <row r="939" spans="6:7" ht="15.75" customHeight="1">
      <c r="F939">
        <f>SUMIF([1]Input!A$15:A$24, A939, [1]Input!B$15:B$24)</f>
        <v>0</v>
      </c>
      <c r="G939">
        <f t="shared" si="14"/>
        <v>0</v>
      </c>
    </row>
    <row r="940" spans="6:7" ht="15.75" customHeight="1">
      <c r="F940">
        <f>SUMIF([1]Input!A$15:A$24, A940, [1]Input!B$15:B$24)</f>
        <v>0</v>
      </c>
      <c r="G940">
        <f t="shared" si="14"/>
        <v>0</v>
      </c>
    </row>
    <row r="941" spans="6:7" ht="15.75" customHeight="1">
      <c r="F941">
        <f>SUMIF([1]Input!A$15:A$24, A941, [1]Input!B$15:B$24)</f>
        <v>0</v>
      </c>
      <c r="G941">
        <f t="shared" si="14"/>
        <v>0</v>
      </c>
    </row>
    <row r="942" spans="6:7" ht="15.75" customHeight="1">
      <c r="F942">
        <f>SUMIF([1]Input!A$15:A$24, A942, [1]Input!B$15:B$24)</f>
        <v>0</v>
      </c>
      <c r="G942">
        <f t="shared" si="14"/>
        <v>0</v>
      </c>
    </row>
    <row r="943" spans="6:7" ht="15.75" customHeight="1">
      <c r="F943">
        <f>SUMIF([1]Input!A$15:A$24, A943, [1]Input!B$15:B$24)</f>
        <v>0</v>
      </c>
      <c r="G943">
        <f t="shared" si="14"/>
        <v>0</v>
      </c>
    </row>
    <row r="944" spans="6:7" ht="15.75" customHeight="1">
      <c r="F944">
        <f>SUMIF([1]Input!A$15:A$24, A944, [1]Input!B$15:B$24)</f>
        <v>0</v>
      </c>
      <c r="G944">
        <f t="shared" si="14"/>
        <v>0</v>
      </c>
    </row>
    <row r="945" spans="6:7" ht="15.75" customHeight="1">
      <c r="F945">
        <f>SUMIF([1]Input!A$15:A$24, A945, [1]Input!B$15:B$24)</f>
        <v>0</v>
      </c>
      <c r="G945">
        <f t="shared" si="14"/>
        <v>0</v>
      </c>
    </row>
    <row r="946" spans="6:7" ht="15.75" customHeight="1">
      <c r="F946">
        <f>SUMIF([1]Input!A$15:A$24, A946, [1]Input!B$15:B$24)</f>
        <v>0</v>
      </c>
      <c r="G946">
        <f t="shared" si="14"/>
        <v>0</v>
      </c>
    </row>
    <row r="947" spans="6:7" ht="15.75" customHeight="1">
      <c r="F947">
        <f>SUMIF([1]Input!A$15:A$24, A947, [1]Input!B$15:B$24)</f>
        <v>0</v>
      </c>
      <c r="G947">
        <f t="shared" si="14"/>
        <v>0</v>
      </c>
    </row>
    <row r="948" spans="6:7" ht="15.75" customHeight="1">
      <c r="F948">
        <f>SUMIF([1]Input!A$15:A$24, A948, [1]Input!B$15:B$24)</f>
        <v>0</v>
      </c>
      <c r="G948">
        <f t="shared" si="14"/>
        <v>0</v>
      </c>
    </row>
    <row r="949" spans="6:7" ht="15.75" customHeight="1">
      <c r="F949">
        <f>SUMIF([1]Input!A$15:A$24, A949, [1]Input!B$15:B$24)</f>
        <v>0</v>
      </c>
      <c r="G949">
        <f t="shared" si="14"/>
        <v>0</v>
      </c>
    </row>
    <row r="950" spans="6:7" ht="15.75" customHeight="1">
      <c r="F950">
        <f>SUMIF([1]Input!A$15:A$24, A950, [1]Input!B$15:B$24)</f>
        <v>0</v>
      </c>
      <c r="G950">
        <f t="shared" si="14"/>
        <v>0</v>
      </c>
    </row>
    <row r="951" spans="6:7" ht="15.75" customHeight="1">
      <c r="F951">
        <f>SUMIF([1]Input!A$15:A$24, A951, [1]Input!B$15:B$24)</f>
        <v>0</v>
      </c>
      <c r="G951">
        <f t="shared" si="14"/>
        <v>0</v>
      </c>
    </row>
    <row r="952" spans="6:7" ht="15.75" customHeight="1">
      <c r="F952">
        <f>SUMIF([1]Input!A$15:A$24, A952, [1]Input!B$15:B$24)</f>
        <v>0</v>
      </c>
      <c r="G952">
        <f t="shared" si="14"/>
        <v>0</v>
      </c>
    </row>
    <row r="953" spans="6:7" ht="15.75" customHeight="1">
      <c r="F953">
        <f>SUMIF([1]Input!A$15:A$24, A953, [1]Input!B$15:B$24)</f>
        <v>0</v>
      </c>
      <c r="G953">
        <f t="shared" si="14"/>
        <v>0</v>
      </c>
    </row>
    <row r="954" spans="6:7" ht="15.75" customHeight="1">
      <c r="F954">
        <f>SUMIF([1]Input!A$15:A$24, A954, [1]Input!B$15:B$24)</f>
        <v>0</v>
      </c>
      <c r="G954">
        <f t="shared" si="14"/>
        <v>0</v>
      </c>
    </row>
    <row r="955" spans="6:7" ht="15.75" customHeight="1">
      <c r="F955">
        <f>SUMIF([1]Input!A$15:A$24, A955, [1]Input!B$15:B$24)</f>
        <v>0</v>
      </c>
      <c r="G955">
        <f t="shared" si="14"/>
        <v>0</v>
      </c>
    </row>
    <row r="956" spans="6:7" ht="15.75" customHeight="1">
      <c r="F956">
        <f>SUMIF([1]Input!A$15:A$24, A956, [1]Input!B$15:B$24)</f>
        <v>0</v>
      </c>
      <c r="G956">
        <f t="shared" si="14"/>
        <v>0</v>
      </c>
    </row>
    <row r="957" spans="6:7" ht="15.75" customHeight="1">
      <c r="F957">
        <f>SUMIF([1]Input!A$15:A$24, A957, [1]Input!B$15:B$24)</f>
        <v>0</v>
      </c>
      <c r="G957">
        <f t="shared" si="14"/>
        <v>0</v>
      </c>
    </row>
    <row r="958" spans="6:7" ht="15.75" customHeight="1">
      <c r="F958">
        <f>SUMIF([1]Input!A$15:A$24, A958, [1]Input!B$15:B$24)</f>
        <v>0</v>
      </c>
      <c r="G958">
        <f t="shared" si="14"/>
        <v>0</v>
      </c>
    </row>
    <row r="959" spans="6:7" ht="15.75" customHeight="1">
      <c r="F959">
        <f>SUMIF([1]Input!A$15:A$24, A959, [1]Input!B$15:B$24)</f>
        <v>0</v>
      </c>
      <c r="G959">
        <f t="shared" si="14"/>
        <v>0</v>
      </c>
    </row>
    <row r="960" spans="6:7" ht="15.75" customHeight="1">
      <c r="F960">
        <f>SUMIF([1]Input!A$15:A$24, A960, [1]Input!B$15:B$24)</f>
        <v>0</v>
      </c>
      <c r="G960">
        <f t="shared" si="14"/>
        <v>0</v>
      </c>
    </row>
    <row r="961" spans="6:7" ht="15.75" customHeight="1">
      <c r="F961">
        <f>SUMIF([1]Input!A$15:A$24, A961, [1]Input!B$15:B$24)</f>
        <v>0</v>
      </c>
      <c r="G961">
        <f t="shared" si="14"/>
        <v>0</v>
      </c>
    </row>
    <row r="962" spans="6:7" ht="15.75" customHeight="1">
      <c r="F962">
        <f>SUMIF([1]Input!A$15:A$24, A962, [1]Input!B$15:B$24)</f>
        <v>0</v>
      </c>
      <c r="G962">
        <f t="shared" si="14"/>
        <v>0</v>
      </c>
    </row>
    <row r="963" spans="6:7" ht="15.75" customHeight="1">
      <c r="F963">
        <f>SUMIF([1]Input!A$15:A$24, A963, [1]Input!B$15:B$24)</f>
        <v>0</v>
      </c>
      <c r="G963">
        <f t="shared" ref="G963:G1000" si="15">B963 - F963</f>
        <v>0</v>
      </c>
    </row>
    <row r="964" spans="6:7" ht="15.75" customHeight="1">
      <c r="F964">
        <f>SUMIF([1]Input!A$15:A$24, A964, [1]Input!B$15:B$24)</f>
        <v>0</v>
      </c>
      <c r="G964">
        <f t="shared" si="15"/>
        <v>0</v>
      </c>
    </row>
    <row r="965" spans="6:7" ht="15.75" customHeight="1">
      <c r="F965">
        <f>SUMIF([1]Input!A$15:A$24, A965, [1]Input!B$15:B$24)</f>
        <v>0</v>
      </c>
      <c r="G965">
        <f t="shared" si="15"/>
        <v>0</v>
      </c>
    </row>
    <row r="966" spans="6:7" ht="15.75" customHeight="1">
      <c r="F966">
        <f>SUMIF([1]Input!A$15:A$24, A966, [1]Input!B$15:B$24)</f>
        <v>0</v>
      </c>
      <c r="G966">
        <f t="shared" si="15"/>
        <v>0</v>
      </c>
    </row>
    <row r="967" spans="6:7" ht="15.75" customHeight="1">
      <c r="F967">
        <f>SUMIF([1]Input!A$15:A$24, A967, [1]Input!B$15:B$24)</f>
        <v>0</v>
      </c>
      <c r="G967">
        <f t="shared" si="15"/>
        <v>0</v>
      </c>
    </row>
    <row r="968" spans="6:7" ht="15.75" customHeight="1">
      <c r="F968">
        <f>SUMIF([1]Input!A$15:A$24, A968, [1]Input!B$15:B$24)</f>
        <v>0</v>
      </c>
      <c r="G968">
        <f t="shared" si="15"/>
        <v>0</v>
      </c>
    </row>
    <row r="969" spans="6:7" ht="15.75" customHeight="1">
      <c r="F969">
        <f>SUMIF([1]Input!A$15:A$24, A969, [1]Input!B$15:B$24)</f>
        <v>0</v>
      </c>
      <c r="G969">
        <f t="shared" si="15"/>
        <v>0</v>
      </c>
    </row>
    <row r="970" spans="6:7" ht="15.75" customHeight="1">
      <c r="F970">
        <f>SUMIF([1]Input!A$15:A$24, A970, [1]Input!B$15:B$24)</f>
        <v>0</v>
      </c>
      <c r="G970">
        <f t="shared" si="15"/>
        <v>0</v>
      </c>
    </row>
    <row r="971" spans="6:7" ht="15.75" customHeight="1">
      <c r="F971">
        <f>SUMIF([1]Input!A$15:A$24, A971, [1]Input!B$15:B$24)</f>
        <v>0</v>
      </c>
      <c r="G971">
        <f t="shared" si="15"/>
        <v>0</v>
      </c>
    </row>
    <row r="972" spans="6:7" ht="15.75" customHeight="1">
      <c r="F972">
        <f>SUMIF([1]Input!A$15:A$24, A972, [1]Input!B$15:B$24)</f>
        <v>0</v>
      </c>
      <c r="G972">
        <f t="shared" si="15"/>
        <v>0</v>
      </c>
    </row>
    <row r="973" spans="6:7" ht="15.75" customHeight="1">
      <c r="F973">
        <f>SUMIF([1]Input!A$15:A$24, A973, [1]Input!B$15:B$24)</f>
        <v>0</v>
      </c>
      <c r="G973">
        <f t="shared" si="15"/>
        <v>0</v>
      </c>
    </row>
    <row r="974" spans="6:7" ht="15.75" customHeight="1">
      <c r="F974">
        <f>SUMIF([1]Input!A$15:A$24, A974, [1]Input!B$15:B$24)</f>
        <v>0</v>
      </c>
      <c r="G974">
        <f t="shared" si="15"/>
        <v>0</v>
      </c>
    </row>
    <row r="975" spans="6:7" ht="15.75" customHeight="1">
      <c r="F975">
        <f>SUMIF([1]Input!A$15:A$24, A975, [1]Input!B$15:B$24)</f>
        <v>0</v>
      </c>
      <c r="G975">
        <f t="shared" si="15"/>
        <v>0</v>
      </c>
    </row>
    <row r="976" spans="6:7" ht="15.75" customHeight="1">
      <c r="F976">
        <f>SUMIF([1]Input!A$15:A$24, A976, [1]Input!B$15:B$24)</f>
        <v>0</v>
      </c>
      <c r="G976">
        <f t="shared" si="15"/>
        <v>0</v>
      </c>
    </row>
    <row r="977" spans="6:7" ht="15.75" customHeight="1">
      <c r="F977">
        <f>SUMIF([1]Input!A$15:A$24, A977, [1]Input!B$15:B$24)</f>
        <v>0</v>
      </c>
      <c r="G977">
        <f t="shared" si="15"/>
        <v>0</v>
      </c>
    </row>
    <row r="978" spans="6:7" ht="15.75" customHeight="1">
      <c r="F978">
        <f>SUMIF([1]Input!A$15:A$24, A978, [1]Input!B$15:B$24)</f>
        <v>0</v>
      </c>
      <c r="G978">
        <f t="shared" si="15"/>
        <v>0</v>
      </c>
    </row>
    <row r="979" spans="6:7" ht="15.75" customHeight="1">
      <c r="F979">
        <f>SUMIF([1]Input!A$15:A$24, A979, [1]Input!B$15:B$24)</f>
        <v>0</v>
      </c>
      <c r="G979">
        <f t="shared" si="15"/>
        <v>0</v>
      </c>
    </row>
    <row r="980" spans="6:7" ht="15.75" customHeight="1">
      <c r="F980">
        <f>SUMIF([1]Input!A$15:A$24, A980, [1]Input!B$15:B$24)</f>
        <v>0</v>
      </c>
      <c r="G980">
        <f t="shared" si="15"/>
        <v>0</v>
      </c>
    </row>
    <row r="981" spans="6:7" ht="15.75" customHeight="1">
      <c r="F981">
        <f>SUMIF([1]Input!A$15:A$24, A981, [1]Input!B$15:B$24)</f>
        <v>0</v>
      </c>
      <c r="G981">
        <f t="shared" si="15"/>
        <v>0</v>
      </c>
    </row>
    <row r="982" spans="6:7" ht="15.75" customHeight="1">
      <c r="F982">
        <f>SUMIF([1]Input!A$15:A$24, A982, [1]Input!B$15:B$24)</f>
        <v>0</v>
      </c>
      <c r="G982">
        <f t="shared" si="15"/>
        <v>0</v>
      </c>
    </row>
    <row r="983" spans="6:7" ht="15.75" customHeight="1">
      <c r="F983">
        <f>SUMIF([1]Input!A$15:A$24, A983, [1]Input!B$15:B$24)</f>
        <v>0</v>
      </c>
      <c r="G983">
        <f t="shared" si="15"/>
        <v>0</v>
      </c>
    </row>
    <row r="984" spans="6:7" ht="15.75" customHeight="1">
      <c r="F984">
        <f>SUMIF([1]Input!A$15:A$24, A984, [1]Input!B$15:B$24)</f>
        <v>0</v>
      </c>
      <c r="G984">
        <f t="shared" si="15"/>
        <v>0</v>
      </c>
    </row>
    <row r="985" spans="6:7" ht="15.75" customHeight="1">
      <c r="F985">
        <f>SUMIF([1]Input!A$15:A$24, A985, [1]Input!B$15:B$24)</f>
        <v>0</v>
      </c>
      <c r="G985">
        <f t="shared" si="15"/>
        <v>0</v>
      </c>
    </row>
    <row r="986" spans="6:7" ht="15.75" customHeight="1">
      <c r="F986">
        <f>SUMIF([1]Input!A$15:A$24, A986, [1]Input!B$15:B$24)</f>
        <v>0</v>
      </c>
      <c r="G986">
        <f t="shared" si="15"/>
        <v>0</v>
      </c>
    </row>
    <row r="987" spans="6:7" ht="15.75" customHeight="1">
      <c r="F987">
        <f>SUMIF([1]Input!A$15:A$24, A987, [1]Input!B$15:B$24)</f>
        <v>0</v>
      </c>
      <c r="G987">
        <f t="shared" si="15"/>
        <v>0</v>
      </c>
    </row>
    <row r="988" spans="6:7" ht="15.75" customHeight="1">
      <c r="F988">
        <f>SUMIF([1]Input!A$15:A$24, A988, [1]Input!B$15:B$24)</f>
        <v>0</v>
      </c>
      <c r="G988">
        <f t="shared" si="15"/>
        <v>0</v>
      </c>
    </row>
    <row r="989" spans="6:7" ht="15.75" customHeight="1">
      <c r="F989">
        <f>SUMIF([1]Input!A$15:A$24, A989, [1]Input!B$15:B$24)</f>
        <v>0</v>
      </c>
      <c r="G989">
        <f t="shared" si="15"/>
        <v>0</v>
      </c>
    </row>
    <row r="990" spans="6:7" ht="15.75" customHeight="1">
      <c r="F990">
        <f>SUMIF([1]Input!A$15:A$24, A990, [1]Input!B$15:B$24)</f>
        <v>0</v>
      </c>
      <c r="G990">
        <f t="shared" si="15"/>
        <v>0</v>
      </c>
    </row>
    <row r="991" spans="6:7" ht="15.75" customHeight="1">
      <c r="F991">
        <f>SUMIF([1]Input!A$15:A$24, A991, [1]Input!B$15:B$24)</f>
        <v>0</v>
      </c>
      <c r="G991">
        <f t="shared" si="15"/>
        <v>0</v>
      </c>
    </row>
    <row r="992" spans="6:7" ht="15.75" customHeight="1">
      <c r="F992">
        <f>SUMIF([1]Input!A$15:A$24, A992, [1]Input!B$15:B$24)</f>
        <v>0</v>
      </c>
      <c r="G992">
        <f t="shared" si="15"/>
        <v>0</v>
      </c>
    </row>
    <row r="993" spans="6:7" ht="15.75" customHeight="1">
      <c r="F993">
        <f>SUMIF([1]Input!A$15:A$24, A993, [1]Input!B$15:B$24)</f>
        <v>0</v>
      </c>
      <c r="G993">
        <f t="shared" si="15"/>
        <v>0</v>
      </c>
    </row>
    <row r="994" spans="6:7" ht="15.75" customHeight="1">
      <c r="F994">
        <f>SUMIF([1]Input!A$15:A$24, A994, [1]Input!B$15:B$24)</f>
        <v>0</v>
      </c>
      <c r="G994">
        <f t="shared" si="15"/>
        <v>0</v>
      </c>
    </row>
    <row r="995" spans="6:7" ht="15.75" customHeight="1">
      <c r="F995">
        <f>SUMIF([1]Input!A$15:A$24, A995, [1]Input!B$15:B$24)</f>
        <v>0</v>
      </c>
      <c r="G995">
        <f t="shared" si="15"/>
        <v>0</v>
      </c>
    </row>
    <row r="996" spans="6:7" ht="15.75" customHeight="1">
      <c r="F996">
        <f>SUMIF([1]Input!A$15:A$24, A996, [1]Input!B$15:B$24)</f>
        <v>0</v>
      </c>
      <c r="G996">
        <f t="shared" si="15"/>
        <v>0</v>
      </c>
    </row>
    <row r="997" spans="6:7" ht="15.75" customHeight="1">
      <c r="F997">
        <f>SUMIF([1]Input!A$15:A$24, A997, [1]Input!B$15:B$24)</f>
        <v>0</v>
      </c>
      <c r="G997">
        <f t="shared" si="15"/>
        <v>0</v>
      </c>
    </row>
    <row r="998" spans="6:7" ht="15.75" customHeight="1">
      <c r="F998">
        <f>SUMIF([1]Input!A$15:A$24, A998, [1]Input!B$15:B$24)</f>
        <v>0</v>
      </c>
      <c r="G998">
        <f t="shared" si="15"/>
        <v>0</v>
      </c>
    </row>
    <row r="999" spans="6:7" ht="15.75" customHeight="1">
      <c r="F999">
        <f>SUMIF([1]Input!A$15:A$24, A999, [1]Input!B$15:B$24)</f>
        <v>0</v>
      </c>
      <c r="G999">
        <f t="shared" si="15"/>
        <v>0</v>
      </c>
    </row>
    <row r="1000" spans="6:7" ht="15.75" customHeight="1">
      <c r="F1000">
        <f>SUMIF([1]Input!A$15:A$24, A1000, [1]Input!B$15:B$24)</f>
        <v>0</v>
      </c>
      <c r="G1000">
        <f t="shared" si="15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10"/>
  <sheetViews>
    <sheetView showGridLines="0" showZeros="0" workbookViewId="0"/>
  </sheetViews>
  <sheetFormatPr defaultColWidth="12.6328125" defaultRowHeight="15.75" customHeight="1"/>
  <cols>
    <col min="3" max="3" width="42.90625" customWidth="1"/>
    <col min="6" max="12" width="0" hidden="1" customWidth="1"/>
  </cols>
  <sheetData>
    <row r="1" spans="1:15" ht="15.75" customHeight="1">
      <c r="A1" s="30" t="str">
        <f>HYPERLINK("https://workspace.google.com/marketplace/app/datamate/609263591431","Please review DataMate")</f>
        <v>Please review DataMate</v>
      </c>
    </row>
    <row r="2" spans="1:15" ht="15.75" customHeight="1">
      <c r="A2" s="31" t="s">
        <v>43</v>
      </c>
    </row>
    <row r="3" spans="1:15" ht="15.75" customHeight="1">
      <c r="A3" s="27" t="s">
        <v>44</v>
      </c>
      <c r="B3" s="32">
        <f ca="1">TODAY()</f>
        <v>45666</v>
      </c>
    </row>
    <row r="8" spans="1:15" ht="15.75" customHeight="1">
      <c r="A8" s="53" t="s">
        <v>71</v>
      </c>
      <c r="D8">
        <f>SUM(D10:D1000000)</f>
        <v>0</v>
      </c>
      <c r="E8">
        <f>SUM(E10:E1000000)</f>
        <v>0</v>
      </c>
    </row>
    <row r="9" spans="1:15" ht="15.75" customHeight="1">
      <c r="A9" s="27" t="str">
        <f>Input!A1</f>
        <v>Number</v>
      </c>
      <c r="B9" s="27" t="str">
        <f>Input!B1</f>
        <v>Date:</v>
      </c>
      <c r="C9" s="27" t="str">
        <f>Input!C1</f>
        <v>Bill To:</v>
      </c>
      <c r="D9" s="27" t="str">
        <f>Input!D1</f>
        <v>Total:</v>
      </c>
      <c r="E9" s="27" t="str">
        <f>Input!E1</f>
        <v>Subtotal:</v>
      </c>
      <c r="F9" s="27" t="str">
        <f>Input!F1</f>
        <v>Log 6</v>
      </c>
      <c r="G9" s="27" t="str">
        <f>Input!G1</f>
        <v>Log 7</v>
      </c>
      <c r="H9" s="27" t="str">
        <f>Input!H1</f>
        <v>Log 8</v>
      </c>
      <c r="I9" s="27" t="str">
        <f>Input!I1</f>
        <v>Log 9</v>
      </c>
      <c r="J9" s="27" t="str">
        <f>Input!J1</f>
        <v>Log 10</v>
      </c>
      <c r="K9" s="27" t="str">
        <f>Input!K1</f>
        <v>Log 11</v>
      </c>
      <c r="L9" s="27" t="str">
        <f>Input!L1</f>
        <v>Log 12</v>
      </c>
      <c r="M9" s="27" t="str">
        <f>Input!M1</f>
        <v>Date Paid:</v>
      </c>
      <c r="N9" s="27" t="str">
        <f>Input!N1</f>
        <v>Via:</v>
      </c>
      <c r="O9" s="27" t="str">
        <f>Input!O1</f>
        <v>Date Shipped:</v>
      </c>
    </row>
    <row r="10" spans="1:15" ht="15.75" customHeight="1">
      <c r="A10" s="27"/>
      <c r="B10" s="27"/>
      <c r="C10" s="32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</sheetData>
  <autoFilter ref="A9:O99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1002"/>
  <sheetViews>
    <sheetView showGridLines="0" workbookViewId="0">
      <selection activeCell="B2" sqref="B2"/>
    </sheetView>
  </sheetViews>
  <sheetFormatPr defaultColWidth="12.6328125" defaultRowHeight="15.75" customHeight="1"/>
  <sheetData>
    <row r="1" spans="1:17" ht="15.75" customHeight="1">
      <c r="A1" s="33"/>
      <c r="B1" s="34" t="str">
        <f>View_Print!M1</f>
        <v>Date Paid:</v>
      </c>
      <c r="C1" s="34" t="str">
        <f>View_Print!N1</f>
        <v>Via:</v>
      </c>
      <c r="D1" s="34" t="str">
        <f>View_Print!O1</f>
        <v>Date Shipped:</v>
      </c>
      <c r="E1" s="33" t="str">
        <f>Input!A1</f>
        <v>Number</v>
      </c>
      <c r="F1" s="33" t="str">
        <f>Input!B1</f>
        <v>Date:</v>
      </c>
      <c r="G1" s="33" t="str">
        <f>Input!C1</f>
        <v>Bill To:</v>
      </c>
      <c r="H1" s="33" t="str">
        <f>Input!D1</f>
        <v>Total:</v>
      </c>
      <c r="I1" s="33" t="str">
        <f>Input!E1</f>
        <v>Subtotal:</v>
      </c>
      <c r="J1" s="33" t="str">
        <f>Input!F1</f>
        <v>Log 6</v>
      </c>
      <c r="K1" s="33" t="str">
        <f>Input!G1</f>
        <v>Log 7</v>
      </c>
      <c r="L1" s="33" t="str">
        <f>Input!H1</f>
        <v>Log 8</v>
      </c>
      <c r="M1" s="35" t="str">
        <f>Input!I1</f>
        <v>Log 9</v>
      </c>
      <c r="N1" s="35" t="str">
        <f>Input!J1</f>
        <v>Log 10</v>
      </c>
      <c r="O1" s="35" t="str">
        <f>Input!K1</f>
        <v>Log 11</v>
      </c>
      <c r="P1" s="35" t="str">
        <f>Input!L1</f>
        <v>Log 12</v>
      </c>
      <c r="Q1" s="35"/>
    </row>
    <row r="2" spans="1:17" ht="15.75" customHeight="1">
      <c r="A2" s="35"/>
      <c r="E2" s="35"/>
      <c r="F2" s="35"/>
      <c r="G2" s="36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ht="15.75" customHeight="1">
      <c r="A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ht="15.75" customHeight="1">
      <c r="A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ht="15.75" customHeight="1">
      <c r="A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 ht="15.75" customHeight="1">
      <c r="A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1:17" ht="15.75" customHeight="1">
      <c r="A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 ht="15.75" customHeight="1">
      <c r="A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17" ht="15.75" customHeight="1">
      <c r="A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1:17" ht="15.75" customHeight="1">
      <c r="A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1:17" ht="15.75" customHeight="1">
      <c r="A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1:17" ht="15.75" customHeight="1">
      <c r="A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1:17" ht="15.75" customHeight="1">
      <c r="A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1:17" ht="15.75" customHeight="1">
      <c r="A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7" ht="15.75" customHeight="1">
      <c r="A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1:17" ht="15.75" customHeight="1">
      <c r="A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17" ht="15.75" customHeight="1">
      <c r="A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1:17" ht="15.75" customHeight="1">
      <c r="A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17" ht="15.75" customHeight="1">
      <c r="A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7" ht="15.75" customHeight="1">
      <c r="A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1:17" ht="15.75" customHeight="1">
      <c r="A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spans="1:17" ht="15.75" customHeight="1">
      <c r="A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7" ht="15.75" customHeight="1">
      <c r="A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spans="1:17" ht="15.75" customHeight="1">
      <c r="A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</row>
    <row r="25" spans="1:17" ht="15.75" customHeight="1">
      <c r="A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 ht="15.75" customHeight="1">
      <c r="A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r="27" spans="1:17" ht="15.75" customHeight="1">
      <c r="A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</row>
    <row r="28" spans="1:17" ht="15.75" customHeight="1">
      <c r="A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r="29" spans="1:17" ht="15.75" customHeight="1">
      <c r="A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</row>
    <row r="30" spans="1:17" ht="15.75" customHeight="1">
      <c r="A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</row>
    <row r="31" spans="1:17" ht="15.75" customHeight="1">
      <c r="A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</row>
    <row r="32" spans="1:17" ht="15.75" customHeight="1">
      <c r="A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</row>
    <row r="33" spans="1:17" ht="15.75" customHeight="1">
      <c r="A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</row>
    <row r="34" spans="1:17" ht="15.75" customHeight="1">
      <c r="A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</row>
    <row r="35" spans="1:17" ht="15.75" customHeight="1">
      <c r="A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</row>
    <row r="36" spans="1:17" ht="15.75" customHeight="1">
      <c r="A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r="37" spans="1:17" ht="15.75" customHeight="1">
      <c r="A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</row>
    <row r="38" spans="1:17" ht="15.75" customHeight="1">
      <c r="A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7" ht="15.75" customHeight="1">
      <c r="A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7" ht="12.5">
      <c r="A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7" ht="12.5">
      <c r="A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7" ht="12.5">
      <c r="A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7" ht="12.5">
      <c r="A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</row>
    <row r="44" spans="1:17" ht="12.5">
      <c r="A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</row>
    <row r="45" spans="1:17" ht="12.5">
      <c r="A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</row>
    <row r="46" spans="1:17" ht="12.5">
      <c r="A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</row>
    <row r="47" spans="1:17" ht="12.5">
      <c r="A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</row>
    <row r="48" spans="1:17" ht="12.5">
      <c r="A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</row>
    <row r="49" spans="1:17" ht="12.5">
      <c r="A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</row>
    <row r="50" spans="1:17" ht="12.5">
      <c r="A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</row>
    <row r="51" spans="1:17" ht="12.5">
      <c r="A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</row>
    <row r="52" spans="1:17" ht="12.5">
      <c r="A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</row>
    <row r="53" spans="1:17" ht="12.5">
      <c r="A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</row>
    <row r="54" spans="1:17" ht="12.5">
      <c r="A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1:17" ht="12.5">
      <c r="A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</row>
    <row r="56" spans="1:17" ht="12.5">
      <c r="A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</row>
    <row r="57" spans="1:17" ht="12.5">
      <c r="A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</row>
    <row r="58" spans="1:17" ht="12.5">
      <c r="A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</row>
    <row r="59" spans="1:17" ht="12.5">
      <c r="A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</row>
    <row r="60" spans="1:17" ht="12.5">
      <c r="A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</row>
    <row r="61" spans="1:17" ht="12.5">
      <c r="A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</row>
    <row r="62" spans="1:17" ht="12.5">
      <c r="A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</row>
    <row r="63" spans="1:17" ht="12.5">
      <c r="A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</row>
    <row r="64" spans="1:17" ht="12.5">
      <c r="A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</row>
    <row r="65" spans="1:17" ht="12.5">
      <c r="A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</row>
    <row r="66" spans="1:17" ht="12.5">
      <c r="A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</row>
    <row r="67" spans="1:17" ht="12.5">
      <c r="A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</row>
    <row r="68" spans="1:17" ht="12.5">
      <c r="A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</row>
    <row r="69" spans="1:17" ht="12.5">
      <c r="A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</row>
    <row r="70" spans="1:17" ht="12.5">
      <c r="A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</row>
    <row r="71" spans="1:17" ht="12.5">
      <c r="A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</row>
    <row r="72" spans="1:17" ht="12.5">
      <c r="A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</row>
    <row r="73" spans="1:17" ht="12.5">
      <c r="A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</row>
    <row r="74" spans="1:17" ht="12.5">
      <c r="A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</row>
    <row r="75" spans="1:17" ht="12.5">
      <c r="A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</row>
    <row r="76" spans="1:17" ht="12.5">
      <c r="A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</row>
    <row r="77" spans="1:17" ht="12.5">
      <c r="A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</row>
    <row r="78" spans="1:17" ht="12.5">
      <c r="A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</row>
    <row r="79" spans="1:17" ht="12.5">
      <c r="A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</row>
    <row r="80" spans="1:17" ht="12.5">
      <c r="A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</row>
    <row r="81" spans="1:17" ht="12.5">
      <c r="A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</row>
    <row r="82" spans="1:17" ht="12.5">
      <c r="A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</row>
    <row r="83" spans="1:17" ht="12.5">
      <c r="A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</row>
    <row r="84" spans="1:17" ht="12.5">
      <c r="A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</row>
    <row r="85" spans="1:17" ht="12.5">
      <c r="A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</row>
    <row r="86" spans="1:17" ht="12.5">
      <c r="A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</row>
    <row r="87" spans="1:17" ht="12.5">
      <c r="A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</row>
    <row r="88" spans="1:17" ht="12.5">
      <c r="A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</row>
    <row r="89" spans="1:17" ht="12.5">
      <c r="A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</row>
    <row r="90" spans="1:17" ht="12.5">
      <c r="A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</row>
    <row r="91" spans="1:17" ht="12.5">
      <c r="A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</row>
    <row r="92" spans="1:17" ht="12.5">
      <c r="A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</row>
    <row r="93" spans="1:17" ht="12.5">
      <c r="A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</row>
    <row r="94" spans="1:17" ht="12.5">
      <c r="A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</row>
    <row r="95" spans="1:17" ht="12.5">
      <c r="A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</row>
    <row r="96" spans="1:17" ht="12.5">
      <c r="A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</row>
    <row r="97" spans="1:17" ht="12.5">
      <c r="A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</row>
    <row r="98" spans="1:17" ht="12.5">
      <c r="A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</row>
    <row r="99" spans="1:17" ht="12.5">
      <c r="A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</row>
    <row r="100" spans="1:17" ht="12.5">
      <c r="A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</row>
    <row r="101" spans="1:17" ht="12.5">
      <c r="A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</row>
    <row r="102" spans="1:17" ht="12.5">
      <c r="A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</row>
    <row r="103" spans="1:17" ht="12.5">
      <c r="A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</row>
    <row r="104" spans="1:17" ht="12.5">
      <c r="A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</row>
    <row r="105" spans="1:17" ht="12.5">
      <c r="A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</row>
    <row r="106" spans="1:17" ht="12.5">
      <c r="A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</row>
    <row r="107" spans="1:17" ht="12.5">
      <c r="A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</row>
    <row r="108" spans="1:17" ht="12.5">
      <c r="A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</row>
    <row r="109" spans="1:17" ht="12.5">
      <c r="A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</row>
    <row r="110" spans="1:17" ht="12.5">
      <c r="A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</row>
    <row r="111" spans="1:17" ht="12.5">
      <c r="A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</row>
    <row r="112" spans="1:17" ht="12.5">
      <c r="A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</row>
    <row r="113" spans="1:17" ht="12.5">
      <c r="A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</row>
    <row r="114" spans="1:17" ht="12.5">
      <c r="A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</row>
    <row r="115" spans="1:17" ht="12.5">
      <c r="A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</row>
    <row r="116" spans="1:17" ht="12.5">
      <c r="A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</row>
    <row r="117" spans="1:17" ht="12.5">
      <c r="A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</row>
    <row r="118" spans="1:17" ht="12.5">
      <c r="A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</row>
    <row r="119" spans="1:17" ht="12.5">
      <c r="A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</row>
    <row r="120" spans="1:17" ht="12.5">
      <c r="A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</row>
    <row r="121" spans="1:17" ht="12.5">
      <c r="A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</row>
    <row r="122" spans="1:17" ht="12.5">
      <c r="A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</row>
    <row r="123" spans="1:17" ht="12.5">
      <c r="A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</row>
    <row r="124" spans="1:17" ht="12.5">
      <c r="A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</row>
    <row r="125" spans="1:17" ht="12.5">
      <c r="A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</row>
    <row r="126" spans="1:17" ht="12.5">
      <c r="A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</row>
    <row r="127" spans="1:17" ht="12.5">
      <c r="A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</row>
    <row r="128" spans="1:17" ht="12.5">
      <c r="A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</row>
    <row r="129" spans="1:17" ht="12.5">
      <c r="A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</row>
    <row r="130" spans="1:17" ht="12.5">
      <c r="A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</row>
    <row r="131" spans="1:17" ht="12.5">
      <c r="A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</row>
    <row r="132" spans="1:17" ht="12.5">
      <c r="A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</row>
    <row r="133" spans="1:17" ht="12.5">
      <c r="A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</row>
    <row r="134" spans="1:17" ht="12.5">
      <c r="A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</row>
    <row r="135" spans="1:17" ht="12.5">
      <c r="A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</row>
    <row r="136" spans="1:17" ht="12.5">
      <c r="A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</row>
    <row r="137" spans="1:17" ht="12.5">
      <c r="A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</row>
    <row r="138" spans="1:17" ht="12.5">
      <c r="A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</row>
    <row r="139" spans="1:17" ht="12.5">
      <c r="A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</row>
    <row r="140" spans="1:17" ht="12.5">
      <c r="A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</row>
    <row r="141" spans="1:17" ht="12.5">
      <c r="A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</row>
    <row r="142" spans="1:17" ht="12.5">
      <c r="A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</row>
    <row r="143" spans="1:17" ht="12.5">
      <c r="A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</row>
    <row r="144" spans="1:17" ht="12.5">
      <c r="A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</row>
    <row r="145" spans="1:17" ht="12.5">
      <c r="A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</row>
    <row r="146" spans="1:17" ht="12.5">
      <c r="A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</row>
    <row r="147" spans="1:17" ht="12.5">
      <c r="A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</row>
    <row r="148" spans="1:17" ht="12.5">
      <c r="A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</row>
    <row r="149" spans="1:17" ht="12.5">
      <c r="A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</row>
    <row r="150" spans="1:17" ht="12.5">
      <c r="A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</row>
    <row r="151" spans="1:17" ht="12.5">
      <c r="A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</row>
    <row r="152" spans="1:17" ht="12.5">
      <c r="A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</row>
    <row r="153" spans="1:17" ht="12.5">
      <c r="A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</row>
    <row r="154" spans="1:17" ht="12.5">
      <c r="A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</row>
    <row r="155" spans="1:17" ht="12.5">
      <c r="A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</row>
    <row r="156" spans="1:17" ht="12.5">
      <c r="A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</row>
    <row r="157" spans="1:17" ht="12.5">
      <c r="A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</row>
    <row r="158" spans="1:17" ht="12.5">
      <c r="A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</row>
    <row r="159" spans="1:17" ht="12.5">
      <c r="A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</row>
    <row r="160" spans="1:17" ht="12.5">
      <c r="A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</row>
    <row r="161" spans="1:17" ht="12.5">
      <c r="A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</row>
    <row r="162" spans="1:17" ht="12.5">
      <c r="A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</row>
    <row r="163" spans="1:17" ht="12.5">
      <c r="A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</row>
    <row r="164" spans="1:17" ht="12.5">
      <c r="A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</row>
    <row r="165" spans="1:17" ht="12.5">
      <c r="A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</row>
    <row r="166" spans="1:17" ht="12.5">
      <c r="A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</row>
    <row r="167" spans="1:17" ht="12.5">
      <c r="A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</row>
    <row r="168" spans="1:17" ht="12.5">
      <c r="A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</row>
    <row r="169" spans="1:17" ht="12.5">
      <c r="A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</row>
    <row r="170" spans="1:17" ht="12.5">
      <c r="A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</row>
    <row r="171" spans="1:17" ht="12.5">
      <c r="A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</row>
    <row r="172" spans="1:17" ht="12.5">
      <c r="A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</row>
    <row r="173" spans="1:17" ht="12.5">
      <c r="A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</row>
    <row r="174" spans="1:17" ht="12.5">
      <c r="A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</row>
    <row r="175" spans="1:17" ht="12.5">
      <c r="A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</row>
    <row r="176" spans="1:17" ht="12.5">
      <c r="A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</row>
    <row r="177" spans="1:17" ht="12.5">
      <c r="A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</row>
    <row r="178" spans="1:17" ht="12.5">
      <c r="A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</row>
    <row r="179" spans="1:17" ht="12.5">
      <c r="A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</row>
    <row r="180" spans="1:17" ht="12.5">
      <c r="A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</row>
    <row r="181" spans="1:17" ht="12.5">
      <c r="A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</row>
    <row r="182" spans="1:17" ht="12.5">
      <c r="A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</row>
    <row r="183" spans="1:17" ht="12.5">
      <c r="A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</row>
    <row r="184" spans="1:17" ht="12.5">
      <c r="A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</row>
    <row r="185" spans="1:17" ht="12.5">
      <c r="A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</row>
    <row r="186" spans="1:17" ht="12.5">
      <c r="A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</row>
    <row r="187" spans="1:17" ht="12.5">
      <c r="A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</row>
    <row r="188" spans="1:17" ht="12.5">
      <c r="A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</row>
    <row r="189" spans="1:17" ht="12.5">
      <c r="A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</row>
    <row r="190" spans="1:17" ht="12.5">
      <c r="A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</row>
    <row r="191" spans="1:17" ht="12.5">
      <c r="A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</row>
    <row r="192" spans="1:17" ht="12.5">
      <c r="A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</row>
    <row r="193" spans="1:17" ht="12.5">
      <c r="A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</row>
    <row r="194" spans="1:17" ht="12.5">
      <c r="A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</row>
    <row r="195" spans="1:17" ht="12.5">
      <c r="A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</row>
    <row r="196" spans="1:17" ht="12.5">
      <c r="A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</row>
    <row r="197" spans="1:17" ht="12.5">
      <c r="A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</row>
    <row r="198" spans="1:17" ht="12.5">
      <c r="A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</row>
    <row r="199" spans="1:17" ht="12.5">
      <c r="A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</row>
    <row r="200" spans="1:17" ht="12.5">
      <c r="A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</row>
    <row r="201" spans="1:17" ht="12.5">
      <c r="A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</row>
    <row r="202" spans="1:17" ht="12.5">
      <c r="A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</row>
    <row r="203" spans="1:17" ht="12.5">
      <c r="A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</row>
    <row r="204" spans="1:17" ht="12.5">
      <c r="A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</row>
    <row r="205" spans="1:17" ht="12.5">
      <c r="A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</row>
    <row r="206" spans="1:17" ht="12.5">
      <c r="A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</row>
    <row r="207" spans="1:17" ht="12.5">
      <c r="A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</row>
    <row r="208" spans="1:17" ht="12.5">
      <c r="A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</row>
    <row r="209" spans="1:17" ht="12.5">
      <c r="A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</row>
    <row r="210" spans="1:17" ht="12.5">
      <c r="A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</row>
    <row r="211" spans="1:17" ht="12.5">
      <c r="A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</row>
    <row r="212" spans="1:17" ht="12.5">
      <c r="A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</row>
    <row r="213" spans="1:17" ht="12.5">
      <c r="A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</row>
    <row r="214" spans="1:17" ht="12.5">
      <c r="A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</row>
    <row r="215" spans="1:17" ht="12.5">
      <c r="A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</row>
    <row r="216" spans="1:17" ht="12.5">
      <c r="A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</row>
    <row r="217" spans="1:17" ht="12.5">
      <c r="A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</row>
    <row r="218" spans="1:17" ht="12.5">
      <c r="A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</row>
    <row r="219" spans="1:17" ht="12.5">
      <c r="A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</row>
    <row r="220" spans="1:17" ht="12.5">
      <c r="A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</row>
    <row r="221" spans="1:17" ht="12.5">
      <c r="A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</row>
    <row r="222" spans="1:17" ht="12.5">
      <c r="A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</row>
    <row r="223" spans="1:17" ht="12.5">
      <c r="A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</row>
    <row r="224" spans="1:17" ht="12.5">
      <c r="A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</row>
    <row r="225" spans="1:17" ht="12.5">
      <c r="A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</row>
    <row r="226" spans="1:17" ht="12.5">
      <c r="A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</row>
    <row r="227" spans="1:17" ht="12.5">
      <c r="A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</row>
    <row r="228" spans="1:17" ht="12.5">
      <c r="A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</row>
    <row r="229" spans="1:17" ht="12.5">
      <c r="A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</row>
    <row r="230" spans="1:17" ht="12.5">
      <c r="A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</row>
    <row r="231" spans="1:17" ht="12.5">
      <c r="A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</row>
    <row r="232" spans="1:17" ht="12.5">
      <c r="A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</row>
    <row r="233" spans="1:17" ht="12.5">
      <c r="A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</row>
    <row r="234" spans="1:17" ht="12.5">
      <c r="A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</row>
    <row r="235" spans="1:17" ht="12.5">
      <c r="A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</row>
    <row r="236" spans="1:17" ht="12.5">
      <c r="A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</row>
    <row r="237" spans="1:17" ht="12.5">
      <c r="A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</row>
    <row r="238" spans="1:17" ht="12.5">
      <c r="A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</row>
    <row r="239" spans="1:17" ht="12.5">
      <c r="A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</row>
    <row r="240" spans="1:17" ht="12.5">
      <c r="A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</row>
    <row r="241" spans="1:17" ht="12.5">
      <c r="A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</row>
    <row r="242" spans="1:17" ht="12.5">
      <c r="A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</row>
    <row r="243" spans="1:17" ht="12.5">
      <c r="A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</row>
    <row r="244" spans="1:17" ht="12.5">
      <c r="A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</row>
    <row r="245" spans="1:17" ht="12.5">
      <c r="A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</row>
    <row r="246" spans="1:17" ht="12.5">
      <c r="A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</row>
    <row r="247" spans="1:17" ht="12.5">
      <c r="A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</row>
    <row r="248" spans="1:17" ht="12.5">
      <c r="A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</row>
    <row r="249" spans="1:17" ht="12.5">
      <c r="A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</row>
    <row r="250" spans="1:17" ht="12.5">
      <c r="A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</row>
    <row r="251" spans="1:17" ht="12.5">
      <c r="A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</row>
    <row r="252" spans="1:17" ht="12.5">
      <c r="A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</row>
    <row r="253" spans="1:17" ht="12.5">
      <c r="A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</row>
    <row r="254" spans="1:17" ht="12.5">
      <c r="A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</row>
    <row r="255" spans="1:17" ht="12.5">
      <c r="A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</row>
    <row r="256" spans="1:17" ht="12.5">
      <c r="A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</row>
    <row r="257" spans="1:17" ht="12.5">
      <c r="A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</row>
    <row r="258" spans="1:17" ht="12.5">
      <c r="A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</row>
    <row r="259" spans="1:17" ht="12.5">
      <c r="A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</row>
    <row r="260" spans="1:17" ht="12.5">
      <c r="A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</row>
    <row r="261" spans="1:17" ht="12.5">
      <c r="A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</row>
    <row r="262" spans="1:17" ht="12.5">
      <c r="A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</row>
    <row r="263" spans="1:17" ht="12.5">
      <c r="A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</row>
    <row r="264" spans="1:17" ht="12.5">
      <c r="A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</row>
    <row r="265" spans="1:17" ht="12.5">
      <c r="A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</row>
    <row r="266" spans="1:17" ht="12.5">
      <c r="A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</row>
    <row r="267" spans="1:17" ht="12.5">
      <c r="A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</row>
    <row r="268" spans="1:17" ht="12.5">
      <c r="A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</row>
    <row r="269" spans="1:17" ht="12.5">
      <c r="A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</row>
    <row r="270" spans="1:17" ht="12.5">
      <c r="A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</row>
    <row r="271" spans="1:17" ht="12.5">
      <c r="A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</row>
    <row r="272" spans="1:17" ht="12.5">
      <c r="A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</row>
    <row r="273" spans="1:17" ht="12.5">
      <c r="A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</row>
    <row r="274" spans="1:17" ht="12.5">
      <c r="A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</row>
    <row r="275" spans="1:17" ht="12.5">
      <c r="A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</row>
    <row r="276" spans="1:17" ht="12.5">
      <c r="A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</row>
    <row r="277" spans="1:17" ht="12.5">
      <c r="A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</row>
    <row r="278" spans="1:17" ht="12.5">
      <c r="A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</row>
    <row r="279" spans="1:17" ht="12.5">
      <c r="A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</row>
    <row r="280" spans="1:17" ht="12.5">
      <c r="A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</row>
    <row r="281" spans="1:17" ht="12.5">
      <c r="A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</row>
    <row r="282" spans="1:17" ht="12.5">
      <c r="A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</row>
    <row r="283" spans="1:17" ht="12.5">
      <c r="A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</row>
    <row r="284" spans="1:17" ht="12.5">
      <c r="A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</row>
    <row r="285" spans="1:17" ht="12.5">
      <c r="A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</row>
    <row r="286" spans="1:17" ht="12.5">
      <c r="A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</row>
    <row r="287" spans="1:17" ht="12.5">
      <c r="A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</row>
    <row r="288" spans="1:17" ht="12.5">
      <c r="A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</row>
    <row r="289" spans="1:17" ht="12.5">
      <c r="A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</row>
    <row r="290" spans="1:17" ht="12.5">
      <c r="A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</row>
    <row r="291" spans="1:17" ht="12.5">
      <c r="A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</row>
    <row r="292" spans="1:17" ht="12.5">
      <c r="A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</row>
    <row r="293" spans="1:17" ht="12.5">
      <c r="A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</row>
    <row r="294" spans="1:17" ht="12.5">
      <c r="A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</row>
    <row r="295" spans="1:17" ht="12.5">
      <c r="A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</row>
    <row r="296" spans="1:17" ht="12.5">
      <c r="A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</row>
    <row r="297" spans="1:17" ht="12.5">
      <c r="A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</row>
    <row r="298" spans="1:17" ht="12.5">
      <c r="A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</row>
    <row r="299" spans="1:17" ht="12.5">
      <c r="A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</row>
    <row r="300" spans="1:17" ht="12.5">
      <c r="A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</row>
    <row r="301" spans="1:17" ht="12.5">
      <c r="A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</row>
    <row r="302" spans="1:17" ht="12.5">
      <c r="A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</row>
    <row r="303" spans="1:17" ht="12.5">
      <c r="A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</row>
    <row r="304" spans="1:17" ht="12.5">
      <c r="A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</row>
    <row r="305" spans="1:17" ht="12.5">
      <c r="A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</row>
    <row r="306" spans="1:17" ht="12.5">
      <c r="A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</row>
    <row r="307" spans="1:17" ht="12.5">
      <c r="A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</row>
    <row r="308" spans="1:17" ht="12.5">
      <c r="A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</row>
    <row r="309" spans="1:17" ht="12.5">
      <c r="A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</row>
    <row r="310" spans="1:17" ht="12.5">
      <c r="A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</row>
    <row r="311" spans="1:17" ht="12.5">
      <c r="A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</row>
    <row r="312" spans="1:17" ht="12.5">
      <c r="A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</row>
    <row r="313" spans="1:17" ht="12.5">
      <c r="A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</row>
    <row r="314" spans="1:17" ht="12.5">
      <c r="A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</row>
    <row r="315" spans="1:17" ht="12.5">
      <c r="A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</row>
    <row r="316" spans="1:17" ht="12.5">
      <c r="A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</row>
    <row r="317" spans="1:17" ht="12.5">
      <c r="A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</row>
    <row r="318" spans="1:17" ht="12.5">
      <c r="A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</row>
    <row r="319" spans="1:17" ht="12.5">
      <c r="A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</row>
    <row r="320" spans="1:17" ht="12.5">
      <c r="A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</row>
    <row r="321" spans="1:17" ht="12.5">
      <c r="A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</row>
    <row r="322" spans="1:17" ht="12.5">
      <c r="A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</row>
    <row r="323" spans="1:17" ht="12.5">
      <c r="A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</row>
    <row r="324" spans="1:17" ht="12.5">
      <c r="A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</row>
    <row r="325" spans="1:17" ht="12.5">
      <c r="A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</row>
    <row r="326" spans="1:17" ht="12.5">
      <c r="A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</row>
    <row r="327" spans="1:17" ht="12.5">
      <c r="A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</row>
    <row r="328" spans="1:17" ht="12.5">
      <c r="A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</row>
    <row r="329" spans="1:17" ht="12.5">
      <c r="A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</row>
    <row r="330" spans="1:17" ht="12.5">
      <c r="A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</row>
    <row r="331" spans="1:17" ht="12.5">
      <c r="A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</row>
    <row r="332" spans="1:17" ht="12.5">
      <c r="A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</row>
    <row r="333" spans="1:17" ht="12.5">
      <c r="A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</row>
    <row r="334" spans="1:17" ht="12.5">
      <c r="A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</row>
    <row r="335" spans="1:17" ht="12.5">
      <c r="A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</row>
    <row r="336" spans="1:17" ht="12.5">
      <c r="A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</row>
    <row r="337" spans="1:17" ht="12.5">
      <c r="A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</row>
    <row r="338" spans="1:17" ht="12.5">
      <c r="A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</row>
    <row r="339" spans="1:17" ht="12.5">
      <c r="A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</row>
    <row r="340" spans="1:17" ht="12.5">
      <c r="A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</row>
    <row r="341" spans="1:17" ht="12.5">
      <c r="A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</row>
    <row r="342" spans="1:17" ht="12.5">
      <c r="A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</row>
    <row r="343" spans="1:17" ht="12.5">
      <c r="A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</row>
    <row r="344" spans="1:17" ht="12.5">
      <c r="A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</row>
    <row r="345" spans="1:17" ht="12.5">
      <c r="A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</row>
    <row r="346" spans="1:17" ht="12.5">
      <c r="A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</row>
    <row r="347" spans="1:17" ht="12.5">
      <c r="A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</row>
    <row r="348" spans="1:17" ht="12.5">
      <c r="A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</row>
    <row r="349" spans="1:17" ht="12.5">
      <c r="A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</row>
    <row r="350" spans="1:17" ht="12.5">
      <c r="A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</row>
    <row r="351" spans="1:17" ht="12.5">
      <c r="A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</row>
    <row r="352" spans="1:17" ht="12.5">
      <c r="A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</row>
    <row r="353" spans="1:17" ht="12.5">
      <c r="A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</row>
    <row r="354" spans="1:17" ht="12.5">
      <c r="A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</row>
    <row r="355" spans="1:17" ht="12.5">
      <c r="A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</row>
    <row r="356" spans="1:17" ht="12.5">
      <c r="A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</row>
    <row r="357" spans="1:17" ht="12.5">
      <c r="A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</row>
    <row r="358" spans="1:17" ht="12.5">
      <c r="A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</row>
    <row r="359" spans="1:17" ht="12.5">
      <c r="A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</row>
    <row r="360" spans="1:17" ht="12.5">
      <c r="A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</row>
    <row r="361" spans="1:17" ht="12.5">
      <c r="A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</row>
    <row r="362" spans="1:17" ht="12.5">
      <c r="A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</row>
    <row r="363" spans="1:17" ht="12.5">
      <c r="A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</row>
    <row r="364" spans="1:17" ht="12.5">
      <c r="A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</row>
    <row r="365" spans="1:17" ht="12.5">
      <c r="A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</row>
    <row r="366" spans="1:17" ht="12.5">
      <c r="A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</row>
    <row r="367" spans="1:17" ht="12.5">
      <c r="A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</row>
    <row r="368" spans="1:17" ht="12.5">
      <c r="A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</row>
    <row r="369" spans="1:17" ht="12.5">
      <c r="A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</row>
    <row r="370" spans="1:17" ht="12.5">
      <c r="A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</row>
    <row r="371" spans="1:17" ht="12.5">
      <c r="A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</row>
    <row r="372" spans="1:17" ht="12.5">
      <c r="A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</row>
    <row r="373" spans="1:17" ht="12.5">
      <c r="A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</row>
    <row r="374" spans="1:17" ht="12.5">
      <c r="A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</row>
    <row r="375" spans="1:17" ht="12.5">
      <c r="A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</row>
    <row r="376" spans="1:17" ht="12.5">
      <c r="A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</row>
    <row r="377" spans="1:17" ht="12.5">
      <c r="A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</row>
    <row r="378" spans="1:17" ht="12.5">
      <c r="A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</row>
    <row r="379" spans="1:17" ht="12.5">
      <c r="A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</row>
    <row r="380" spans="1:17" ht="12.5">
      <c r="A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</row>
    <row r="381" spans="1:17" ht="12.5">
      <c r="A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</row>
    <row r="382" spans="1:17" ht="12.5">
      <c r="A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</row>
    <row r="383" spans="1:17" ht="12.5">
      <c r="A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</row>
    <row r="384" spans="1:17" ht="12.5">
      <c r="A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</row>
    <row r="385" spans="1:17" ht="12.5">
      <c r="A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</row>
    <row r="386" spans="1:17" ht="12.5">
      <c r="A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</row>
    <row r="387" spans="1:17" ht="12.5">
      <c r="A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</row>
    <row r="388" spans="1:17" ht="12.5">
      <c r="A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</row>
    <row r="389" spans="1:17" ht="12.5">
      <c r="A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</row>
    <row r="390" spans="1:17" ht="12.5">
      <c r="A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</row>
    <row r="391" spans="1:17" ht="12.5">
      <c r="A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</row>
    <row r="392" spans="1:17" ht="12.5">
      <c r="A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</row>
    <row r="393" spans="1:17" ht="12.5">
      <c r="A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</row>
    <row r="394" spans="1:17" ht="12.5">
      <c r="A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</row>
    <row r="395" spans="1:17" ht="12.5">
      <c r="A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</row>
    <row r="396" spans="1:17" ht="12.5">
      <c r="A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</row>
    <row r="397" spans="1:17" ht="12.5">
      <c r="A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</row>
    <row r="398" spans="1:17" ht="12.5">
      <c r="A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</row>
    <row r="399" spans="1:17" ht="12.5">
      <c r="A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</row>
    <row r="400" spans="1:17" ht="12.5">
      <c r="A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</row>
    <row r="401" spans="1:17" ht="12.5">
      <c r="A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</row>
    <row r="402" spans="1:17" ht="12.5">
      <c r="A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</row>
    <row r="403" spans="1:17" ht="12.5">
      <c r="A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</row>
    <row r="404" spans="1:17" ht="12.5">
      <c r="A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</row>
    <row r="405" spans="1:17" ht="12.5">
      <c r="A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</row>
    <row r="406" spans="1:17" ht="12.5">
      <c r="A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</row>
    <row r="407" spans="1:17" ht="12.5">
      <c r="A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</row>
    <row r="408" spans="1:17" ht="12.5">
      <c r="A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</row>
    <row r="409" spans="1:17" ht="12.5">
      <c r="A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</row>
    <row r="410" spans="1:17" ht="12.5">
      <c r="A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</row>
    <row r="411" spans="1:17" ht="12.5">
      <c r="A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</row>
    <row r="412" spans="1:17" ht="12.5">
      <c r="A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</row>
    <row r="413" spans="1:17" ht="12.5">
      <c r="A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</row>
    <row r="414" spans="1:17" ht="12.5">
      <c r="A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</row>
    <row r="415" spans="1:17" ht="12.5">
      <c r="A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</row>
    <row r="416" spans="1:17" ht="12.5">
      <c r="A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</row>
    <row r="417" spans="1:17" ht="12.5">
      <c r="A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</row>
    <row r="418" spans="1:17" ht="12.5">
      <c r="A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</row>
    <row r="419" spans="1:17" ht="12.5">
      <c r="A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</row>
    <row r="420" spans="1:17" ht="12.5">
      <c r="A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</row>
    <row r="421" spans="1:17" ht="12.5">
      <c r="A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</row>
    <row r="422" spans="1:17" ht="12.5">
      <c r="A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</row>
    <row r="423" spans="1:17" ht="12.5">
      <c r="A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</row>
    <row r="424" spans="1:17" ht="12.5">
      <c r="A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</row>
    <row r="425" spans="1:17" ht="12.5">
      <c r="A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</row>
    <row r="426" spans="1:17" ht="12.5">
      <c r="A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</row>
    <row r="427" spans="1:17" ht="12.5">
      <c r="A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</row>
    <row r="428" spans="1:17" ht="12.5">
      <c r="A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</row>
    <row r="429" spans="1:17" ht="12.5">
      <c r="A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</row>
    <row r="430" spans="1:17" ht="12.5">
      <c r="A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</row>
    <row r="431" spans="1:17" ht="12.5">
      <c r="A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</row>
    <row r="432" spans="1:17" ht="12.5">
      <c r="A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</row>
    <row r="433" spans="1:17" ht="12.5">
      <c r="A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</row>
    <row r="434" spans="1:17" ht="12.5">
      <c r="A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</row>
    <row r="435" spans="1:17" ht="12.5">
      <c r="A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</row>
    <row r="436" spans="1:17" ht="12.5">
      <c r="A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</row>
    <row r="437" spans="1:17" ht="12.5">
      <c r="A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</row>
    <row r="438" spans="1:17" ht="12.5">
      <c r="A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</row>
    <row r="439" spans="1:17" ht="12.5">
      <c r="A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</row>
    <row r="440" spans="1:17" ht="12.5">
      <c r="A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</row>
    <row r="441" spans="1:17" ht="12.5">
      <c r="A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</row>
    <row r="442" spans="1:17" ht="12.5">
      <c r="A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</row>
    <row r="443" spans="1:17" ht="12.5">
      <c r="A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</row>
    <row r="444" spans="1:17" ht="12.5">
      <c r="A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</row>
    <row r="445" spans="1:17" ht="12.5">
      <c r="A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</row>
    <row r="446" spans="1:17" ht="12.5">
      <c r="A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</row>
    <row r="447" spans="1:17" ht="12.5">
      <c r="A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</row>
    <row r="448" spans="1:17" ht="12.5">
      <c r="A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</row>
    <row r="449" spans="1:17" ht="12.5">
      <c r="A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</row>
    <row r="450" spans="1:17" ht="12.5">
      <c r="A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</row>
    <row r="451" spans="1:17" ht="12.5">
      <c r="A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</row>
    <row r="452" spans="1:17" ht="12.5">
      <c r="A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</row>
    <row r="453" spans="1:17" ht="12.5">
      <c r="A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</row>
    <row r="454" spans="1:17" ht="12.5">
      <c r="A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</row>
    <row r="455" spans="1:17" ht="12.5">
      <c r="A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</row>
    <row r="456" spans="1:17" ht="12.5">
      <c r="A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</row>
    <row r="457" spans="1:17" ht="12.5">
      <c r="A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</row>
    <row r="458" spans="1:17" ht="12.5">
      <c r="A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</row>
    <row r="459" spans="1:17" ht="12.5">
      <c r="A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</row>
    <row r="460" spans="1:17" ht="12.5">
      <c r="A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</row>
    <row r="461" spans="1:17" ht="12.5">
      <c r="A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</row>
    <row r="462" spans="1:17" ht="12.5">
      <c r="A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</row>
    <row r="463" spans="1:17" ht="12.5">
      <c r="A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</row>
    <row r="464" spans="1:17" ht="12.5">
      <c r="A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</row>
    <row r="465" spans="1:17" ht="12.5">
      <c r="A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</row>
    <row r="466" spans="1:17" ht="12.5">
      <c r="A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</row>
    <row r="467" spans="1:17" ht="12.5">
      <c r="A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</row>
    <row r="468" spans="1:17" ht="12.5">
      <c r="A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</row>
    <row r="469" spans="1:17" ht="12.5">
      <c r="A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</row>
    <row r="470" spans="1:17" ht="12.5">
      <c r="A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</row>
    <row r="471" spans="1:17" ht="12.5">
      <c r="A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</row>
    <row r="472" spans="1:17" ht="12.5">
      <c r="A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</row>
    <row r="473" spans="1:17" ht="12.5">
      <c r="A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</row>
    <row r="474" spans="1:17" ht="12.5">
      <c r="A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</row>
    <row r="475" spans="1:17" ht="12.5">
      <c r="A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</row>
    <row r="476" spans="1:17" ht="12.5">
      <c r="A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</row>
    <row r="477" spans="1:17" ht="12.5">
      <c r="A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</row>
    <row r="478" spans="1:17" ht="12.5">
      <c r="A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</row>
    <row r="479" spans="1:17" ht="12.5">
      <c r="A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</row>
    <row r="480" spans="1:17" ht="12.5">
      <c r="A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</row>
    <row r="481" spans="1:17" ht="12.5">
      <c r="A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</row>
    <row r="482" spans="1:17" ht="12.5">
      <c r="A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</row>
    <row r="483" spans="1:17" ht="12.5">
      <c r="A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</row>
    <row r="484" spans="1:17" ht="12.5">
      <c r="A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</row>
    <row r="485" spans="1:17" ht="12.5">
      <c r="A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</row>
    <row r="486" spans="1:17" ht="12.5">
      <c r="A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</row>
    <row r="487" spans="1:17" ht="12.5">
      <c r="A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</row>
    <row r="488" spans="1:17" ht="12.5">
      <c r="A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</row>
    <row r="489" spans="1:17" ht="12.5">
      <c r="A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</row>
    <row r="490" spans="1:17" ht="12.5">
      <c r="A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</row>
    <row r="491" spans="1:17" ht="12.5">
      <c r="A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</row>
    <row r="492" spans="1:17" ht="12.5">
      <c r="A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</row>
    <row r="493" spans="1:17" ht="12.5">
      <c r="A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</row>
    <row r="494" spans="1:17" ht="12.5">
      <c r="A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</row>
    <row r="495" spans="1:17" ht="12.5">
      <c r="A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</row>
    <row r="496" spans="1:17" ht="12.5">
      <c r="A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</row>
    <row r="497" spans="1:17" ht="12.5">
      <c r="A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</row>
    <row r="498" spans="1:17" ht="12.5">
      <c r="A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</row>
    <row r="499" spans="1:17" ht="12.5">
      <c r="A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</row>
    <row r="500" spans="1:17" ht="12.5">
      <c r="A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</row>
    <row r="501" spans="1:17" ht="12.5">
      <c r="A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</row>
    <row r="502" spans="1:17" ht="12.5">
      <c r="A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</row>
    <row r="503" spans="1:17" ht="12.5">
      <c r="A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</row>
    <row r="504" spans="1:17" ht="12.5">
      <c r="A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</row>
    <row r="505" spans="1:17" ht="12.5">
      <c r="A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</row>
    <row r="506" spans="1:17" ht="12.5">
      <c r="A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</row>
    <row r="507" spans="1:17" ht="12.5">
      <c r="A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</row>
    <row r="508" spans="1:17" ht="12.5">
      <c r="A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</row>
    <row r="509" spans="1:17" ht="12.5">
      <c r="A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</row>
    <row r="510" spans="1:17" ht="12.5">
      <c r="A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</row>
    <row r="511" spans="1:17" ht="12.5">
      <c r="A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</row>
    <row r="512" spans="1:17" ht="12.5">
      <c r="A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</row>
    <row r="513" spans="1:17" ht="12.5">
      <c r="A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</row>
    <row r="514" spans="1:17" ht="12.5">
      <c r="A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</row>
    <row r="515" spans="1:17" ht="12.5">
      <c r="A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</row>
    <row r="516" spans="1:17" ht="12.5">
      <c r="A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</row>
    <row r="517" spans="1:17" ht="12.5">
      <c r="A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</row>
    <row r="518" spans="1:17" ht="12.5">
      <c r="A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</row>
    <row r="519" spans="1:17" ht="12.5">
      <c r="A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</row>
    <row r="520" spans="1:17" ht="12.5">
      <c r="A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</row>
    <row r="521" spans="1:17" ht="12.5">
      <c r="A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</row>
    <row r="522" spans="1:17" ht="12.5">
      <c r="A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</row>
    <row r="523" spans="1:17" ht="12.5">
      <c r="A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</row>
    <row r="524" spans="1:17" ht="12.5">
      <c r="A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</row>
    <row r="525" spans="1:17" ht="12.5">
      <c r="A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</row>
    <row r="526" spans="1:17" ht="12.5">
      <c r="A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</row>
    <row r="527" spans="1:17" ht="12.5">
      <c r="A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</row>
    <row r="528" spans="1:17" ht="12.5">
      <c r="A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</row>
    <row r="529" spans="1:17" ht="12.5">
      <c r="A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</row>
    <row r="530" spans="1:17" ht="12.5">
      <c r="A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</row>
    <row r="531" spans="1:17" ht="12.5">
      <c r="A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</row>
    <row r="532" spans="1:17" ht="12.5">
      <c r="A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</row>
    <row r="533" spans="1:17" ht="12.5">
      <c r="A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</row>
    <row r="534" spans="1:17" ht="12.5">
      <c r="A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</row>
    <row r="535" spans="1:17" ht="12.5">
      <c r="A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</row>
    <row r="536" spans="1:17" ht="12.5">
      <c r="A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</row>
    <row r="537" spans="1:17" ht="12.5">
      <c r="A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</row>
    <row r="538" spans="1:17" ht="12.5">
      <c r="A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</row>
    <row r="539" spans="1:17" ht="12.5">
      <c r="A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</row>
    <row r="540" spans="1:17" ht="12.5">
      <c r="A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</row>
    <row r="541" spans="1:17" ht="12.5">
      <c r="A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</row>
    <row r="542" spans="1:17" ht="12.5">
      <c r="A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</row>
    <row r="543" spans="1:17" ht="12.5">
      <c r="A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</row>
    <row r="544" spans="1:17" ht="12.5">
      <c r="A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</row>
    <row r="545" spans="1:17" ht="12.5">
      <c r="A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</row>
    <row r="546" spans="1:17" ht="12.5">
      <c r="A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</row>
    <row r="547" spans="1:17" ht="12.5">
      <c r="A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</row>
    <row r="548" spans="1:17" ht="12.5">
      <c r="A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</row>
    <row r="549" spans="1:17" ht="12.5">
      <c r="A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</row>
    <row r="550" spans="1:17" ht="12.5">
      <c r="A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</row>
    <row r="551" spans="1:17" ht="12.5">
      <c r="A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</row>
    <row r="552" spans="1:17" ht="12.5">
      <c r="A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</row>
    <row r="553" spans="1:17" ht="12.5">
      <c r="A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</row>
    <row r="554" spans="1:17" ht="12.5">
      <c r="A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</row>
    <row r="555" spans="1:17" ht="12.5">
      <c r="A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</row>
    <row r="556" spans="1:17" ht="12.5">
      <c r="A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</row>
    <row r="557" spans="1:17" ht="12.5">
      <c r="A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</row>
    <row r="558" spans="1:17" ht="12.5">
      <c r="A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</row>
    <row r="559" spans="1:17" ht="12.5">
      <c r="A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</row>
    <row r="560" spans="1:17" ht="12.5">
      <c r="A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</row>
    <row r="561" spans="1:17" ht="12.5">
      <c r="A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</row>
    <row r="562" spans="1:17" ht="12.5">
      <c r="A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</row>
    <row r="563" spans="1:17" ht="12.5">
      <c r="A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</row>
    <row r="564" spans="1:17" ht="12.5">
      <c r="A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</row>
    <row r="565" spans="1:17" ht="12.5">
      <c r="A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</row>
    <row r="566" spans="1:17" ht="12.5">
      <c r="A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</row>
    <row r="567" spans="1:17" ht="12.5">
      <c r="A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</row>
    <row r="568" spans="1:17" ht="12.5">
      <c r="A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</row>
    <row r="569" spans="1:17" ht="12.5">
      <c r="A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</row>
    <row r="570" spans="1:17" ht="12.5">
      <c r="A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</row>
    <row r="571" spans="1:17" ht="12.5">
      <c r="A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</row>
    <row r="572" spans="1:17" ht="12.5">
      <c r="A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</row>
    <row r="573" spans="1:17" ht="12.5">
      <c r="A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</row>
    <row r="574" spans="1:17" ht="12.5">
      <c r="A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</row>
    <row r="575" spans="1:17" ht="12.5">
      <c r="A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</row>
    <row r="576" spans="1:17" ht="12.5">
      <c r="A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</row>
    <row r="577" spans="1:17" ht="12.5">
      <c r="A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</row>
    <row r="578" spans="1:17" ht="12.5">
      <c r="A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</row>
    <row r="579" spans="1:17" ht="12.5">
      <c r="A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</row>
    <row r="580" spans="1:17" ht="12.5">
      <c r="A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</row>
    <row r="581" spans="1:17" ht="12.5">
      <c r="A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</row>
    <row r="582" spans="1:17" ht="12.5">
      <c r="A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</row>
    <row r="583" spans="1:17" ht="12.5">
      <c r="A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</row>
    <row r="584" spans="1:17" ht="12.5">
      <c r="A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</row>
    <row r="585" spans="1:17" ht="12.5">
      <c r="A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</row>
    <row r="586" spans="1:17" ht="12.5">
      <c r="A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</row>
    <row r="587" spans="1:17" ht="12.5">
      <c r="A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</row>
    <row r="588" spans="1:17" ht="12.5">
      <c r="A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</row>
    <row r="589" spans="1:17" ht="12.5">
      <c r="A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</row>
    <row r="590" spans="1:17" ht="12.5">
      <c r="A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</row>
    <row r="591" spans="1:17" ht="12.5">
      <c r="A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</row>
    <row r="592" spans="1:17" ht="12.5">
      <c r="A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</row>
    <row r="593" spans="1:17" ht="12.5">
      <c r="A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</row>
    <row r="594" spans="1:17" ht="12.5">
      <c r="A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</row>
    <row r="595" spans="1:17" ht="12.5">
      <c r="A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</row>
    <row r="596" spans="1:17" ht="12.5">
      <c r="A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</row>
    <row r="597" spans="1:17" ht="12.5">
      <c r="A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</row>
    <row r="598" spans="1:17" ht="12.5">
      <c r="A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</row>
    <row r="599" spans="1:17" ht="12.5">
      <c r="A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</row>
    <row r="600" spans="1:17" ht="12.5">
      <c r="A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</row>
    <row r="601" spans="1:17" ht="12.5">
      <c r="A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</row>
    <row r="602" spans="1:17" ht="12.5">
      <c r="A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</row>
    <row r="603" spans="1:17" ht="12.5">
      <c r="A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</row>
    <row r="604" spans="1:17" ht="12.5">
      <c r="A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</row>
    <row r="605" spans="1:17" ht="12.5">
      <c r="A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</row>
    <row r="606" spans="1:17" ht="12.5">
      <c r="A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</row>
    <row r="607" spans="1:17" ht="12.5">
      <c r="A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</row>
    <row r="608" spans="1:17" ht="12.5">
      <c r="A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</row>
    <row r="609" spans="1:17" ht="12.5">
      <c r="A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</row>
    <row r="610" spans="1:17" ht="12.5">
      <c r="A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</row>
    <row r="611" spans="1:17" ht="12.5">
      <c r="A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</row>
    <row r="612" spans="1:17" ht="12.5">
      <c r="A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</row>
    <row r="613" spans="1:17" ht="12.5">
      <c r="A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</row>
    <row r="614" spans="1:17" ht="12.5">
      <c r="A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</row>
    <row r="615" spans="1:17" ht="12.5">
      <c r="A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</row>
    <row r="616" spans="1:17" ht="12.5">
      <c r="A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</row>
    <row r="617" spans="1:17" ht="12.5">
      <c r="A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</row>
    <row r="618" spans="1:17" ht="12.5">
      <c r="A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</row>
    <row r="619" spans="1:17" ht="12.5">
      <c r="A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</row>
    <row r="620" spans="1:17" ht="12.5">
      <c r="A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</row>
    <row r="621" spans="1:17" ht="12.5">
      <c r="A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</row>
    <row r="622" spans="1:17" ht="12.5">
      <c r="A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</row>
    <row r="623" spans="1:17" ht="12.5">
      <c r="A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</row>
    <row r="624" spans="1:17" ht="12.5">
      <c r="A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</row>
    <row r="625" spans="1:17" ht="12.5">
      <c r="A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</row>
    <row r="626" spans="1:17" ht="12.5">
      <c r="A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</row>
    <row r="627" spans="1:17" ht="12.5">
      <c r="A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</row>
    <row r="628" spans="1:17" ht="12.5">
      <c r="A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</row>
    <row r="629" spans="1:17" ht="12.5">
      <c r="A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</row>
    <row r="630" spans="1:17" ht="12.5">
      <c r="A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</row>
    <row r="631" spans="1:17" ht="12.5">
      <c r="A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</row>
    <row r="632" spans="1:17" ht="12.5">
      <c r="A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</row>
    <row r="633" spans="1:17" ht="12.5">
      <c r="A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</row>
    <row r="634" spans="1:17" ht="12.5">
      <c r="A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</row>
    <row r="635" spans="1:17" ht="12.5">
      <c r="A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</row>
    <row r="636" spans="1:17" ht="12.5">
      <c r="A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</row>
    <row r="637" spans="1:17" ht="12.5">
      <c r="A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</row>
    <row r="638" spans="1:17" ht="12.5">
      <c r="A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</row>
    <row r="639" spans="1:17" ht="12.5">
      <c r="A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</row>
    <row r="640" spans="1:17" ht="12.5">
      <c r="A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</row>
    <row r="641" spans="1:17" ht="12.5">
      <c r="A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</row>
    <row r="642" spans="1:17" ht="12.5">
      <c r="A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</row>
    <row r="643" spans="1:17" ht="12.5">
      <c r="A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</row>
    <row r="644" spans="1:17" ht="12.5">
      <c r="A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</row>
    <row r="645" spans="1:17" ht="12.5">
      <c r="A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</row>
    <row r="646" spans="1:17" ht="12.5">
      <c r="A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</row>
    <row r="647" spans="1:17" ht="12.5">
      <c r="A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</row>
    <row r="648" spans="1:17" ht="12.5">
      <c r="A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</row>
    <row r="649" spans="1:17" ht="12.5">
      <c r="A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</row>
    <row r="650" spans="1:17" ht="12.5">
      <c r="A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</row>
    <row r="651" spans="1:17" ht="12.5">
      <c r="A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</row>
    <row r="652" spans="1:17" ht="12.5">
      <c r="A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</row>
    <row r="653" spans="1:17" ht="12.5">
      <c r="A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</row>
    <row r="654" spans="1:17" ht="12.5">
      <c r="A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</row>
    <row r="655" spans="1:17" ht="12.5">
      <c r="A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</row>
    <row r="656" spans="1:17" ht="12.5">
      <c r="A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</row>
    <row r="657" spans="1:17" ht="12.5">
      <c r="A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</row>
    <row r="658" spans="1:17" ht="12.5">
      <c r="A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</row>
    <row r="659" spans="1:17" ht="12.5">
      <c r="A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</row>
    <row r="660" spans="1:17" ht="12.5">
      <c r="A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</row>
    <row r="661" spans="1:17" ht="12.5">
      <c r="A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</row>
    <row r="662" spans="1:17" ht="12.5">
      <c r="A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</row>
    <row r="663" spans="1:17" ht="12.5">
      <c r="A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</row>
    <row r="664" spans="1:17" ht="12.5">
      <c r="A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</row>
    <row r="665" spans="1:17" ht="12.5">
      <c r="A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</row>
    <row r="666" spans="1:17" ht="12.5">
      <c r="A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</row>
    <row r="667" spans="1:17" ht="12.5">
      <c r="A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</row>
    <row r="668" spans="1:17" ht="12.5">
      <c r="A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</row>
    <row r="669" spans="1:17" ht="12.5">
      <c r="A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</row>
    <row r="670" spans="1:17" ht="12.5">
      <c r="A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</row>
    <row r="671" spans="1:17" ht="12.5">
      <c r="A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</row>
    <row r="672" spans="1:17" ht="12.5">
      <c r="A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</row>
    <row r="673" spans="1:17" ht="12.5">
      <c r="A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</row>
    <row r="674" spans="1:17" ht="12.5">
      <c r="A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</row>
    <row r="675" spans="1:17" ht="12.5">
      <c r="A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</row>
    <row r="676" spans="1:17" ht="12.5">
      <c r="A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</row>
    <row r="677" spans="1:17" ht="12.5">
      <c r="A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</row>
    <row r="678" spans="1:17" ht="12.5">
      <c r="A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</row>
    <row r="679" spans="1:17" ht="12.5">
      <c r="A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</row>
    <row r="680" spans="1:17" ht="12.5">
      <c r="A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</row>
    <row r="681" spans="1:17" ht="12.5">
      <c r="A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</row>
    <row r="682" spans="1:17" ht="12.5">
      <c r="A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</row>
    <row r="683" spans="1:17" ht="12.5">
      <c r="A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</row>
    <row r="684" spans="1:17" ht="12.5">
      <c r="A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</row>
    <row r="685" spans="1:17" ht="12.5">
      <c r="A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</row>
    <row r="686" spans="1:17" ht="12.5">
      <c r="A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</row>
    <row r="687" spans="1:17" ht="12.5">
      <c r="A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</row>
    <row r="688" spans="1:17" ht="12.5">
      <c r="A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</row>
    <row r="689" spans="1:17" ht="12.5">
      <c r="A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</row>
    <row r="690" spans="1:17" ht="12.5">
      <c r="A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</row>
    <row r="691" spans="1:17" ht="12.5">
      <c r="A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</row>
    <row r="692" spans="1:17" ht="12.5">
      <c r="A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</row>
    <row r="693" spans="1:17" ht="12.5">
      <c r="A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</row>
    <row r="694" spans="1:17" ht="12.5">
      <c r="A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</row>
    <row r="695" spans="1:17" ht="12.5">
      <c r="A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</row>
    <row r="696" spans="1:17" ht="12.5">
      <c r="A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</row>
    <row r="697" spans="1:17" ht="12.5">
      <c r="A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</row>
    <row r="698" spans="1:17" ht="12.5">
      <c r="A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</row>
    <row r="699" spans="1:17" ht="12.5">
      <c r="A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</row>
    <row r="700" spans="1:17" ht="12.5">
      <c r="A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</row>
    <row r="701" spans="1:17" ht="12.5">
      <c r="A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</row>
    <row r="702" spans="1:17" ht="12.5">
      <c r="A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</row>
    <row r="703" spans="1:17" ht="12.5">
      <c r="A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</row>
    <row r="704" spans="1:17" ht="12.5">
      <c r="A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</row>
    <row r="705" spans="1:17" ht="12.5">
      <c r="A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</row>
    <row r="706" spans="1:17" ht="12.5">
      <c r="A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</row>
    <row r="707" spans="1:17" ht="12.5">
      <c r="A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</row>
    <row r="708" spans="1:17" ht="12.5">
      <c r="A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</row>
    <row r="709" spans="1:17" ht="12.5">
      <c r="A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</row>
    <row r="710" spans="1:17" ht="12.5">
      <c r="A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</row>
    <row r="711" spans="1:17" ht="12.5">
      <c r="A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</row>
    <row r="712" spans="1:17" ht="12.5">
      <c r="A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</row>
    <row r="713" spans="1:17" ht="12.5">
      <c r="A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</row>
    <row r="714" spans="1:17" ht="12.5">
      <c r="A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</row>
    <row r="715" spans="1:17" ht="12.5">
      <c r="A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</row>
    <row r="716" spans="1:17" ht="12.5">
      <c r="A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</row>
    <row r="717" spans="1:17" ht="12.5">
      <c r="A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</row>
    <row r="718" spans="1:17" ht="12.5">
      <c r="A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</row>
    <row r="719" spans="1:17" ht="12.5">
      <c r="A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</row>
    <row r="720" spans="1:17" ht="12.5">
      <c r="A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</row>
    <row r="721" spans="1:17" ht="12.5">
      <c r="A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</row>
    <row r="722" spans="1:17" ht="12.5">
      <c r="A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</row>
    <row r="723" spans="1:17" ht="12.5">
      <c r="A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</row>
    <row r="724" spans="1:17" ht="12.5">
      <c r="A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</row>
    <row r="725" spans="1:17" ht="12.5">
      <c r="A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</row>
    <row r="726" spans="1:17" ht="12.5">
      <c r="A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</row>
    <row r="727" spans="1:17" ht="12.5">
      <c r="A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</row>
    <row r="728" spans="1:17" ht="12.5">
      <c r="A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</row>
    <row r="729" spans="1:17" ht="12.5">
      <c r="A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</row>
    <row r="730" spans="1:17" ht="12.5">
      <c r="A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</row>
    <row r="731" spans="1:17" ht="12.5">
      <c r="A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</row>
    <row r="732" spans="1:17" ht="12.5">
      <c r="A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</row>
    <row r="733" spans="1:17" ht="12.5">
      <c r="A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</row>
    <row r="734" spans="1:17" ht="12.5">
      <c r="A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</row>
    <row r="735" spans="1:17" ht="12.5">
      <c r="A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</row>
    <row r="736" spans="1:17" ht="12.5">
      <c r="A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</row>
    <row r="737" spans="1:17" ht="12.5">
      <c r="A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</row>
    <row r="738" spans="1:17" ht="12.5">
      <c r="A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</row>
    <row r="739" spans="1:17" ht="12.5">
      <c r="A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</row>
    <row r="740" spans="1:17" ht="12.5">
      <c r="A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</row>
    <row r="741" spans="1:17" ht="12.5">
      <c r="A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</row>
    <row r="742" spans="1:17" ht="12.5">
      <c r="A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</row>
    <row r="743" spans="1:17" ht="12.5">
      <c r="A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</row>
    <row r="744" spans="1:17" ht="12.5">
      <c r="A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</row>
    <row r="745" spans="1:17" ht="12.5">
      <c r="A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</row>
    <row r="746" spans="1:17" ht="12.5">
      <c r="A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</row>
    <row r="747" spans="1:17" ht="12.5">
      <c r="A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</row>
    <row r="748" spans="1:17" ht="12.5">
      <c r="A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</row>
    <row r="749" spans="1:17" ht="12.5">
      <c r="A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</row>
    <row r="750" spans="1:17" ht="12.5">
      <c r="A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</row>
    <row r="751" spans="1:17" ht="12.5">
      <c r="A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</row>
    <row r="752" spans="1:17" ht="12.5">
      <c r="A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</row>
    <row r="753" spans="1:17" ht="12.5">
      <c r="A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</row>
    <row r="754" spans="1:17" ht="12.5">
      <c r="A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</row>
    <row r="755" spans="1:17" ht="12.5">
      <c r="A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</row>
    <row r="756" spans="1:17" ht="12.5">
      <c r="A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</row>
    <row r="757" spans="1:17" ht="12.5">
      <c r="A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</row>
    <row r="758" spans="1:17" ht="12.5">
      <c r="A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</row>
    <row r="759" spans="1:17" ht="12.5">
      <c r="A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</row>
    <row r="760" spans="1:17" ht="12.5">
      <c r="A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</row>
    <row r="761" spans="1:17" ht="12.5">
      <c r="A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</row>
    <row r="762" spans="1:17" ht="12.5">
      <c r="A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</row>
    <row r="763" spans="1:17" ht="12.5">
      <c r="A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</row>
    <row r="764" spans="1:17" ht="12.5">
      <c r="A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</row>
    <row r="765" spans="1:17" ht="12.5">
      <c r="A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</row>
    <row r="766" spans="1:17" ht="12.5">
      <c r="A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</row>
    <row r="767" spans="1:17" ht="12.5">
      <c r="A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</row>
    <row r="768" spans="1:17" ht="12.5">
      <c r="A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</row>
    <row r="769" spans="1:17" ht="12.5">
      <c r="A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</row>
    <row r="770" spans="1:17" ht="12.5">
      <c r="A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</row>
    <row r="771" spans="1:17" ht="12.5">
      <c r="A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</row>
    <row r="772" spans="1:17" ht="12.5">
      <c r="A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</row>
    <row r="773" spans="1:17" ht="12.5">
      <c r="A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</row>
    <row r="774" spans="1:17" ht="12.5">
      <c r="A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</row>
    <row r="775" spans="1:17" ht="12.5">
      <c r="A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</row>
    <row r="776" spans="1:17" ht="12.5">
      <c r="A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</row>
    <row r="777" spans="1:17" ht="12.5">
      <c r="A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</row>
    <row r="778" spans="1:17" ht="12.5">
      <c r="A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</row>
    <row r="779" spans="1:17" ht="12.5">
      <c r="A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</row>
    <row r="780" spans="1:17" ht="12.5">
      <c r="A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</row>
    <row r="781" spans="1:17" ht="12.5">
      <c r="A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</row>
    <row r="782" spans="1:17" ht="12.5">
      <c r="A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</row>
    <row r="783" spans="1:17" ht="12.5">
      <c r="A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</row>
    <row r="784" spans="1:17" ht="12.5">
      <c r="A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</row>
    <row r="785" spans="1:17" ht="12.5">
      <c r="A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</row>
    <row r="786" spans="1:17" ht="12.5">
      <c r="A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</row>
    <row r="787" spans="1:17" ht="12.5">
      <c r="A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</row>
    <row r="788" spans="1:17" ht="12.5">
      <c r="A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</row>
    <row r="789" spans="1:17" ht="12.5">
      <c r="A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</row>
    <row r="790" spans="1:17" ht="12.5">
      <c r="A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</row>
    <row r="791" spans="1:17" ht="12.5">
      <c r="A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</row>
    <row r="792" spans="1:17" ht="12.5">
      <c r="A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</row>
    <row r="793" spans="1:17" ht="12.5">
      <c r="A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</row>
    <row r="794" spans="1:17" ht="12.5">
      <c r="A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</row>
    <row r="795" spans="1:17" ht="12.5">
      <c r="A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</row>
    <row r="796" spans="1:17" ht="12.5">
      <c r="A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</row>
    <row r="797" spans="1:17" ht="12.5">
      <c r="A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</row>
    <row r="798" spans="1:17" ht="12.5">
      <c r="A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</row>
    <row r="799" spans="1:17" ht="12.5">
      <c r="A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</row>
    <row r="800" spans="1:17" ht="12.5">
      <c r="A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</row>
    <row r="801" spans="1:17" ht="12.5">
      <c r="A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</row>
    <row r="802" spans="1:17" ht="12.5">
      <c r="A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</row>
    <row r="803" spans="1:17" ht="12.5">
      <c r="A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</row>
    <row r="804" spans="1:17" ht="12.5">
      <c r="A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</row>
    <row r="805" spans="1:17" ht="12.5">
      <c r="A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</row>
    <row r="806" spans="1:17" ht="12.5">
      <c r="A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</row>
    <row r="807" spans="1:17" ht="12.5">
      <c r="A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</row>
    <row r="808" spans="1:17" ht="12.5">
      <c r="A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</row>
    <row r="809" spans="1:17" ht="12.5">
      <c r="A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</row>
    <row r="810" spans="1:17" ht="12.5">
      <c r="A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</row>
    <row r="811" spans="1:17" ht="12.5">
      <c r="A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</row>
    <row r="812" spans="1:17" ht="12.5">
      <c r="A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</row>
    <row r="813" spans="1:17" ht="12.5">
      <c r="A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</row>
    <row r="814" spans="1:17" ht="12.5">
      <c r="A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</row>
    <row r="815" spans="1:17" ht="12.5">
      <c r="A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</row>
    <row r="816" spans="1:17" ht="12.5">
      <c r="A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</row>
    <row r="817" spans="1:17" ht="12.5">
      <c r="A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</row>
    <row r="818" spans="1:17" ht="12.5">
      <c r="A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</row>
    <row r="819" spans="1:17" ht="12.5">
      <c r="A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</row>
    <row r="820" spans="1:17" ht="12.5">
      <c r="A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</row>
    <row r="821" spans="1:17" ht="12.5">
      <c r="A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</row>
    <row r="822" spans="1:17" ht="12.5">
      <c r="A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</row>
    <row r="823" spans="1:17" ht="12.5">
      <c r="A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</row>
    <row r="824" spans="1:17" ht="12.5">
      <c r="A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</row>
    <row r="825" spans="1:17" ht="12.5">
      <c r="A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</row>
    <row r="826" spans="1:17" ht="12.5">
      <c r="A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</row>
    <row r="827" spans="1:17" ht="12.5">
      <c r="A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</row>
    <row r="828" spans="1:17" ht="12.5">
      <c r="A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</row>
    <row r="829" spans="1:17" ht="12.5">
      <c r="A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</row>
    <row r="830" spans="1:17" ht="12.5">
      <c r="A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</row>
    <row r="831" spans="1:17" ht="12.5">
      <c r="A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</row>
    <row r="832" spans="1:17" ht="12.5">
      <c r="A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</row>
    <row r="833" spans="1:17" ht="12.5">
      <c r="A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</row>
    <row r="834" spans="1:17" ht="12.5">
      <c r="A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</row>
    <row r="835" spans="1:17" ht="12.5">
      <c r="A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</row>
    <row r="836" spans="1:17" ht="12.5">
      <c r="A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</row>
    <row r="837" spans="1:17" ht="12.5">
      <c r="A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</row>
    <row r="838" spans="1:17" ht="12.5">
      <c r="A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</row>
    <row r="839" spans="1:17" ht="12.5">
      <c r="A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</row>
    <row r="840" spans="1:17" ht="12.5">
      <c r="A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</row>
    <row r="841" spans="1:17" ht="12.5">
      <c r="A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</row>
    <row r="842" spans="1:17" ht="12.5">
      <c r="A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</row>
    <row r="843" spans="1:17" ht="12.5">
      <c r="A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</row>
    <row r="844" spans="1:17" ht="12.5">
      <c r="A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</row>
    <row r="845" spans="1:17" ht="12.5">
      <c r="A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</row>
    <row r="846" spans="1:17" ht="12.5">
      <c r="A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</row>
    <row r="847" spans="1:17" ht="12.5">
      <c r="A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</row>
    <row r="848" spans="1:17" ht="12.5">
      <c r="A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</row>
    <row r="849" spans="1:17" ht="12.5">
      <c r="A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</row>
    <row r="850" spans="1:17" ht="12.5">
      <c r="A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</row>
    <row r="851" spans="1:17" ht="12.5">
      <c r="A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</row>
    <row r="852" spans="1:17" ht="12.5">
      <c r="A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</row>
    <row r="853" spans="1:17" ht="12.5">
      <c r="A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</row>
    <row r="854" spans="1:17" ht="12.5">
      <c r="A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</row>
    <row r="855" spans="1:17" ht="12.5">
      <c r="A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</row>
    <row r="856" spans="1:17" ht="12.5">
      <c r="A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</row>
    <row r="857" spans="1:17" ht="12.5">
      <c r="A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</row>
    <row r="858" spans="1:17" ht="12.5">
      <c r="A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</row>
    <row r="859" spans="1:17" ht="12.5">
      <c r="A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</row>
    <row r="860" spans="1:17" ht="12.5">
      <c r="A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</row>
    <row r="861" spans="1:17" ht="12.5">
      <c r="A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</row>
    <row r="862" spans="1:17" ht="12.5">
      <c r="A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</row>
    <row r="863" spans="1:17" ht="12.5">
      <c r="A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</row>
    <row r="864" spans="1:17" ht="12.5">
      <c r="A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</row>
    <row r="865" spans="1:17" ht="12.5">
      <c r="A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</row>
    <row r="866" spans="1:17" ht="12.5">
      <c r="A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</row>
    <row r="867" spans="1:17" ht="12.5">
      <c r="A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</row>
    <row r="868" spans="1:17" ht="12.5">
      <c r="A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</row>
    <row r="869" spans="1:17" ht="12.5">
      <c r="A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</row>
    <row r="870" spans="1:17" ht="12.5">
      <c r="A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</row>
    <row r="871" spans="1:17" ht="12.5">
      <c r="A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</row>
    <row r="872" spans="1:17" ht="12.5">
      <c r="A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</row>
    <row r="873" spans="1:17" ht="12.5">
      <c r="A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</row>
    <row r="874" spans="1:17" ht="12.5">
      <c r="A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</row>
    <row r="875" spans="1:17" ht="12.5">
      <c r="A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</row>
    <row r="876" spans="1:17" ht="12.5">
      <c r="A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</row>
    <row r="877" spans="1:17" ht="12.5">
      <c r="A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</row>
    <row r="878" spans="1:17" ht="12.5">
      <c r="A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</row>
    <row r="879" spans="1:17" ht="12.5">
      <c r="A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</row>
    <row r="880" spans="1:17" ht="12.5">
      <c r="A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</row>
    <row r="881" spans="1:17" ht="12.5">
      <c r="A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</row>
    <row r="882" spans="1:17" ht="12.5">
      <c r="A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</row>
    <row r="883" spans="1:17" ht="12.5">
      <c r="A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</row>
    <row r="884" spans="1:17" ht="12.5">
      <c r="A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</row>
    <row r="885" spans="1:17" ht="12.5">
      <c r="A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</row>
    <row r="886" spans="1:17" ht="12.5">
      <c r="A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</row>
    <row r="887" spans="1:17" ht="12.5">
      <c r="A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</row>
    <row r="888" spans="1:17" ht="12.5">
      <c r="A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</row>
    <row r="889" spans="1:17" ht="12.5">
      <c r="A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</row>
    <row r="890" spans="1:17" ht="12.5">
      <c r="A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</row>
    <row r="891" spans="1:17" ht="12.5">
      <c r="A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</row>
    <row r="892" spans="1:17" ht="12.5">
      <c r="A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</row>
    <row r="893" spans="1:17" ht="12.5">
      <c r="A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</row>
    <row r="894" spans="1:17" ht="12.5">
      <c r="A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</row>
    <row r="895" spans="1:17" ht="12.5">
      <c r="A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</row>
    <row r="896" spans="1:17" ht="12.5">
      <c r="A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</row>
    <row r="897" spans="1:17" ht="12.5">
      <c r="A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</row>
    <row r="898" spans="1:17" ht="12.5">
      <c r="A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</row>
    <row r="899" spans="1:17" ht="12.5">
      <c r="A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</row>
    <row r="900" spans="1:17" ht="12.5">
      <c r="A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</row>
    <row r="901" spans="1:17" ht="12.5">
      <c r="A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</row>
    <row r="902" spans="1:17" ht="12.5">
      <c r="A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</row>
    <row r="903" spans="1:17" ht="12.5">
      <c r="A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</row>
    <row r="904" spans="1:17" ht="12.5">
      <c r="A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</row>
    <row r="905" spans="1:17" ht="12.5">
      <c r="A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</row>
    <row r="906" spans="1:17" ht="12.5">
      <c r="A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</row>
    <row r="907" spans="1:17" ht="12.5">
      <c r="A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</row>
    <row r="908" spans="1:17" ht="12.5">
      <c r="A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</row>
    <row r="909" spans="1:17" ht="12.5">
      <c r="A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</row>
    <row r="910" spans="1:17" ht="12.5">
      <c r="A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</row>
    <row r="911" spans="1:17" ht="12.5">
      <c r="A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</row>
    <row r="912" spans="1:17" ht="12.5">
      <c r="A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</row>
    <row r="913" spans="1:17" ht="12.5">
      <c r="A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</row>
    <row r="914" spans="1:17" ht="12.5">
      <c r="A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</row>
    <row r="915" spans="1:17" ht="12.5">
      <c r="A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</row>
    <row r="916" spans="1:17" ht="12.5">
      <c r="A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</row>
    <row r="917" spans="1:17" ht="12.5">
      <c r="A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</row>
    <row r="918" spans="1:17" ht="12.5">
      <c r="A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</row>
    <row r="919" spans="1:17" ht="12.5">
      <c r="A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</row>
    <row r="920" spans="1:17" ht="12.5">
      <c r="A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</row>
    <row r="921" spans="1:17" ht="12.5">
      <c r="A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</row>
    <row r="922" spans="1:17" ht="12.5">
      <c r="A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</row>
    <row r="923" spans="1:17" ht="12.5">
      <c r="A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</row>
    <row r="924" spans="1:17" ht="12.5">
      <c r="A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</row>
    <row r="925" spans="1:17" ht="12.5">
      <c r="A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</row>
    <row r="926" spans="1:17" ht="12.5">
      <c r="A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</row>
    <row r="927" spans="1:17" ht="12.5">
      <c r="A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</row>
    <row r="928" spans="1:17" ht="12.5">
      <c r="A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</row>
    <row r="929" spans="1:17" ht="12.5">
      <c r="A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</row>
    <row r="930" spans="1:17" ht="12.5">
      <c r="A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</row>
    <row r="931" spans="1:17" ht="12.5">
      <c r="A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</row>
    <row r="932" spans="1:17" ht="12.5">
      <c r="A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</row>
    <row r="933" spans="1:17" ht="12.5">
      <c r="A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</row>
    <row r="934" spans="1:17" ht="12.5">
      <c r="A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</row>
    <row r="935" spans="1:17" ht="12.5">
      <c r="A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</row>
    <row r="936" spans="1:17" ht="12.5">
      <c r="A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</row>
    <row r="937" spans="1:17" ht="12.5">
      <c r="A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</row>
    <row r="938" spans="1:17" ht="12.5">
      <c r="A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</row>
    <row r="939" spans="1:17" ht="12.5">
      <c r="A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</row>
    <row r="940" spans="1:17" ht="12.5">
      <c r="A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</row>
    <row r="941" spans="1:17" ht="12.5">
      <c r="A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</row>
    <row r="942" spans="1:17" ht="12.5">
      <c r="A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</row>
    <row r="943" spans="1:17" ht="12.5">
      <c r="A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</row>
    <row r="944" spans="1:17" ht="12.5">
      <c r="A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</row>
    <row r="945" spans="1:17" ht="12.5">
      <c r="A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</row>
    <row r="946" spans="1:17" ht="12.5">
      <c r="A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</row>
    <row r="947" spans="1:17" ht="12.5">
      <c r="A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</row>
    <row r="948" spans="1:17" ht="12.5">
      <c r="A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</row>
    <row r="949" spans="1:17" ht="12.5">
      <c r="A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</row>
    <row r="950" spans="1:17" ht="12.5">
      <c r="A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</row>
    <row r="951" spans="1:17" ht="12.5">
      <c r="A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</row>
    <row r="952" spans="1:17" ht="12.5">
      <c r="A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</row>
    <row r="953" spans="1:17" ht="12.5">
      <c r="A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</row>
    <row r="954" spans="1:17" ht="12.5">
      <c r="A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</row>
    <row r="955" spans="1:17" ht="12.5">
      <c r="A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</row>
    <row r="956" spans="1:17" ht="12.5">
      <c r="A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</row>
    <row r="957" spans="1:17" ht="12.5">
      <c r="A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</row>
    <row r="958" spans="1:17" ht="12.5">
      <c r="A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</row>
    <row r="959" spans="1:17" ht="12.5">
      <c r="A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</row>
    <row r="960" spans="1:17" ht="12.5">
      <c r="A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</row>
    <row r="961" spans="1:17" ht="12.5">
      <c r="A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</row>
    <row r="962" spans="1:17" ht="12.5">
      <c r="A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</row>
    <row r="963" spans="1:17" ht="12.5">
      <c r="A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</row>
    <row r="964" spans="1:17" ht="12.5">
      <c r="A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</row>
    <row r="965" spans="1:17" ht="12.5">
      <c r="A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</row>
    <row r="966" spans="1:17" ht="12.5">
      <c r="A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</row>
    <row r="967" spans="1:17" ht="12.5">
      <c r="A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</row>
    <row r="968" spans="1:17" ht="12.5">
      <c r="A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</row>
    <row r="969" spans="1:17" ht="12.5">
      <c r="A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</row>
    <row r="970" spans="1:17" ht="12.5">
      <c r="A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</row>
    <row r="971" spans="1:17" ht="12.5">
      <c r="A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</row>
    <row r="972" spans="1:17" ht="12.5">
      <c r="A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</row>
    <row r="973" spans="1:17" ht="12.5">
      <c r="A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</row>
    <row r="974" spans="1:17" ht="12.5">
      <c r="A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</row>
    <row r="975" spans="1:17" ht="12.5">
      <c r="A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</row>
    <row r="976" spans="1:17" ht="12.5">
      <c r="A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</row>
    <row r="977" spans="1:17" ht="12.5">
      <c r="A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</row>
    <row r="978" spans="1:17" ht="12.5">
      <c r="A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</row>
    <row r="979" spans="1:17" ht="12.5">
      <c r="A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</row>
    <row r="980" spans="1:17" ht="12.5">
      <c r="A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</row>
    <row r="981" spans="1:17" ht="12.5">
      <c r="A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</row>
    <row r="982" spans="1:17" ht="12.5">
      <c r="A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</row>
    <row r="983" spans="1:17" ht="12.5">
      <c r="A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</row>
    <row r="984" spans="1:17" ht="12.5">
      <c r="A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</row>
    <row r="985" spans="1:17" ht="12.5">
      <c r="A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</row>
    <row r="986" spans="1:17" ht="12.5">
      <c r="A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</row>
    <row r="987" spans="1:17" ht="12.5">
      <c r="A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</row>
    <row r="988" spans="1:17" ht="12.5">
      <c r="A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</row>
    <row r="989" spans="1:17" ht="12.5">
      <c r="A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</row>
    <row r="990" spans="1:17" ht="12.5">
      <c r="A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</row>
    <row r="991" spans="1:17" ht="12.5">
      <c r="A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</row>
    <row r="992" spans="1:17" ht="12.5">
      <c r="A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</row>
    <row r="993" spans="1:17" ht="12.5">
      <c r="A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</row>
    <row r="994" spans="1:17" ht="12.5">
      <c r="A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</row>
    <row r="995" spans="1:17" ht="12.5">
      <c r="A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</row>
    <row r="996" spans="1:17" ht="12.5">
      <c r="A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</row>
    <row r="997" spans="1:17" ht="12.5">
      <c r="A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</row>
    <row r="998" spans="1:17" ht="12.5">
      <c r="A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</row>
    <row r="999" spans="1:17" ht="12.5">
      <c r="A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</row>
    <row r="1000" spans="1:17" ht="12.5">
      <c r="A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</row>
    <row r="1001" spans="1:17" ht="12.5">
      <c r="A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</row>
    <row r="1002" spans="1:17" ht="12.5">
      <c r="A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G11002"/>
  <sheetViews>
    <sheetView showGridLines="0" workbookViewId="0"/>
  </sheetViews>
  <sheetFormatPr defaultColWidth="12.6328125" defaultRowHeight="15.75" customHeight="1"/>
  <sheetData>
    <row r="1" spans="1:33" ht="15.75" customHeight="1">
      <c r="A1" s="27" t="str">
        <f>Data!S1&amp;"- "&amp;T1&amp;"- "&amp;U1&amp;"- "&amp;V1&amp;"- "&amp;W1&amp;"- "&amp;X1&amp;"- "&amp;Y1&amp;"- "&amp;Z1&amp;"- "&amp;AA1&amp;"- "&amp;AB1&amp;"- "&amp;AC1&amp;"- "&amp;AD1</f>
        <v>Number- Date:- Bill To:- Total:- Subtotal:- Log 6- Log 7- Log 8- Log 9- Log 10- Log 11- Log 12</v>
      </c>
      <c r="S1" s="27" t="str">
        <f>Input!A1</f>
        <v>Number</v>
      </c>
      <c r="T1" s="27" t="str">
        <f>Input!B1</f>
        <v>Date:</v>
      </c>
      <c r="U1" s="32" t="str">
        <f>Input!C1</f>
        <v>Bill To:</v>
      </c>
      <c r="V1" s="27" t="str">
        <f>Input!D1</f>
        <v>Total:</v>
      </c>
      <c r="W1" s="27" t="str">
        <f>Input!E1</f>
        <v>Subtotal:</v>
      </c>
      <c r="X1" s="27" t="str">
        <f>Input!F1</f>
        <v>Log 6</v>
      </c>
      <c r="Y1" s="27" t="str">
        <f>Input!G1</f>
        <v>Log 7</v>
      </c>
      <c r="Z1" s="27" t="str">
        <f>Input!H1</f>
        <v>Log 8</v>
      </c>
      <c r="AA1" s="27" t="str">
        <f>Input!I1</f>
        <v>Log 9</v>
      </c>
      <c r="AB1" s="27" t="str">
        <f>Input!J1</f>
        <v>Log 10</v>
      </c>
      <c r="AC1" s="27" t="str">
        <f>Input!K1</f>
        <v>Log 11</v>
      </c>
      <c r="AD1" s="27" t="str">
        <f>Input!L1</f>
        <v>Log 12</v>
      </c>
      <c r="AE1" s="27" t="str">
        <f>Input!M1</f>
        <v>Date Paid:</v>
      </c>
      <c r="AF1" s="27" t="str">
        <f>Input!N1</f>
        <v>Via:</v>
      </c>
      <c r="AG1" s="27" t="str">
        <f>Input!O1</f>
        <v>Date Shipped:</v>
      </c>
    </row>
    <row r="2" spans="1:33" ht="15.75" customHeight="1">
      <c r="U2" s="32"/>
    </row>
    <row r="3" spans="1:33" ht="15.75" customHeight="1">
      <c r="U3" s="32"/>
    </row>
    <row r="4" spans="1:33" ht="15.75" customHeight="1">
      <c r="U4" s="32"/>
    </row>
    <row r="5" spans="1:33" ht="15.75" customHeight="1">
      <c r="U5" s="32"/>
    </row>
    <row r="6" spans="1:33" ht="15.75" customHeight="1">
      <c r="U6" s="32"/>
    </row>
    <row r="7" spans="1:33" ht="15.75" customHeight="1">
      <c r="U7" s="32"/>
    </row>
    <row r="8" spans="1:33" ht="15.75" customHeight="1">
      <c r="U8" s="32"/>
    </row>
    <row r="9" spans="1:33" ht="15.75" customHeight="1">
      <c r="U9" s="32"/>
    </row>
    <row r="10" spans="1:33" ht="15.75" customHeight="1">
      <c r="U10" s="32"/>
    </row>
    <row r="11" spans="1:33" ht="15.75" customHeight="1">
      <c r="U11" s="32"/>
    </row>
    <row r="12" spans="1:33" ht="15.75" customHeight="1">
      <c r="U12" s="32"/>
    </row>
    <row r="13" spans="1:33" ht="15.75" customHeight="1">
      <c r="U13" s="32"/>
    </row>
    <row r="14" spans="1:33" ht="15.75" customHeight="1">
      <c r="U14" s="32"/>
    </row>
    <row r="15" spans="1:33" ht="15.75" customHeight="1">
      <c r="U15" s="32"/>
    </row>
    <row r="16" spans="1:33" ht="15.75" customHeight="1">
      <c r="U16" s="32"/>
    </row>
    <row r="17" spans="21:21" ht="15.75" customHeight="1">
      <c r="U17" s="32"/>
    </row>
    <row r="18" spans="21:21" ht="15.75" customHeight="1">
      <c r="U18" s="32"/>
    </row>
    <row r="19" spans="21:21" ht="15.75" customHeight="1">
      <c r="U19" s="32"/>
    </row>
    <row r="20" spans="21:21" ht="15.75" customHeight="1">
      <c r="U20" s="32"/>
    </row>
    <row r="21" spans="21:21" ht="15.75" customHeight="1">
      <c r="U21" s="32"/>
    </row>
    <row r="22" spans="21:21" ht="15.75" customHeight="1">
      <c r="U22" s="32"/>
    </row>
    <row r="23" spans="21:21" ht="15.75" customHeight="1">
      <c r="U23" s="32"/>
    </row>
    <row r="24" spans="21:21" ht="15.75" customHeight="1">
      <c r="U24" s="32"/>
    </row>
    <row r="25" spans="21:21" ht="15.75" customHeight="1">
      <c r="U25" s="32"/>
    </row>
    <row r="26" spans="21:21" ht="15.75" customHeight="1">
      <c r="U26" s="32"/>
    </row>
    <row r="27" spans="21:21" ht="15.75" customHeight="1">
      <c r="U27" s="32"/>
    </row>
    <row r="28" spans="21:21" ht="15.75" customHeight="1">
      <c r="U28" s="32"/>
    </row>
    <row r="29" spans="21:21" ht="15.75" customHeight="1">
      <c r="U29" s="32"/>
    </row>
    <row r="30" spans="21:21" ht="15.75" customHeight="1">
      <c r="U30" s="32"/>
    </row>
    <row r="31" spans="21:21" ht="15.75" customHeight="1">
      <c r="U31" s="32"/>
    </row>
    <row r="32" spans="21:21" ht="15.75" customHeight="1">
      <c r="U32" s="32"/>
    </row>
    <row r="33" spans="21:21" ht="15.75" customHeight="1">
      <c r="U33" s="32"/>
    </row>
    <row r="34" spans="21:21" ht="15.75" customHeight="1">
      <c r="U34" s="32"/>
    </row>
    <row r="35" spans="21:21" ht="15.75" customHeight="1">
      <c r="U35" s="32"/>
    </row>
    <row r="36" spans="21:21" ht="15.75" customHeight="1">
      <c r="U36" s="32"/>
    </row>
    <row r="37" spans="21:21" ht="15.75" customHeight="1">
      <c r="U37" s="32"/>
    </row>
    <row r="38" spans="21:21" ht="15.75" customHeight="1">
      <c r="U38" s="32"/>
    </row>
    <row r="39" spans="21:21" ht="15.75" customHeight="1">
      <c r="U39" s="32"/>
    </row>
    <row r="40" spans="21:21" ht="12.5">
      <c r="U40" s="32"/>
    </row>
    <row r="41" spans="21:21" ht="12.5">
      <c r="U41" s="32"/>
    </row>
    <row r="42" spans="21:21" ht="12.5">
      <c r="U42" s="32"/>
    </row>
    <row r="43" spans="21:21" ht="12.5">
      <c r="U43" s="32"/>
    </row>
    <row r="44" spans="21:21" ht="12.5">
      <c r="U44" s="32"/>
    </row>
    <row r="45" spans="21:21" ht="12.5">
      <c r="U45" s="32"/>
    </row>
    <row r="46" spans="21:21" ht="12.5">
      <c r="U46" s="32"/>
    </row>
    <row r="47" spans="21:21" ht="12.5">
      <c r="U47" s="32"/>
    </row>
    <row r="48" spans="21:21" ht="12.5">
      <c r="U48" s="32"/>
    </row>
    <row r="49" spans="21:21" ht="12.5">
      <c r="U49" s="32"/>
    </row>
    <row r="50" spans="21:21" ht="12.5">
      <c r="U50" s="32"/>
    </row>
    <row r="51" spans="21:21" ht="12.5">
      <c r="U51" s="32"/>
    </row>
    <row r="52" spans="21:21" ht="12.5">
      <c r="U52" s="32"/>
    </row>
    <row r="53" spans="21:21" ht="12.5">
      <c r="U53" s="32"/>
    </row>
    <row r="54" spans="21:21" ht="12.5">
      <c r="U54" s="32"/>
    </row>
    <row r="55" spans="21:21" ht="12.5">
      <c r="U55" s="32"/>
    </row>
    <row r="56" spans="21:21" ht="12.5">
      <c r="U56" s="32"/>
    </row>
    <row r="57" spans="21:21" ht="12.5">
      <c r="U57" s="32"/>
    </row>
    <row r="58" spans="21:21" ht="12.5">
      <c r="U58" s="32"/>
    </row>
    <row r="59" spans="21:21" ht="12.5">
      <c r="U59" s="32"/>
    </row>
    <row r="60" spans="21:21" ht="12.5">
      <c r="U60" s="32"/>
    </row>
    <row r="61" spans="21:21" ht="12.5">
      <c r="U61" s="32"/>
    </row>
    <row r="62" spans="21:21" ht="12.5">
      <c r="U62" s="32"/>
    </row>
    <row r="63" spans="21:21" ht="12.5">
      <c r="U63" s="32"/>
    </row>
    <row r="64" spans="21:21" ht="12.5">
      <c r="U64" s="32"/>
    </row>
    <row r="65" spans="21:21" ht="12.5">
      <c r="U65" s="32"/>
    </row>
    <row r="66" spans="21:21" ht="12.5">
      <c r="U66" s="32"/>
    </row>
    <row r="67" spans="21:21" ht="12.5">
      <c r="U67" s="32"/>
    </row>
    <row r="68" spans="21:21" ht="12.5">
      <c r="U68" s="32"/>
    </row>
    <row r="69" spans="21:21" ht="12.5">
      <c r="U69" s="32"/>
    </row>
    <row r="70" spans="21:21" ht="12.5">
      <c r="U70" s="32"/>
    </row>
    <row r="71" spans="21:21" ht="12.5">
      <c r="U71" s="32"/>
    </row>
    <row r="72" spans="21:21" ht="12.5">
      <c r="U72" s="32"/>
    </row>
    <row r="73" spans="21:21" ht="12.5">
      <c r="U73" s="32"/>
    </row>
    <row r="74" spans="21:21" ht="12.5">
      <c r="U74" s="32"/>
    </row>
    <row r="75" spans="21:21" ht="12.5">
      <c r="U75" s="32"/>
    </row>
    <row r="76" spans="21:21" ht="12.5">
      <c r="U76" s="32"/>
    </row>
    <row r="77" spans="21:21" ht="12.5">
      <c r="U77" s="32"/>
    </row>
    <row r="78" spans="21:21" ht="12.5">
      <c r="U78" s="32"/>
    </row>
    <row r="79" spans="21:21" ht="12.5">
      <c r="U79" s="32"/>
    </row>
    <row r="80" spans="21:21" ht="12.5">
      <c r="U80" s="32"/>
    </row>
    <row r="81" spans="21:21" ht="12.5">
      <c r="U81" s="32"/>
    </row>
    <row r="82" spans="21:21" ht="12.5">
      <c r="U82" s="32"/>
    </row>
    <row r="83" spans="21:21" ht="12.5">
      <c r="U83" s="32"/>
    </row>
    <row r="84" spans="21:21" ht="12.5">
      <c r="U84" s="32"/>
    </row>
    <row r="85" spans="21:21" ht="12.5">
      <c r="U85" s="32"/>
    </row>
    <row r="86" spans="21:21" ht="12.5">
      <c r="U86" s="32"/>
    </row>
    <row r="87" spans="21:21" ht="12.5">
      <c r="U87" s="32"/>
    </row>
    <row r="88" spans="21:21" ht="12.5">
      <c r="U88" s="32"/>
    </row>
    <row r="89" spans="21:21" ht="12.5">
      <c r="U89" s="32"/>
    </row>
    <row r="90" spans="21:21" ht="12.5">
      <c r="U90" s="32"/>
    </row>
    <row r="91" spans="21:21" ht="12.5">
      <c r="U91" s="32"/>
    </row>
    <row r="92" spans="21:21" ht="12.5">
      <c r="U92" s="32"/>
    </row>
    <row r="93" spans="21:21" ht="12.5">
      <c r="U93" s="32"/>
    </row>
    <row r="94" spans="21:21" ht="12.5">
      <c r="U94" s="32"/>
    </row>
    <row r="95" spans="21:21" ht="12.5">
      <c r="U95" s="32"/>
    </row>
    <row r="96" spans="21:21" ht="12.5">
      <c r="U96" s="32"/>
    </row>
    <row r="97" spans="21:21" ht="12.5">
      <c r="U97" s="32"/>
    </row>
    <row r="98" spans="21:21" ht="12.5">
      <c r="U98" s="32"/>
    </row>
    <row r="99" spans="21:21" ht="12.5">
      <c r="U99" s="32"/>
    </row>
    <row r="100" spans="21:21" ht="12.5">
      <c r="U100" s="32"/>
    </row>
    <row r="101" spans="21:21" ht="12.5">
      <c r="U101" s="32"/>
    </row>
    <row r="102" spans="21:21" ht="12.5">
      <c r="U102" s="32"/>
    </row>
    <row r="103" spans="21:21" ht="12.5">
      <c r="U103" s="32"/>
    </row>
    <row r="104" spans="21:21" ht="12.5">
      <c r="U104" s="32"/>
    </row>
    <row r="105" spans="21:21" ht="12.5">
      <c r="U105" s="32"/>
    </row>
    <row r="106" spans="21:21" ht="12.5">
      <c r="U106" s="32"/>
    </row>
    <row r="107" spans="21:21" ht="12.5">
      <c r="U107" s="32"/>
    </row>
    <row r="108" spans="21:21" ht="12.5">
      <c r="U108" s="32"/>
    </row>
    <row r="109" spans="21:21" ht="12.5">
      <c r="U109" s="32"/>
    </row>
    <row r="110" spans="21:21" ht="12.5">
      <c r="U110" s="32"/>
    </row>
    <row r="111" spans="21:21" ht="12.5">
      <c r="U111" s="32"/>
    </row>
    <row r="112" spans="21:21" ht="12.5">
      <c r="U112" s="32"/>
    </row>
    <row r="113" spans="21:21" ht="12.5">
      <c r="U113" s="32"/>
    </row>
    <row r="114" spans="21:21" ht="12.5">
      <c r="U114" s="32"/>
    </row>
    <row r="115" spans="21:21" ht="12.5">
      <c r="U115" s="32"/>
    </row>
    <row r="116" spans="21:21" ht="12.5">
      <c r="U116" s="32"/>
    </row>
    <row r="117" spans="21:21" ht="12.5">
      <c r="U117" s="32"/>
    </row>
    <row r="118" spans="21:21" ht="12.5">
      <c r="U118" s="32"/>
    </row>
    <row r="119" spans="21:21" ht="12.5">
      <c r="U119" s="32"/>
    </row>
    <row r="120" spans="21:21" ht="12.5">
      <c r="U120" s="32"/>
    </row>
    <row r="121" spans="21:21" ht="12.5">
      <c r="U121" s="32"/>
    </row>
    <row r="122" spans="21:21" ht="12.5">
      <c r="U122" s="32"/>
    </row>
    <row r="123" spans="21:21" ht="12.5">
      <c r="U123" s="32"/>
    </row>
    <row r="124" spans="21:21" ht="12.5">
      <c r="U124" s="32"/>
    </row>
    <row r="125" spans="21:21" ht="12.5">
      <c r="U125" s="32"/>
    </row>
    <row r="126" spans="21:21" ht="12.5">
      <c r="U126" s="32"/>
    </row>
    <row r="127" spans="21:21" ht="12.5">
      <c r="U127" s="32"/>
    </row>
    <row r="128" spans="21:21" ht="12.5">
      <c r="U128" s="32"/>
    </row>
    <row r="129" spans="21:21" ht="12.5">
      <c r="U129" s="32"/>
    </row>
    <row r="130" spans="21:21" ht="12.5">
      <c r="U130" s="32"/>
    </row>
    <row r="131" spans="21:21" ht="12.5">
      <c r="U131" s="32"/>
    </row>
    <row r="132" spans="21:21" ht="12.5">
      <c r="U132" s="32"/>
    </row>
    <row r="133" spans="21:21" ht="12.5">
      <c r="U133" s="32"/>
    </row>
    <row r="134" spans="21:21" ht="12.5">
      <c r="U134" s="32"/>
    </row>
    <row r="135" spans="21:21" ht="12.5">
      <c r="U135" s="32"/>
    </row>
    <row r="136" spans="21:21" ht="12.5">
      <c r="U136" s="32"/>
    </row>
    <row r="137" spans="21:21" ht="12.5">
      <c r="U137" s="32"/>
    </row>
    <row r="138" spans="21:21" ht="12.5">
      <c r="U138" s="32"/>
    </row>
    <row r="139" spans="21:21" ht="12.5">
      <c r="U139" s="32"/>
    </row>
    <row r="140" spans="21:21" ht="12.5">
      <c r="U140" s="32"/>
    </row>
    <row r="141" spans="21:21" ht="12.5">
      <c r="U141" s="32"/>
    </row>
    <row r="142" spans="21:21" ht="12.5">
      <c r="U142" s="32"/>
    </row>
    <row r="143" spans="21:21" ht="12.5">
      <c r="U143" s="32"/>
    </row>
    <row r="144" spans="21:21" ht="12.5">
      <c r="U144" s="32"/>
    </row>
    <row r="145" spans="21:21" ht="12.5">
      <c r="U145" s="32"/>
    </row>
    <row r="146" spans="21:21" ht="12.5">
      <c r="U146" s="32"/>
    </row>
    <row r="147" spans="21:21" ht="12.5">
      <c r="U147" s="32"/>
    </row>
    <row r="148" spans="21:21" ht="12.5">
      <c r="U148" s="32"/>
    </row>
    <row r="149" spans="21:21" ht="12.5">
      <c r="U149" s="32"/>
    </row>
    <row r="150" spans="21:21" ht="12.5">
      <c r="U150" s="32"/>
    </row>
    <row r="151" spans="21:21" ht="12.5">
      <c r="U151" s="32"/>
    </row>
    <row r="152" spans="21:21" ht="12.5">
      <c r="U152" s="32"/>
    </row>
    <row r="153" spans="21:21" ht="12.5">
      <c r="U153" s="32"/>
    </row>
    <row r="154" spans="21:21" ht="12.5">
      <c r="U154" s="32"/>
    </row>
    <row r="155" spans="21:21" ht="12.5">
      <c r="U155" s="32"/>
    </row>
    <row r="156" spans="21:21" ht="12.5">
      <c r="U156" s="32"/>
    </row>
    <row r="157" spans="21:21" ht="12.5">
      <c r="U157" s="32"/>
    </row>
    <row r="158" spans="21:21" ht="12.5">
      <c r="U158" s="32"/>
    </row>
    <row r="159" spans="21:21" ht="12.5">
      <c r="U159" s="32"/>
    </row>
    <row r="160" spans="21:21" ht="12.5">
      <c r="U160" s="32"/>
    </row>
    <row r="161" spans="21:21" ht="12.5">
      <c r="U161" s="32"/>
    </row>
    <row r="162" spans="21:21" ht="12.5">
      <c r="U162" s="32"/>
    </row>
    <row r="163" spans="21:21" ht="12.5">
      <c r="U163" s="32"/>
    </row>
    <row r="164" spans="21:21" ht="12.5">
      <c r="U164" s="32"/>
    </row>
    <row r="165" spans="21:21" ht="12.5">
      <c r="U165" s="32"/>
    </row>
    <row r="166" spans="21:21" ht="12.5">
      <c r="U166" s="32"/>
    </row>
    <row r="167" spans="21:21" ht="12.5">
      <c r="U167" s="32"/>
    </row>
    <row r="168" spans="21:21" ht="12.5">
      <c r="U168" s="32"/>
    </row>
    <row r="169" spans="21:21" ht="12.5">
      <c r="U169" s="32"/>
    </row>
    <row r="170" spans="21:21" ht="12.5">
      <c r="U170" s="32"/>
    </row>
    <row r="171" spans="21:21" ht="12.5">
      <c r="U171" s="32"/>
    </row>
    <row r="172" spans="21:21" ht="12.5">
      <c r="U172" s="32"/>
    </row>
    <row r="173" spans="21:21" ht="12.5">
      <c r="U173" s="32"/>
    </row>
    <row r="174" spans="21:21" ht="12.5">
      <c r="U174" s="32"/>
    </row>
    <row r="175" spans="21:21" ht="12.5">
      <c r="U175" s="32"/>
    </row>
    <row r="176" spans="21:21" ht="12.5">
      <c r="U176" s="32"/>
    </row>
    <row r="177" spans="21:21" ht="12.5">
      <c r="U177" s="32"/>
    </row>
    <row r="178" spans="21:21" ht="12.5">
      <c r="U178" s="32"/>
    </row>
    <row r="179" spans="21:21" ht="12.5">
      <c r="U179" s="32"/>
    </row>
    <row r="180" spans="21:21" ht="12.5">
      <c r="U180" s="32"/>
    </row>
    <row r="181" spans="21:21" ht="12.5">
      <c r="U181" s="32"/>
    </row>
    <row r="182" spans="21:21" ht="12.5">
      <c r="U182" s="32"/>
    </row>
    <row r="183" spans="21:21" ht="12.5">
      <c r="U183" s="32"/>
    </row>
    <row r="184" spans="21:21" ht="12.5">
      <c r="U184" s="32"/>
    </row>
    <row r="185" spans="21:21" ht="12.5">
      <c r="U185" s="32"/>
    </row>
    <row r="186" spans="21:21" ht="12.5">
      <c r="U186" s="32"/>
    </row>
    <row r="187" spans="21:21" ht="12.5">
      <c r="U187" s="32"/>
    </row>
    <row r="188" spans="21:21" ht="12.5">
      <c r="U188" s="32"/>
    </row>
    <row r="189" spans="21:21" ht="12.5">
      <c r="U189" s="32"/>
    </row>
    <row r="190" spans="21:21" ht="12.5">
      <c r="U190" s="32"/>
    </row>
    <row r="191" spans="21:21" ht="12.5">
      <c r="U191" s="32"/>
    </row>
    <row r="192" spans="21:21" ht="12.5">
      <c r="U192" s="32"/>
    </row>
    <row r="193" spans="21:21" ht="12.5">
      <c r="U193" s="32"/>
    </row>
    <row r="194" spans="21:21" ht="12.5">
      <c r="U194" s="32"/>
    </row>
    <row r="195" spans="21:21" ht="12.5">
      <c r="U195" s="32"/>
    </row>
    <row r="196" spans="21:21" ht="12.5">
      <c r="U196" s="32"/>
    </row>
    <row r="197" spans="21:21" ht="12.5">
      <c r="U197" s="32"/>
    </row>
    <row r="198" spans="21:21" ht="12.5">
      <c r="U198" s="32"/>
    </row>
    <row r="199" spans="21:21" ht="12.5">
      <c r="U199" s="32"/>
    </row>
    <row r="200" spans="21:21" ht="12.5">
      <c r="U200" s="32"/>
    </row>
    <row r="201" spans="21:21" ht="12.5">
      <c r="U201" s="32"/>
    </row>
    <row r="202" spans="21:21" ht="12.5">
      <c r="U202" s="32"/>
    </row>
    <row r="203" spans="21:21" ht="12.5">
      <c r="U203" s="32"/>
    </row>
    <row r="204" spans="21:21" ht="12.5">
      <c r="U204" s="32"/>
    </row>
    <row r="205" spans="21:21" ht="12.5">
      <c r="U205" s="32"/>
    </row>
    <row r="206" spans="21:21" ht="12.5">
      <c r="U206" s="32"/>
    </row>
    <row r="207" spans="21:21" ht="12.5">
      <c r="U207" s="32"/>
    </row>
    <row r="208" spans="21:21" ht="12.5">
      <c r="U208" s="32"/>
    </row>
    <row r="209" spans="21:21" ht="12.5">
      <c r="U209" s="32"/>
    </row>
    <row r="210" spans="21:21" ht="12.5">
      <c r="U210" s="32"/>
    </row>
    <row r="211" spans="21:21" ht="12.5">
      <c r="U211" s="32"/>
    </row>
    <row r="212" spans="21:21" ht="12.5">
      <c r="U212" s="32"/>
    </row>
    <row r="213" spans="21:21" ht="12.5">
      <c r="U213" s="32"/>
    </row>
    <row r="214" spans="21:21" ht="12.5">
      <c r="U214" s="32"/>
    </row>
    <row r="215" spans="21:21" ht="12.5">
      <c r="U215" s="32"/>
    </row>
    <row r="216" spans="21:21" ht="12.5">
      <c r="U216" s="32"/>
    </row>
    <row r="217" spans="21:21" ht="12.5">
      <c r="U217" s="32"/>
    </row>
    <row r="218" spans="21:21" ht="12.5">
      <c r="U218" s="32"/>
    </row>
    <row r="219" spans="21:21" ht="12.5">
      <c r="U219" s="32"/>
    </row>
    <row r="220" spans="21:21" ht="12.5">
      <c r="U220" s="32"/>
    </row>
    <row r="221" spans="21:21" ht="12.5">
      <c r="U221" s="32"/>
    </row>
    <row r="222" spans="21:21" ht="12.5">
      <c r="U222" s="32"/>
    </row>
    <row r="223" spans="21:21" ht="12.5">
      <c r="U223" s="32"/>
    </row>
    <row r="224" spans="21:21" ht="12.5">
      <c r="U224" s="32"/>
    </row>
    <row r="225" spans="21:21" ht="12.5">
      <c r="U225" s="32"/>
    </row>
    <row r="226" spans="21:21" ht="12.5">
      <c r="U226" s="32"/>
    </row>
    <row r="227" spans="21:21" ht="12.5">
      <c r="U227" s="32"/>
    </row>
    <row r="228" spans="21:21" ht="12.5">
      <c r="U228" s="32"/>
    </row>
    <row r="229" spans="21:21" ht="12.5">
      <c r="U229" s="32"/>
    </row>
    <row r="230" spans="21:21" ht="12.5">
      <c r="U230" s="32"/>
    </row>
    <row r="231" spans="21:21" ht="12.5">
      <c r="U231" s="32"/>
    </row>
    <row r="232" spans="21:21" ht="12.5">
      <c r="U232" s="32"/>
    </row>
    <row r="233" spans="21:21" ht="12.5">
      <c r="U233" s="32"/>
    </row>
    <row r="234" spans="21:21" ht="12.5">
      <c r="U234" s="32"/>
    </row>
    <row r="235" spans="21:21" ht="12.5">
      <c r="U235" s="32"/>
    </row>
    <row r="236" spans="21:21" ht="12.5">
      <c r="U236" s="32"/>
    </row>
    <row r="237" spans="21:21" ht="12.5">
      <c r="U237" s="32"/>
    </row>
    <row r="238" spans="21:21" ht="12.5">
      <c r="U238" s="32"/>
    </row>
    <row r="239" spans="21:21" ht="12.5">
      <c r="U239" s="32"/>
    </row>
    <row r="240" spans="21:21" ht="12.5">
      <c r="U240" s="32"/>
    </row>
    <row r="241" spans="21:21" ht="12.5">
      <c r="U241" s="32"/>
    </row>
    <row r="242" spans="21:21" ht="12.5">
      <c r="U242" s="32"/>
    </row>
    <row r="243" spans="21:21" ht="12.5">
      <c r="U243" s="32"/>
    </row>
    <row r="244" spans="21:21" ht="12.5">
      <c r="U244" s="32"/>
    </row>
    <row r="245" spans="21:21" ht="12.5">
      <c r="U245" s="32"/>
    </row>
    <row r="246" spans="21:21" ht="12.5">
      <c r="U246" s="32"/>
    </row>
    <row r="247" spans="21:21" ht="12.5">
      <c r="U247" s="32"/>
    </row>
    <row r="248" spans="21:21" ht="12.5">
      <c r="U248" s="32"/>
    </row>
    <row r="249" spans="21:21" ht="12.5">
      <c r="U249" s="32"/>
    </row>
    <row r="250" spans="21:21" ht="12.5">
      <c r="U250" s="32"/>
    </row>
    <row r="251" spans="21:21" ht="12.5">
      <c r="U251" s="32"/>
    </row>
    <row r="252" spans="21:21" ht="12.5">
      <c r="U252" s="32"/>
    </row>
    <row r="253" spans="21:21" ht="12.5">
      <c r="U253" s="32"/>
    </row>
    <row r="254" spans="21:21" ht="12.5">
      <c r="U254" s="32"/>
    </row>
    <row r="255" spans="21:21" ht="12.5">
      <c r="U255" s="32"/>
    </row>
    <row r="256" spans="21:21" ht="12.5">
      <c r="U256" s="32"/>
    </row>
    <row r="257" spans="21:21" ht="12.5">
      <c r="U257" s="32"/>
    </row>
    <row r="258" spans="21:21" ht="12.5">
      <c r="U258" s="32"/>
    </row>
    <row r="259" spans="21:21" ht="12.5">
      <c r="U259" s="32"/>
    </row>
    <row r="260" spans="21:21" ht="12.5">
      <c r="U260" s="32"/>
    </row>
    <row r="261" spans="21:21" ht="12.5">
      <c r="U261" s="32"/>
    </row>
    <row r="262" spans="21:21" ht="12.5">
      <c r="U262" s="32"/>
    </row>
    <row r="263" spans="21:21" ht="12.5">
      <c r="U263" s="32"/>
    </row>
    <row r="264" spans="21:21" ht="12.5">
      <c r="U264" s="32"/>
    </row>
    <row r="265" spans="21:21" ht="12.5">
      <c r="U265" s="32"/>
    </row>
    <row r="266" spans="21:21" ht="12.5">
      <c r="U266" s="32"/>
    </row>
    <row r="267" spans="21:21" ht="12.5">
      <c r="U267" s="32"/>
    </row>
    <row r="268" spans="21:21" ht="12.5">
      <c r="U268" s="32"/>
    </row>
    <row r="269" spans="21:21" ht="12.5">
      <c r="U269" s="32"/>
    </row>
    <row r="270" spans="21:21" ht="12.5">
      <c r="U270" s="32"/>
    </row>
    <row r="271" spans="21:21" ht="12.5">
      <c r="U271" s="32"/>
    </row>
    <row r="272" spans="21:21" ht="12.5">
      <c r="U272" s="32"/>
    </row>
    <row r="273" spans="21:21" ht="12.5">
      <c r="U273" s="32"/>
    </row>
    <row r="274" spans="21:21" ht="12.5">
      <c r="U274" s="32"/>
    </row>
    <row r="275" spans="21:21" ht="12.5">
      <c r="U275" s="32"/>
    </row>
    <row r="276" spans="21:21" ht="12.5">
      <c r="U276" s="32"/>
    </row>
    <row r="277" spans="21:21" ht="12.5">
      <c r="U277" s="32"/>
    </row>
    <row r="278" spans="21:21" ht="12.5">
      <c r="U278" s="32"/>
    </row>
    <row r="279" spans="21:21" ht="12.5">
      <c r="U279" s="32"/>
    </row>
    <row r="280" spans="21:21" ht="12.5">
      <c r="U280" s="32"/>
    </row>
    <row r="281" spans="21:21" ht="12.5">
      <c r="U281" s="32"/>
    </row>
    <row r="282" spans="21:21" ht="12.5">
      <c r="U282" s="32"/>
    </row>
    <row r="283" spans="21:21" ht="12.5">
      <c r="U283" s="32"/>
    </row>
    <row r="284" spans="21:21" ht="12.5">
      <c r="U284" s="32"/>
    </row>
    <row r="285" spans="21:21" ht="12.5">
      <c r="U285" s="32"/>
    </row>
    <row r="286" spans="21:21" ht="12.5">
      <c r="U286" s="32"/>
    </row>
    <row r="287" spans="21:21" ht="12.5">
      <c r="U287" s="32"/>
    </row>
    <row r="288" spans="21:21" ht="12.5">
      <c r="U288" s="32"/>
    </row>
    <row r="289" spans="21:21" ht="12.5">
      <c r="U289" s="32"/>
    </row>
    <row r="290" spans="21:21" ht="12.5">
      <c r="U290" s="32"/>
    </row>
    <row r="291" spans="21:21" ht="12.5">
      <c r="U291" s="32"/>
    </row>
    <row r="292" spans="21:21" ht="12.5">
      <c r="U292" s="32"/>
    </row>
    <row r="293" spans="21:21" ht="12.5">
      <c r="U293" s="32"/>
    </row>
    <row r="294" spans="21:21" ht="12.5">
      <c r="U294" s="32"/>
    </row>
    <row r="295" spans="21:21" ht="12.5">
      <c r="U295" s="32"/>
    </row>
    <row r="296" spans="21:21" ht="12.5">
      <c r="U296" s="32"/>
    </row>
    <row r="297" spans="21:21" ht="12.5">
      <c r="U297" s="32"/>
    </row>
    <row r="298" spans="21:21" ht="12.5">
      <c r="U298" s="32"/>
    </row>
    <row r="299" spans="21:21" ht="12.5">
      <c r="U299" s="32"/>
    </row>
    <row r="300" spans="21:21" ht="12.5">
      <c r="U300" s="32"/>
    </row>
    <row r="301" spans="21:21" ht="12.5">
      <c r="U301" s="32"/>
    </row>
    <row r="302" spans="21:21" ht="12.5">
      <c r="U302" s="32"/>
    </row>
    <row r="303" spans="21:21" ht="12.5">
      <c r="U303" s="32"/>
    </row>
    <row r="304" spans="21:21" ht="12.5">
      <c r="U304" s="32"/>
    </row>
    <row r="305" spans="21:21" ht="12.5">
      <c r="U305" s="32"/>
    </row>
    <row r="306" spans="21:21" ht="12.5">
      <c r="U306" s="32"/>
    </row>
    <row r="307" spans="21:21" ht="12.5">
      <c r="U307" s="32"/>
    </row>
    <row r="308" spans="21:21" ht="12.5">
      <c r="U308" s="32"/>
    </row>
    <row r="309" spans="21:21" ht="12.5">
      <c r="U309" s="32"/>
    </row>
    <row r="310" spans="21:21" ht="12.5">
      <c r="U310" s="32"/>
    </row>
    <row r="311" spans="21:21" ht="12.5">
      <c r="U311" s="32"/>
    </row>
    <row r="312" spans="21:21" ht="12.5">
      <c r="U312" s="32"/>
    </row>
    <row r="313" spans="21:21" ht="12.5">
      <c r="U313" s="32"/>
    </row>
    <row r="314" spans="21:21" ht="12.5">
      <c r="U314" s="32"/>
    </row>
    <row r="315" spans="21:21" ht="12.5">
      <c r="U315" s="32"/>
    </row>
    <row r="316" spans="21:21" ht="12.5">
      <c r="U316" s="32"/>
    </row>
    <row r="317" spans="21:21" ht="12.5">
      <c r="U317" s="32"/>
    </row>
    <row r="318" spans="21:21" ht="12.5">
      <c r="U318" s="32"/>
    </row>
    <row r="319" spans="21:21" ht="12.5">
      <c r="U319" s="32"/>
    </row>
    <row r="320" spans="21:21" ht="12.5">
      <c r="U320" s="32"/>
    </row>
    <row r="321" spans="21:21" ht="12.5">
      <c r="U321" s="32"/>
    </row>
    <row r="322" spans="21:21" ht="12.5">
      <c r="U322" s="32"/>
    </row>
    <row r="323" spans="21:21" ht="12.5">
      <c r="U323" s="32"/>
    </row>
    <row r="324" spans="21:21" ht="12.5">
      <c r="U324" s="32"/>
    </row>
    <row r="325" spans="21:21" ht="12.5">
      <c r="U325" s="32"/>
    </row>
    <row r="326" spans="21:21" ht="12.5">
      <c r="U326" s="32"/>
    </row>
    <row r="327" spans="21:21" ht="12.5">
      <c r="U327" s="32"/>
    </row>
    <row r="328" spans="21:21" ht="12.5">
      <c r="U328" s="32"/>
    </row>
    <row r="329" spans="21:21" ht="12.5">
      <c r="U329" s="32"/>
    </row>
    <row r="330" spans="21:21" ht="12.5">
      <c r="U330" s="32"/>
    </row>
    <row r="331" spans="21:21" ht="12.5">
      <c r="U331" s="32"/>
    </row>
    <row r="332" spans="21:21" ht="12.5">
      <c r="U332" s="32"/>
    </row>
    <row r="333" spans="21:21" ht="12.5">
      <c r="U333" s="32"/>
    </row>
    <row r="334" spans="21:21" ht="12.5">
      <c r="U334" s="32"/>
    </row>
    <row r="335" spans="21:21" ht="12.5">
      <c r="U335" s="32"/>
    </row>
    <row r="336" spans="21:21" ht="12.5">
      <c r="U336" s="32"/>
    </row>
    <row r="337" spans="21:21" ht="12.5">
      <c r="U337" s="32"/>
    </row>
    <row r="338" spans="21:21" ht="12.5">
      <c r="U338" s="32"/>
    </row>
    <row r="339" spans="21:21" ht="12.5">
      <c r="U339" s="32"/>
    </row>
    <row r="340" spans="21:21" ht="12.5">
      <c r="U340" s="32"/>
    </row>
    <row r="341" spans="21:21" ht="12.5">
      <c r="U341" s="32"/>
    </row>
    <row r="342" spans="21:21" ht="12.5">
      <c r="U342" s="32"/>
    </row>
    <row r="343" spans="21:21" ht="12.5">
      <c r="U343" s="32"/>
    </row>
    <row r="344" spans="21:21" ht="12.5">
      <c r="U344" s="32"/>
    </row>
    <row r="345" spans="21:21" ht="12.5">
      <c r="U345" s="32"/>
    </row>
    <row r="346" spans="21:21" ht="12.5">
      <c r="U346" s="32"/>
    </row>
    <row r="347" spans="21:21" ht="12.5">
      <c r="U347" s="32"/>
    </row>
    <row r="348" spans="21:21" ht="12.5">
      <c r="U348" s="32"/>
    </row>
    <row r="349" spans="21:21" ht="12.5">
      <c r="U349" s="32"/>
    </row>
    <row r="350" spans="21:21" ht="12.5">
      <c r="U350" s="32"/>
    </row>
    <row r="351" spans="21:21" ht="12.5">
      <c r="U351" s="32"/>
    </row>
    <row r="352" spans="21:21" ht="12.5">
      <c r="U352" s="32"/>
    </row>
    <row r="353" spans="21:21" ht="12.5">
      <c r="U353" s="32"/>
    </row>
    <row r="354" spans="21:21" ht="12.5">
      <c r="U354" s="32"/>
    </row>
    <row r="355" spans="21:21" ht="12.5">
      <c r="U355" s="32"/>
    </row>
    <row r="356" spans="21:21" ht="12.5">
      <c r="U356" s="32"/>
    </row>
    <row r="357" spans="21:21" ht="12.5">
      <c r="U357" s="32"/>
    </row>
    <row r="358" spans="21:21" ht="12.5">
      <c r="U358" s="32"/>
    </row>
    <row r="359" spans="21:21" ht="12.5">
      <c r="U359" s="32"/>
    </row>
    <row r="360" spans="21:21" ht="12.5">
      <c r="U360" s="32"/>
    </row>
    <row r="361" spans="21:21" ht="12.5">
      <c r="U361" s="32"/>
    </row>
    <row r="362" spans="21:21" ht="12.5">
      <c r="U362" s="32"/>
    </row>
    <row r="363" spans="21:21" ht="12.5">
      <c r="U363" s="32"/>
    </row>
    <row r="364" spans="21:21" ht="12.5">
      <c r="U364" s="32"/>
    </row>
    <row r="365" spans="21:21" ht="12.5">
      <c r="U365" s="32"/>
    </row>
    <row r="366" spans="21:21" ht="12.5">
      <c r="U366" s="32"/>
    </row>
    <row r="367" spans="21:21" ht="12.5">
      <c r="U367" s="32"/>
    </row>
    <row r="368" spans="21:21" ht="12.5">
      <c r="U368" s="32"/>
    </row>
    <row r="369" spans="21:21" ht="12.5">
      <c r="U369" s="32"/>
    </row>
    <row r="370" spans="21:21" ht="12.5">
      <c r="U370" s="32"/>
    </row>
    <row r="371" spans="21:21" ht="12.5">
      <c r="U371" s="32"/>
    </row>
    <row r="372" spans="21:21" ht="12.5">
      <c r="U372" s="32"/>
    </row>
    <row r="373" spans="21:21" ht="12.5">
      <c r="U373" s="32"/>
    </row>
    <row r="374" spans="21:21" ht="12.5">
      <c r="U374" s="32"/>
    </row>
    <row r="375" spans="21:21" ht="12.5">
      <c r="U375" s="32"/>
    </row>
    <row r="376" spans="21:21" ht="12.5">
      <c r="U376" s="32"/>
    </row>
    <row r="377" spans="21:21" ht="12.5">
      <c r="U377" s="32"/>
    </row>
    <row r="378" spans="21:21" ht="12.5">
      <c r="U378" s="32"/>
    </row>
    <row r="379" spans="21:21" ht="12.5">
      <c r="U379" s="32"/>
    </row>
    <row r="380" spans="21:21" ht="12.5">
      <c r="U380" s="32"/>
    </row>
    <row r="381" spans="21:21" ht="12.5">
      <c r="U381" s="32"/>
    </row>
    <row r="382" spans="21:21" ht="12.5">
      <c r="U382" s="32"/>
    </row>
    <row r="383" spans="21:21" ht="12.5">
      <c r="U383" s="32"/>
    </row>
    <row r="384" spans="21:21" ht="12.5">
      <c r="U384" s="32"/>
    </row>
    <row r="385" spans="21:21" ht="12.5">
      <c r="U385" s="32"/>
    </row>
    <row r="386" spans="21:21" ht="12.5">
      <c r="U386" s="32"/>
    </row>
    <row r="387" spans="21:21" ht="12.5">
      <c r="U387" s="32"/>
    </row>
    <row r="388" spans="21:21" ht="12.5">
      <c r="U388" s="32"/>
    </row>
    <row r="389" spans="21:21" ht="12.5">
      <c r="U389" s="32"/>
    </row>
    <row r="390" spans="21:21" ht="12.5">
      <c r="U390" s="32"/>
    </row>
    <row r="391" spans="21:21" ht="12.5">
      <c r="U391" s="32"/>
    </row>
    <row r="392" spans="21:21" ht="12.5">
      <c r="U392" s="32"/>
    </row>
    <row r="393" spans="21:21" ht="12.5">
      <c r="U393" s="32"/>
    </row>
    <row r="394" spans="21:21" ht="12.5">
      <c r="U394" s="32"/>
    </row>
    <row r="395" spans="21:21" ht="12.5">
      <c r="U395" s="32"/>
    </row>
    <row r="396" spans="21:21" ht="12.5">
      <c r="U396" s="32"/>
    </row>
    <row r="397" spans="21:21" ht="12.5">
      <c r="U397" s="32"/>
    </row>
    <row r="398" spans="21:21" ht="12.5">
      <c r="U398" s="32"/>
    </row>
    <row r="399" spans="21:21" ht="12.5">
      <c r="U399" s="32"/>
    </row>
    <row r="400" spans="21:21" ht="12.5">
      <c r="U400" s="32"/>
    </row>
    <row r="401" spans="21:21" ht="12.5">
      <c r="U401" s="32"/>
    </row>
    <row r="402" spans="21:21" ht="12.5">
      <c r="U402" s="32"/>
    </row>
    <row r="403" spans="21:21" ht="12.5">
      <c r="U403" s="32"/>
    </row>
    <row r="404" spans="21:21" ht="12.5">
      <c r="U404" s="32"/>
    </row>
    <row r="405" spans="21:21" ht="12.5">
      <c r="U405" s="32"/>
    </row>
    <row r="406" spans="21:21" ht="12.5">
      <c r="U406" s="32"/>
    </row>
    <row r="407" spans="21:21" ht="12.5">
      <c r="U407" s="32"/>
    </row>
    <row r="408" spans="21:21" ht="12.5">
      <c r="U408" s="32"/>
    </row>
    <row r="409" spans="21:21" ht="12.5">
      <c r="U409" s="32"/>
    </row>
    <row r="410" spans="21:21" ht="12.5">
      <c r="U410" s="32"/>
    </row>
    <row r="411" spans="21:21" ht="12.5">
      <c r="U411" s="32"/>
    </row>
    <row r="412" spans="21:21" ht="12.5">
      <c r="U412" s="32"/>
    </row>
    <row r="413" spans="21:21" ht="12.5">
      <c r="U413" s="32"/>
    </row>
    <row r="414" spans="21:21" ht="12.5">
      <c r="U414" s="32"/>
    </row>
    <row r="415" spans="21:21" ht="12.5">
      <c r="U415" s="32"/>
    </row>
    <row r="416" spans="21:21" ht="12.5">
      <c r="U416" s="32"/>
    </row>
    <row r="417" spans="21:21" ht="12.5">
      <c r="U417" s="32"/>
    </row>
    <row r="418" spans="21:21" ht="12.5">
      <c r="U418" s="32"/>
    </row>
    <row r="419" spans="21:21" ht="12.5">
      <c r="U419" s="32"/>
    </row>
    <row r="420" spans="21:21" ht="12.5">
      <c r="U420" s="32"/>
    </row>
    <row r="421" spans="21:21" ht="12.5">
      <c r="U421" s="32"/>
    </row>
    <row r="422" spans="21:21" ht="12.5">
      <c r="U422" s="32"/>
    </row>
    <row r="423" spans="21:21" ht="12.5">
      <c r="U423" s="32"/>
    </row>
    <row r="424" spans="21:21" ht="12.5">
      <c r="U424" s="32"/>
    </row>
    <row r="425" spans="21:21" ht="12.5">
      <c r="U425" s="32"/>
    </row>
    <row r="426" spans="21:21" ht="12.5">
      <c r="U426" s="32"/>
    </row>
    <row r="427" spans="21:21" ht="12.5">
      <c r="U427" s="32"/>
    </row>
    <row r="428" spans="21:21" ht="12.5">
      <c r="U428" s="32"/>
    </row>
    <row r="429" spans="21:21" ht="12.5">
      <c r="U429" s="32"/>
    </row>
    <row r="430" spans="21:21" ht="12.5">
      <c r="U430" s="32"/>
    </row>
    <row r="431" spans="21:21" ht="12.5">
      <c r="U431" s="32"/>
    </row>
    <row r="432" spans="21:21" ht="12.5">
      <c r="U432" s="32"/>
    </row>
    <row r="433" spans="21:21" ht="12.5">
      <c r="U433" s="32"/>
    </row>
    <row r="434" spans="21:21" ht="12.5">
      <c r="U434" s="32"/>
    </row>
    <row r="435" spans="21:21" ht="12.5">
      <c r="U435" s="32"/>
    </row>
    <row r="436" spans="21:21" ht="12.5">
      <c r="U436" s="32"/>
    </row>
    <row r="437" spans="21:21" ht="12.5">
      <c r="U437" s="32"/>
    </row>
    <row r="438" spans="21:21" ht="12.5">
      <c r="U438" s="32"/>
    </row>
    <row r="439" spans="21:21" ht="12.5">
      <c r="U439" s="32"/>
    </row>
    <row r="440" spans="21:21" ht="12.5">
      <c r="U440" s="32"/>
    </row>
    <row r="441" spans="21:21" ht="12.5">
      <c r="U441" s="32"/>
    </row>
    <row r="442" spans="21:21" ht="12.5">
      <c r="U442" s="32"/>
    </row>
    <row r="443" spans="21:21" ht="12.5">
      <c r="U443" s="32"/>
    </row>
    <row r="444" spans="21:21" ht="12.5">
      <c r="U444" s="32"/>
    </row>
    <row r="445" spans="21:21" ht="12.5">
      <c r="U445" s="32"/>
    </row>
    <row r="446" spans="21:21" ht="12.5">
      <c r="U446" s="32"/>
    </row>
    <row r="447" spans="21:21" ht="12.5">
      <c r="U447" s="32"/>
    </row>
    <row r="448" spans="21:21" ht="12.5">
      <c r="U448" s="32"/>
    </row>
    <row r="449" spans="21:21" ht="12.5">
      <c r="U449" s="32"/>
    </row>
    <row r="450" spans="21:21" ht="12.5">
      <c r="U450" s="32"/>
    </row>
    <row r="451" spans="21:21" ht="12.5">
      <c r="U451" s="32"/>
    </row>
    <row r="452" spans="21:21" ht="12.5">
      <c r="U452" s="32"/>
    </row>
    <row r="453" spans="21:21" ht="12.5">
      <c r="U453" s="32"/>
    </row>
    <row r="454" spans="21:21" ht="12.5">
      <c r="U454" s="32"/>
    </row>
    <row r="455" spans="21:21" ht="12.5">
      <c r="U455" s="32"/>
    </row>
    <row r="456" spans="21:21" ht="12.5">
      <c r="U456" s="32"/>
    </row>
    <row r="457" spans="21:21" ht="12.5">
      <c r="U457" s="32"/>
    </row>
    <row r="458" spans="21:21" ht="12.5">
      <c r="U458" s="32"/>
    </row>
    <row r="459" spans="21:21" ht="12.5">
      <c r="U459" s="32"/>
    </row>
    <row r="460" spans="21:21" ht="12.5">
      <c r="U460" s="32"/>
    </row>
    <row r="461" spans="21:21" ht="12.5">
      <c r="U461" s="32"/>
    </row>
    <row r="462" spans="21:21" ht="12.5">
      <c r="U462" s="32"/>
    </row>
    <row r="463" spans="21:21" ht="12.5">
      <c r="U463" s="32"/>
    </row>
    <row r="464" spans="21:21" ht="12.5">
      <c r="U464" s="32"/>
    </row>
    <row r="465" spans="21:21" ht="12.5">
      <c r="U465" s="32"/>
    </row>
    <row r="466" spans="21:21" ht="12.5">
      <c r="U466" s="32"/>
    </row>
    <row r="467" spans="21:21" ht="12.5">
      <c r="U467" s="32"/>
    </row>
    <row r="468" spans="21:21" ht="12.5">
      <c r="U468" s="32"/>
    </row>
    <row r="469" spans="21:21" ht="12.5">
      <c r="U469" s="32"/>
    </row>
    <row r="470" spans="21:21" ht="12.5">
      <c r="U470" s="32"/>
    </row>
    <row r="471" spans="21:21" ht="12.5">
      <c r="U471" s="32"/>
    </row>
    <row r="472" spans="21:21" ht="12.5">
      <c r="U472" s="32"/>
    </row>
    <row r="473" spans="21:21" ht="12.5">
      <c r="U473" s="32"/>
    </row>
    <row r="474" spans="21:21" ht="12.5">
      <c r="U474" s="32"/>
    </row>
    <row r="475" spans="21:21" ht="12.5">
      <c r="U475" s="32"/>
    </row>
    <row r="476" spans="21:21" ht="12.5">
      <c r="U476" s="32"/>
    </row>
    <row r="477" spans="21:21" ht="12.5">
      <c r="U477" s="32"/>
    </row>
    <row r="478" spans="21:21" ht="12.5">
      <c r="U478" s="32"/>
    </row>
    <row r="479" spans="21:21" ht="12.5">
      <c r="U479" s="32"/>
    </row>
    <row r="480" spans="21:21" ht="12.5">
      <c r="U480" s="32"/>
    </row>
    <row r="481" spans="21:21" ht="12.5">
      <c r="U481" s="32"/>
    </row>
    <row r="482" spans="21:21" ht="12.5">
      <c r="U482" s="32"/>
    </row>
    <row r="483" spans="21:21" ht="12.5">
      <c r="U483" s="32"/>
    </row>
    <row r="484" spans="21:21" ht="12.5">
      <c r="U484" s="32"/>
    </row>
    <row r="485" spans="21:21" ht="12.5">
      <c r="U485" s="32"/>
    </row>
    <row r="486" spans="21:21" ht="12.5">
      <c r="U486" s="32"/>
    </row>
    <row r="487" spans="21:21" ht="12.5">
      <c r="U487" s="32"/>
    </row>
    <row r="488" spans="21:21" ht="12.5">
      <c r="U488" s="32"/>
    </row>
    <row r="489" spans="21:21" ht="12.5">
      <c r="U489" s="32"/>
    </row>
    <row r="490" spans="21:21" ht="12.5">
      <c r="U490" s="32"/>
    </row>
    <row r="491" spans="21:21" ht="12.5">
      <c r="U491" s="32"/>
    </row>
    <row r="492" spans="21:21" ht="12.5">
      <c r="U492" s="32"/>
    </row>
    <row r="493" spans="21:21" ht="12.5">
      <c r="U493" s="32"/>
    </row>
    <row r="494" spans="21:21" ht="12.5">
      <c r="U494" s="32"/>
    </row>
    <row r="495" spans="21:21" ht="12.5">
      <c r="U495" s="32"/>
    </row>
    <row r="496" spans="21:21" ht="12.5">
      <c r="U496" s="32"/>
    </row>
    <row r="497" spans="21:21" ht="12.5">
      <c r="U497" s="32"/>
    </row>
    <row r="498" spans="21:21" ht="12.5">
      <c r="U498" s="32"/>
    </row>
    <row r="499" spans="21:21" ht="12.5">
      <c r="U499" s="32"/>
    </row>
    <row r="500" spans="21:21" ht="12.5">
      <c r="U500" s="32"/>
    </row>
    <row r="501" spans="21:21" ht="12.5">
      <c r="U501" s="32"/>
    </row>
    <row r="502" spans="21:21" ht="12.5">
      <c r="U502" s="32"/>
    </row>
    <row r="503" spans="21:21" ht="12.5">
      <c r="U503" s="32"/>
    </row>
    <row r="504" spans="21:21" ht="12.5">
      <c r="U504" s="32"/>
    </row>
    <row r="505" spans="21:21" ht="12.5">
      <c r="U505" s="32"/>
    </row>
    <row r="506" spans="21:21" ht="12.5">
      <c r="U506" s="32"/>
    </row>
    <row r="507" spans="21:21" ht="12.5">
      <c r="U507" s="32"/>
    </row>
    <row r="508" spans="21:21" ht="12.5">
      <c r="U508" s="32"/>
    </row>
    <row r="509" spans="21:21" ht="12.5">
      <c r="U509" s="32"/>
    </row>
    <row r="510" spans="21:21" ht="12.5">
      <c r="U510" s="32"/>
    </row>
    <row r="511" spans="21:21" ht="12.5">
      <c r="U511" s="32"/>
    </row>
    <row r="512" spans="21:21" ht="12.5">
      <c r="U512" s="32"/>
    </row>
    <row r="513" spans="21:21" ht="12.5">
      <c r="U513" s="32"/>
    </row>
    <row r="514" spans="21:21" ht="12.5">
      <c r="U514" s="32"/>
    </row>
    <row r="515" spans="21:21" ht="12.5">
      <c r="U515" s="32"/>
    </row>
    <row r="516" spans="21:21" ht="12.5">
      <c r="U516" s="32"/>
    </row>
    <row r="517" spans="21:21" ht="12.5">
      <c r="U517" s="32"/>
    </row>
    <row r="518" spans="21:21" ht="12.5">
      <c r="U518" s="32"/>
    </row>
    <row r="519" spans="21:21" ht="12.5">
      <c r="U519" s="32"/>
    </row>
    <row r="520" spans="21:21" ht="12.5">
      <c r="U520" s="32"/>
    </row>
    <row r="521" spans="21:21" ht="12.5">
      <c r="U521" s="32"/>
    </row>
    <row r="522" spans="21:21" ht="12.5">
      <c r="U522" s="32"/>
    </row>
    <row r="523" spans="21:21" ht="12.5">
      <c r="U523" s="32"/>
    </row>
    <row r="524" spans="21:21" ht="12.5">
      <c r="U524" s="32"/>
    </row>
    <row r="525" spans="21:21" ht="12.5">
      <c r="U525" s="32"/>
    </row>
    <row r="526" spans="21:21" ht="12.5">
      <c r="U526" s="32"/>
    </row>
    <row r="527" spans="21:21" ht="12.5">
      <c r="U527" s="32"/>
    </row>
    <row r="528" spans="21:21" ht="12.5">
      <c r="U528" s="32"/>
    </row>
    <row r="529" spans="21:21" ht="12.5">
      <c r="U529" s="32"/>
    </row>
    <row r="530" spans="21:21" ht="12.5">
      <c r="U530" s="32"/>
    </row>
    <row r="531" spans="21:21" ht="12.5">
      <c r="U531" s="32"/>
    </row>
    <row r="532" spans="21:21" ht="12.5">
      <c r="U532" s="32"/>
    </row>
    <row r="533" spans="21:21" ht="12.5">
      <c r="U533" s="32"/>
    </row>
    <row r="534" spans="21:21" ht="12.5">
      <c r="U534" s="32"/>
    </row>
    <row r="535" spans="21:21" ht="12.5">
      <c r="U535" s="32"/>
    </row>
    <row r="536" spans="21:21" ht="12.5">
      <c r="U536" s="32"/>
    </row>
    <row r="537" spans="21:21" ht="12.5">
      <c r="U537" s="32"/>
    </row>
    <row r="538" spans="21:21" ht="12.5">
      <c r="U538" s="32"/>
    </row>
    <row r="539" spans="21:21" ht="12.5">
      <c r="U539" s="32"/>
    </row>
    <row r="540" spans="21:21" ht="12.5">
      <c r="U540" s="32"/>
    </row>
    <row r="541" spans="21:21" ht="12.5">
      <c r="U541" s="32"/>
    </row>
    <row r="542" spans="21:21" ht="12.5">
      <c r="U542" s="32"/>
    </row>
    <row r="543" spans="21:21" ht="12.5">
      <c r="U543" s="32"/>
    </row>
    <row r="544" spans="21:21" ht="12.5">
      <c r="U544" s="32"/>
    </row>
    <row r="545" spans="21:21" ht="12.5">
      <c r="U545" s="32"/>
    </row>
    <row r="546" spans="21:21" ht="12.5">
      <c r="U546" s="32"/>
    </row>
    <row r="547" spans="21:21" ht="12.5">
      <c r="U547" s="32"/>
    </row>
    <row r="548" spans="21:21" ht="12.5">
      <c r="U548" s="32"/>
    </row>
    <row r="549" spans="21:21" ht="12.5">
      <c r="U549" s="32"/>
    </row>
    <row r="550" spans="21:21" ht="12.5">
      <c r="U550" s="32"/>
    </row>
    <row r="551" spans="21:21" ht="12.5">
      <c r="U551" s="32"/>
    </row>
    <row r="552" spans="21:21" ht="12.5">
      <c r="U552" s="32"/>
    </row>
    <row r="553" spans="21:21" ht="12.5">
      <c r="U553" s="32"/>
    </row>
    <row r="554" spans="21:21" ht="12.5">
      <c r="U554" s="32"/>
    </row>
    <row r="555" spans="21:21" ht="12.5">
      <c r="U555" s="32"/>
    </row>
    <row r="556" spans="21:21" ht="12.5">
      <c r="U556" s="32"/>
    </row>
    <row r="557" spans="21:21" ht="12.5">
      <c r="U557" s="32"/>
    </row>
    <row r="558" spans="21:21" ht="12.5">
      <c r="U558" s="32"/>
    </row>
    <row r="559" spans="21:21" ht="12.5">
      <c r="U559" s="32"/>
    </row>
    <row r="560" spans="21:21" ht="12.5">
      <c r="U560" s="32"/>
    </row>
    <row r="561" spans="21:21" ht="12.5">
      <c r="U561" s="32"/>
    </row>
    <row r="562" spans="21:21" ht="12.5">
      <c r="U562" s="32"/>
    </row>
    <row r="563" spans="21:21" ht="12.5">
      <c r="U563" s="32"/>
    </row>
    <row r="564" spans="21:21" ht="12.5">
      <c r="U564" s="32"/>
    </row>
    <row r="565" spans="21:21" ht="12.5">
      <c r="U565" s="32"/>
    </row>
    <row r="566" spans="21:21" ht="12.5">
      <c r="U566" s="32"/>
    </row>
    <row r="567" spans="21:21" ht="12.5">
      <c r="U567" s="32"/>
    </row>
    <row r="568" spans="21:21" ht="12.5">
      <c r="U568" s="32"/>
    </row>
    <row r="569" spans="21:21" ht="12.5">
      <c r="U569" s="32"/>
    </row>
    <row r="570" spans="21:21" ht="12.5">
      <c r="U570" s="32"/>
    </row>
    <row r="571" spans="21:21" ht="12.5">
      <c r="U571" s="32"/>
    </row>
    <row r="572" spans="21:21" ht="12.5">
      <c r="U572" s="32"/>
    </row>
    <row r="573" spans="21:21" ht="12.5">
      <c r="U573" s="32"/>
    </row>
    <row r="574" spans="21:21" ht="12.5">
      <c r="U574" s="32"/>
    </row>
    <row r="575" spans="21:21" ht="12.5">
      <c r="U575" s="32"/>
    </row>
    <row r="576" spans="21:21" ht="12.5">
      <c r="U576" s="32"/>
    </row>
    <row r="577" spans="21:21" ht="12.5">
      <c r="U577" s="32"/>
    </row>
    <row r="578" spans="21:21" ht="12.5">
      <c r="U578" s="32"/>
    </row>
    <row r="579" spans="21:21" ht="12.5">
      <c r="U579" s="32"/>
    </row>
    <row r="580" spans="21:21" ht="12.5">
      <c r="U580" s="32"/>
    </row>
    <row r="581" spans="21:21" ht="12.5">
      <c r="U581" s="32"/>
    </row>
    <row r="582" spans="21:21" ht="12.5">
      <c r="U582" s="32"/>
    </row>
    <row r="583" spans="21:21" ht="12.5">
      <c r="U583" s="32"/>
    </row>
    <row r="584" spans="21:21" ht="12.5">
      <c r="U584" s="32"/>
    </row>
    <row r="585" spans="21:21" ht="12.5">
      <c r="U585" s="32"/>
    </row>
    <row r="586" spans="21:21" ht="12.5">
      <c r="U586" s="32"/>
    </row>
    <row r="587" spans="21:21" ht="12.5">
      <c r="U587" s="32"/>
    </row>
    <row r="588" spans="21:21" ht="12.5">
      <c r="U588" s="32"/>
    </row>
    <row r="589" spans="21:21" ht="12.5">
      <c r="U589" s="32"/>
    </row>
    <row r="590" spans="21:21" ht="12.5">
      <c r="U590" s="32"/>
    </row>
    <row r="591" spans="21:21" ht="12.5">
      <c r="U591" s="32"/>
    </row>
    <row r="592" spans="21:21" ht="12.5">
      <c r="U592" s="32"/>
    </row>
    <row r="593" spans="21:21" ht="12.5">
      <c r="U593" s="32"/>
    </row>
    <row r="594" spans="21:21" ht="12.5">
      <c r="U594" s="32"/>
    </row>
    <row r="595" spans="21:21" ht="12.5">
      <c r="U595" s="32"/>
    </row>
    <row r="596" spans="21:21" ht="12.5">
      <c r="U596" s="32"/>
    </row>
    <row r="597" spans="21:21" ht="12.5">
      <c r="U597" s="32"/>
    </row>
    <row r="598" spans="21:21" ht="12.5">
      <c r="U598" s="32"/>
    </row>
    <row r="599" spans="21:21" ht="12.5">
      <c r="U599" s="32"/>
    </row>
    <row r="600" spans="21:21" ht="12.5">
      <c r="U600" s="32"/>
    </row>
    <row r="601" spans="21:21" ht="12.5">
      <c r="U601" s="32"/>
    </row>
    <row r="602" spans="21:21" ht="12.5">
      <c r="U602" s="32"/>
    </row>
    <row r="603" spans="21:21" ht="12.5">
      <c r="U603" s="32"/>
    </row>
    <row r="604" spans="21:21" ht="12.5">
      <c r="U604" s="32"/>
    </row>
    <row r="605" spans="21:21" ht="12.5">
      <c r="U605" s="32"/>
    </row>
    <row r="606" spans="21:21" ht="12.5">
      <c r="U606" s="32"/>
    </row>
    <row r="607" spans="21:21" ht="12.5">
      <c r="U607" s="32"/>
    </row>
    <row r="608" spans="21:21" ht="12.5">
      <c r="U608" s="32"/>
    </row>
    <row r="609" spans="21:21" ht="12.5">
      <c r="U609" s="32"/>
    </row>
    <row r="610" spans="21:21" ht="12.5">
      <c r="U610" s="32"/>
    </row>
    <row r="611" spans="21:21" ht="12.5">
      <c r="U611" s="32"/>
    </row>
    <row r="612" spans="21:21" ht="12.5">
      <c r="U612" s="32"/>
    </row>
    <row r="613" spans="21:21" ht="12.5">
      <c r="U613" s="32"/>
    </row>
    <row r="614" spans="21:21" ht="12.5">
      <c r="U614" s="32"/>
    </row>
    <row r="615" spans="21:21" ht="12.5">
      <c r="U615" s="32"/>
    </row>
    <row r="616" spans="21:21" ht="12.5">
      <c r="U616" s="32"/>
    </row>
    <row r="617" spans="21:21" ht="12.5">
      <c r="U617" s="32"/>
    </row>
    <row r="618" spans="21:21" ht="12.5">
      <c r="U618" s="32"/>
    </row>
    <row r="619" spans="21:21" ht="12.5">
      <c r="U619" s="32"/>
    </row>
    <row r="620" spans="21:21" ht="12.5">
      <c r="U620" s="32"/>
    </row>
    <row r="621" spans="21:21" ht="12.5">
      <c r="U621" s="32"/>
    </row>
    <row r="622" spans="21:21" ht="12.5">
      <c r="U622" s="32"/>
    </row>
    <row r="623" spans="21:21" ht="12.5">
      <c r="U623" s="32"/>
    </row>
    <row r="624" spans="21:21" ht="12.5">
      <c r="U624" s="32"/>
    </row>
    <row r="625" spans="21:21" ht="12.5">
      <c r="U625" s="32"/>
    </row>
    <row r="626" spans="21:21" ht="12.5">
      <c r="U626" s="32"/>
    </row>
    <row r="627" spans="21:21" ht="12.5">
      <c r="U627" s="32"/>
    </row>
    <row r="628" spans="21:21" ht="12.5">
      <c r="U628" s="32"/>
    </row>
    <row r="629" spans="21:21" ht="12.5">
      <c r="U629" s="32"/>
    </row>
    <row r="630" spans="21:21" ht="12.5">
      <c r="U630" s="32"/>
    </row>
    <row r="631" spans="21:21" ht="12.5">
      <c r="U631" s="32"/>
    </row>
    <row r="632" spans="21:21" ht="12.5">
      <c r="U632" s="32"/>
    </row>
    <row r="633" spans="21:21" ht="12.5">
      <c r="U633" s="32"/>
    </row>
    <row r="634" spans="21:21" ht="12.5">
      <c r="U634" s="32"/>
    </row>
    <row r="635" spans="21:21" ht="12.5">
      <c r="U635" s="32"/>
    </row>
    <row r="636" spans="21:21" ht="12.5">
      <c r="U636" s="32"/>
    </row>
    <row r="637" spans="21:21" ht="12.5">
      <c r="U637" s="32"/>
    </row>
    <row r="638" spans="21:21" ht="12.5">
      <c r="U638" s="32"/>
    </row>
    <row r="639" spans="21:21" ht="12.5">
      <c r="U639" s="32"/>
    </row>
    <row r="640" spans="21:21" ht="12.5">
      <c r="U640" s="32"/>
    </row>
    <row r="641" spans="21:21" ht="12.5">
      <c r="U641" s="32"/>
    </row>
    <row r="642" spans="21:21" ht="12.5">
      <c r="U642" s="32"/>
    </row>
    <row r="643" spans="21:21" ht="12.5">
      <c r="U643" s="32"/>
    </row>
    <row r="644" spans="21:21" ht="12.5">
      <c r="U644" s="32"/>
    </row>
    <row r="645" spans="21:21" ht="12.5">
      <c r="U645" s="32"/>
    </row>
    <row r="646" spans="21:21" ht="12.5">
      <c r="U646" s="32"/>
    </row>
    <row r="647" spans="21:21" ht="12.5">
      <c r="U647" s="32"/>
    </row>
    <row r="648" spans="21:21" ht="12.5">
      <c r="U648" s="32"/>
    </row>
    <row r="649" spans="21:21" ht="12.5">
      <c r="U649" s="32"/>
    </row>
    <row r="650" spans="21:21" ht="12.5">
      <c r="U650" s="32"/>
    </row>
    <row r="651" spans="21:21" ht="12.5">
      <c r="U651" s="32"/>
    </row>
    <row r="652" spans="21:21" ht="12.5">
      <c r="U652" s="32"/>
    </row>
    <row r="653" spans="21:21" ht="12.5">
      <c r="U653" s="32"/>
    </row>
    <row r="654" spans="21:21" ht="12.5">
      <c r="U654" s="32"/>
    </row>
    <row r="655" spans="21:21" ht="12.5">
      <c r="U655" s="32"/>
    </row>
    <row r="656" spans="21:21" ht="12.5">
      <c r="U656" s="32"/>
    </row>
    <row r="657" spans="21:21" ht="12.5">
      <c r="U657" s="32"/>
    </row>
    <row r="658" spans="21:21" ht="12.5">
      <c r="U658" s="32"/>
    </row>
    <row r="659" spans="21:21" ht="12.5">
      <c r="U659" s="32"/>
    </row>
    <row r="660" spans="21:21" ht="12.5">
      <c r="U660" s="32"/>
    </row>
    <row r="661" spans="21:21" ht="12.5">
      <c r="U661" s="32"/>
    </row>
    <row r="662" spans="21:21" ht="12.5">
      <c r="U662" s="32"/>
    </row>
    <row r="663" spans="21:21" ht="12.5">
      <c r="U663" s="32"/>
    </row>
    <row r="664" spans="21:21" ht="12.5">
      <c r="U664" s="32"/>
    </row>
    <row r="665" spans="21:21" ht="12.5">
      <c r="U665" s="32"/>
    </row>
    <row r="666" spans="21:21" ht="12.5">
      <c r="U666" s="32"/>
    </row>
    <row r="667" spans="21:21" ht="12.5">
      <c r="U667" s="32"/>
    </row>
    <row r="668" spans="21:21" ht="12.5">
      <c r="U668" s="32"/>
    </row>
    <row r="669" spans="21:21" ht="12.5">
      <c r="U669" s="32"/>
    </row>
    <row r="670" spans="21:21" ht="12.5">
      <c r="U670" s="32"/>
    </row>
    <row r="671" spans="21:21" ht="12.5">
      <c r="U671" s="32"/>
    </row>
    <row r="672" spans="21:21" ht="12.5">
      <c r="U672" s="32"/>
    </row>
    <row r="673" spans="21:21" ht="12.5">
      <c r="U673" s="32"/>
    </row>
    <row r="674" spans="21:21" ht="12.5">
      <c r="U674" s="32"/>
    </row>
    <row r="675" spans="21:21" ht="12.5">
      <c r="U675" s="32"/>
    </row>
    <row r="676" spans="21:21" ht="12.5">
      <c r="U676" s="32"/>
    </row>
    <row r="677" spans="21:21" ht="12.5">
      <c r="U677" s="32"/>
    </row>
    <row r="678" spans="21:21" ht="12.5">
      <c r="U678" s="32"/>
    </row>
    <row r="679" spans="21:21" ht="12.5">
      <c r="U679" s="32"/>
    </row>
    <row r="680" spans="21:21" ht="12.5">
      <c r="U680" s="32"/>
    </row>
    <row r="681" spans="21:21" ht="12.5">
      <c r="U681" s="32"/>
    </row>
    <row r="682" spans="21:21" ht="12.5">
      <c r="U682" s="32"/>
    </row>
    <row r="683" spans="21:21" ht="12.5">
      <c r="U683" s="32"/>
    </row>
    <row r="684" spans="21:21" ht="12.5">
      <c r="U684" s="32"/>
    </row>
    <row r="685" spans="21:21" ht="12.5">
      <c r="U685" s="32"/>
    </row>
    <row r="686" spans="21:21" ht="12.5">
      <c r="U686" s="32"/>
    </row>
    <row r="687" spans="21:21" ht="12.5">
      <c r="U687" s="32"/>
    </row>
    <row r="688" spans="21:21" ht="12.5">
      <c r="U688" s="32"/>
    </row>
    <row r="689" spans="21:21" ht="12.5">
      <c r="U689" s="32"/>
    </row>
    <row r="690" spans="21:21" ht="12.5">
      <c r="U690" s="32"/>
    </row>
    <row r="691" spans="21:21" ht="12.5">
      <c r="U691" s="32"/>
    </row>
    <row r="692" spans="21:21" ht="12.5">
      <c r="U692" s="32"/>
    </row>
    <row r="693" spans="21:21" ht="12.5">
      <c r="U693" s="32"/>
    </row>
    <row r="694" spans="21:21" ht="12.5">
      <c r="U694" s="32"/>
    </row>
    <row r="695" spans="21:21" ht="12.5">
      <c r="U695" s="32"/>
    </row>
    <row r="696" spans="21:21" ht="12.5">
      <c r="U696" s="32"/>
    </row>
    <row r="697" spans="21:21" ht="12.5">
      <c r="U697" s="32"/>
    </row>
    <row r="698" spans="21:21" ht="12.5">
      <c r="U698" s="32"/>
    </row>
    <row r="699" spans="21:21" ht="12.5">
      <c r="U699" s="32"/>
    </row>
    <row r="700" spans="21:21" ht="12.5">
      <c r="U700" s="32"/>
    </row>
    <row r="701" spans="21:21" ht="12.5">
      <c r="U701" s="32"/>
    </row>
    <row r="702" spans="21:21" ht="12.5">
      <c r="U702" s="32"/>
    </row>
    <row r="703" spans="21:21" ht="12.5">
      <c r="U703" s="32"/>
    </row>
    <row r="704" spans="21:21" ht="12.5">
      <c r="U704" s="32"/>
    </row>
    <row r="705" spans="21:21" ht="12.5">
      <c r="U705" s="32"/>
    </row>
    <row r="706" spans="21:21" ht="12.5">
      <c r="U706" s="32"/>
    </row>
    <row r="707" spans="21:21" ht="12.5">
      <c r="U707" s="32"/>
    </row>
    <row r="708" spans="21:21" ht="12.5">
      <c r="U708" s="32"/>
    </row>
    <row r="709" spans="21:21" ht="12.5">
      <c r="U709" s="32"/>
    </row>
    <row r="710" spans="21:21" ht="12.5">
      <c r="U710" s="32"/>
    </row>
    <row r="711" spans="21:21" ht="12.5">
      <c r="U711" s="32"/>
    </row>
    <row r="712" spans="21:21" ht="12.5">
      <c r="U712" s="32"/>
    </row>
    <row r="713" spans="21:21" ht="12.5">
      <c r="U713" s="32"/>
    </row>
    <row r="714" spans="21:21" ht="12.5">
      <c r="U714" s="32"/>
    </row>
    <row r="715" spans="21:21" ht="12.5">
      <c r="U715" s="32"/>
    </row>
    <row r="716" spans="21:21" ht="12.5">
      <c r="U716" s="32"/>
    </row>
    <row r="717" spans="21:21" ht="12.5">
      <c r="U717" s="32"/>
    </row>
    <row r="718" spans="21:21" ht="12.5">
      <c r="U718" s="32"/>
    </row>
    <row r="719" spans="21:21" ht="12.5">
      <c r="U719" s="32"/>
    </row>
    <row r="720" spans="21:21" ht="12.5">
      <c r="U720" s="32"/>
    </row>
    <row r="721" spans="21:21" ht="12.5">
      <c r="U721" s="32"/>
    </row>
    <row r="722" spans="21:21" ht="12.5">
      <c r="U722" s="32"/>
    </row>
    <row r="723" spans="21:21" ht="12.5">
      <c r="U723" s="32"/>
    </row>
    <row r="724" spans="21:21" ht="12.5">
      <c r="U724" s="32"/>
    </row>
    <row r="725" spans="21:21" ht="12.5">
      <c r="U725" s="32"/>
    </row>
    <row r="726" spans="21:21" ht="12.5">
      <c r="U726" s="32"/>
    </row>
    <row r="727" spans="21:21" ht="12.5">
      <c r="U727" s="32"/>
    </row>
    <row r="728" spans="21:21" ht="12.5">
      <c r="U728" s="32"/>
    </row>
    <row r="729" spans="21:21" ht="12.5">
      <c r="U729" s="32"/>
    </row>
    <row r="730" spans="21:21" ht="12.5">
      <c r="U730" s="32"/>
    </row>
    <row r="731" spans="21:21" ht="12.5">
      <c r="U731" s="32"/>
    </row>
    <row r="732" spans="21:21" ht="12.5">
      <c r="U732" s="32"/>
    </row>
    <row r="733" spans="21:21" ht="12.5">
      <c r="U733" s="32"/>
    </row>
    <row r="734" spans="21:21" ht="12.5">
      <c r="U734" s="32"/>
    </row>
    <row r="735" spans="21:21" ht="12.5">
      <c r="U735" s="32"/>
    </row>
    <row r="736" spans="21:21" ht="12.5">
      <c r="U736" s="32"/>
    </row>
    <row r="737" spans="21:21" ht="12.5">
      <c r="U737" s="32"/>
    </row>
    <row r="738" spans="21:21" ht="12.5">
      <c r="U738" s="32"/>
    </row>
    <row r="739" spans="21:21" ht="12.5">
      <c r="U739" s="32"/>
    </row>
    <row r="740" spans="21:21" ht="12.5">
      <c r="U740" s="32"/>
    </row>
    <row r="741" spans="21:21" ht="12.5">
      <c r="U741" s="32"/>
    </row>
    <row r="742" spans="21:21" ht="12.5">
      <c r="U742" s="32"/>
    </row>
    <row r="743" spans="21:21" ht="12.5">
      <c r="U743" s="32"/>
    </row>
    <row r="744" spans="21:21" ht="12.5">
      <c r="U744" s="32"/>
    </row>
    <row r="745" spans="21:21" ht="12.5">
      <c r="U745" s="32"/>
    </row>
    <row r="746" spans="21:21" ht="12.5">
      <c r="U746" s="32"/>
    </row>
    <row r="747" spans="21:21" ht="12.5">
      <c r="U747" s="32"/>
    </row>
    <row r="748" spans="21:21" ht="12.5">
      <c r="U748" s="32"/>
    </row>
    <row r="749" spans="21:21" ht="12.5">
      <c r="U749" s="32"/>
    </row>
    <row r="750" spans="21:21" ht="12.5">
      <c r="U750" s="32"/>
    </row>
    <row r="751" spans="21:21" ht="12.5">
      <c r="U751" s="32"/>
    </row>
    <row r="752" spans="21:21" ht="12.5">
      <c r="U752" s="32"/>
    </row>
    <row r="753" spans="21:21" ht="12.5">
      <c r="U753" s="32"/>
    </row>
    <row r="754" spans="21:21" ht="12.5">
      <c r="U754" s="32"/>
    </row>
    <row r="755" spans="21:21" ht="12.5">
      <c r="U755" s="32"/>
    </row>
    <row r="756" spans="21:21" ht="12.5">
      <c r="U756" s="32"/>
    </row>
    <row r="757" spans="21:21" ht="12.5">
      <c r="U757" s="32"/>
    </row>
    <row r="758" spans="21:21" ht="12.5">
      <c r="U758" s="32"/>
    </row>
    <row r="759" spans="21:21" ht="12.5">
      <c r="U759" s="32"/>
    </row>
    <row r="760" spans="21:21" ht="12.5">
      <c r="U760" s="32"/>
    </row>
    <row r="761" spans="21:21" ht="12.5">
      <c r="U761" s="32"/>
    </row>
    <row r="762" spans="21:21" ht="12.5">
      <c r="U762" s="32"/>
    </row>
    <row r="763" spans="21:21" ht="12.5">
      <c r="U763" s="32"/>
    </row>
    <row r="764" spans="21:21" ht="12.5">
      <c r="U764" s="32"/>
    </row>
    <row r="765" spans="21:21" ht="12.5">
      <c r="U765" s="32"/>
    </row>
    <row r="766" spans="21:21" ht="12.5">
      <c r="U766" s="32"/>
    </row>
    <row r="767" spans="21:21" ht="12.5">
      <c r="U767" s="32"/>
    </row>
    <row r="768" spans="21:21" ht="12.5">
      <c r="U768" s="32"/>
    </row>
    <row r="769" spans="21:21" ht="12.5">
      <c r="U769" s="32"/>
    </row>
    <row r="770" spans="21:21" ht="12.5">
      <c r="U770" s="32"/>
    </row>
    <row r="771" spans="21:21" ht="12.5">
      <c r="U771" s="32"/>
    </row>
    <row r="772" spans="21:21" ht="12.5">
      <c r="U772" s="32"/>
    </row>
    <row r="773" spans="21:21" ht="12.5">
      <c r="U773" s="32"/>
    </row>
    <row r="774" spans="21:21" ht="12.5">
      <c r="U774" s="32"/>
    </row>
    <row r="775" spans="21:21" ht="12.5">
      <c r="U775" s="32"/>
    </row>
    <row r="776" spans="21:21" ht="12.5">
      <c r="U776" s="32"/>
    </row>
    <row r="777" spans="21:21" ht="12.5">
      <c r="U777" s="32"/>
    </row>
    <row r="778" spans="21:21" ht="12.5">
      <c r="U778" s="32"/>
    </row>
    <row r="779" spans="21:21" ht="12.5">
      <c r="U779" s="32"/>
    </row>
    <row r="780" spans="21:21" ht="12.5">
      <c r="U780" s="32"/>
    </row>
    <row r="781" spans="21:21" ht="12.5">
      <c r="U781" s="32"/>
    </row>
    <row r="782" spans="21:21" ht="12.5">
      <c r="U782" s="32"/>
    </row>
    <row r="783" spans="21:21" ht="12.5">
      <c r="U783" s="32"/>
    </row>
    <row r="784" spans="21:21" ht="12.5">
      <c r="U784" s="32"/>
    </row>
    <row r="785" spans="21:21" ht="12.5">
      <c r="U785" s="32"/>
    </row>
    <row r="786" spans="21:21" ht="12.5">
      <c r="U786" s="32"/>
    </row>
    <row r="787" spans="21:21" ht="12.5">
      <c r="U787" s="32"/>
    </row>
    <row r="788" spans="21:21" ht="12.5">
      <c r="U788" s="32"/>
    </row>
    <row r="789" spans="21:21" ht="12.5">
      <c r="U789" s="32"/>
    </row>
    <row r="790" spans="21:21" ht="12.5">
      <c r="U790" s="32"/>
    </row>
    <row r="791" spans="21:21" ht="12.5">
      <c r="U791" s="32"/>
    </row>
    <row r="792" spans="21:21" ht="12.5">
      <c r="U792" s="32"/>
    </row>
    <row r="793" spans="21:21" ht="12.5">
      <c r="U793" s="32"/>
    </row>
    <row r="794" spans="21:21" ht="12.5">
      <c r="U794" s="32"/>
    </row>
    <row r="795" spans="21:21" ht="12.5">
      <c r="U795" s="32"/>
    </row>
    <row r="796" spans="21:21" ht="12.5">
      <c r="U796" s="32"/>
    </row>
    <row r="797" spans="21:21" ht="12.5">
      <c r="U797" s="32"/>
    </row>
    <row r="798" spans="21:21" ht="12.5">
      <c r="U798" s="32"/>
    </row>
    <row r="799" spans="21:21" ht="12.5">
      <c r="U799" s="32"/>
    </row>
    <row r="800" spans="21:21" ht="12.5">
      <c r="U800" s="32"/>
    </row>
    <row r="801" spans="21:21" ht="12.5">
      <c r="U801" s="32"/>
    </row>
    <row r="802" spans="21:21" ht="12.5">
      <c r="U802" s="32"/>
    </row>
    <row r="803" spans="21:21" ht="12.5">
      <c r="U803" s="32"/>
    </row>
    <row r="804" spans="21:21" ht="12.5">
      <c r="U804" s="32"/>
    </row>
    <row r="805" spans="21:21" ht="12.5">
      <c r="U805" s="32"/>
    </row>
    <row r="806" spans="21:21" ht="12.5">
      <c r="U806" s="32"/>
    </row>
    <row r="807" spans="21:21" ht="12.5">
      <c r="U807" s="32"/>
    </row>
    <row r="808" spans="21:21" ht="12.5">
      <c r="U808" s="32"/>
    </row>
    <row r="809" spans="21:21" ht="12.5">
      <c r="U809" s="32"/>
    </row>
    <row r="810" spans="21:21" ht="12.5">
      <c r="U810" s="32"/>
    </row>
    <row r="811" spans="21:21" ht="12.5">
      <c r="U811" s="32"/>
    </row>
    <row r="812" spans="21:21" ht="12.5">
      <c r="U812" s="32"/>
    </row>
    <row r="813" spans="21:21" ht="12.5">
      <c r="U813" s="32"/>
    </row>
    <row r="814" spans="21:21" ht="12.5">
      <c r="U814" s="32"/>
    </row>
    <row r="815" spans="21:21" ht="12.5">
      <c r="U815" s="32"/>
    </row>
    <row r="816" spans="21:21" ht="12.5">
      <c r="U816" s="32"/>
    </row>
    <row r="817" spans="21:21" ht="12.5">
      <c r="U817" s="32"/>
    </row>
    <row r="818" spans="21:21" ht="12.5">
      <c r="U818" s="32"/>
    </row>
    <row r="819" spans="21:21" ht="12.5">
      <c r="U819" s="32"/>
    </row>
    <row r="820" spans="21:21" ht="12.5">
      <c r="U820" s="32"/>
    </row>
    <row r="821" spans="21:21" ht="12.5">
      <c r="U821" s="32"/>
    </row>
    <row r="822" spans="21:21" ht="12.5">
      <c r="U822" s="32"/>
    </row>
    <row r="823" spans="21:21" ht="12.5">
      <c r="U823" s="32"/>
    </row>
    <row r="824" spans="21:21" ht="12.5">
      <c r="U824" s="32"/>
    </row>
    <row r="825" spans="21:21" ht="12.5">
      <c r="U825" s="32"/>
    </row>
    <row r="826" spans="21:21" ht="12.5">
      <c r="U826" s="32"/>
    </row>
    <row r="827" spans="21:21" ht="12.5">
      <c r="U827" s="32"/>
    </row>
    <row r="828" spans="21:21" ht="12.5">
      <c r="U828" s="32"/>
    </row>
    <row r="829" spans="21:21" ht="12.5">
      <c r="U829" s="32"/>
    </row>
    <row r="830" spans="21:21" ht="12.5">
      <c r="U830" s="32"/>
    </row>
    <row r="831" spans="21:21" ht="12.5">
      <c r="U831" s="32"/>
    </row>
    <row r="832" spans="21:21" ht="12.5">
      <c r="U832" s="32"/>
    </row>
    <row r="833" spans="21:21" ht="12.5">
      <c r="U833" s="32"/>
    </row>
    <row r="834" spans="21:21" ht="12.5">
      <c r="U834" s="32"/>
    </row>
    <row r="835" spans="21:21" ht="12.5">
      <c r="U835" s="32"/>
    </row>
    <row r="836" spans="21:21" ht="12.5">
      <c r="U836" s="32"/>
    </row>
    <row r="837" spans="21:21" ht="12.5">
      <c r="U837" s="32"/>
    </row>
    <row r="838" spans="21:21" ht="12.5">
      <c r="U838" s="32"/>
    </row>
    <row r="839" spans="21:21" ht="12.5">
      <c r="U839" s="32"/>
    </row>
    <row r="840" spans="21:21" ht="12.5">
      <c r="U840" s="32"/>
    </row>
    <row r="841" spans="21:21" ht="12.5">
      <c r="U841" s="32"/>
    </row>
    <row r="842" spans="21:21" ht="12.5">
      <c r="U842" s="32"/>
    </row>
    <row r="843" spans="21:21" ht="12.5">
      <c r="U843" s="32"/>
    </row>
    <row r="844" spans="21:21" ht="12.5">
      <c r="U844" s="32"/>
    </row>
    <row r="845" spans="21:21" ht="12.5">
      <c r="U845" s="32"/>
    </row>
    <row r="846" spans="21:21" ht="12.5">
      <c r="U846" s="32"/>
    </row>
    <row r="847" spans="21:21" ht="12.5">
      <c r="U847" s="32"/>
    </row>
    <row r="848" spans="21:21" ht="12.5">
      <c r="U848" s="32"/>
    </row>
    <row r="849" spans="21:21" ht="12.5">
      <c r="U849" s="32"/>
    </row>
    <row r="850" spans="21:21" ht="12.5">
      <c r="U850" s="32"/>
    </row>
    <row r="851" spans="21:21" ht="12.5">
      <c r="U851" s="32"/>
    </row>
    <row r="852" spans="21:21" ht="12.5">
      <c r="U852" s="32"/>
    </row>
    <row r="853" spans="21:21" ht="12.5">
      <c r="U853" s="32"/>
    </row>
    <row r="854" spans="21:21" ht="12.5">
      <c r="U854" s="32"/>
    </row>
    <row r="855" spans="21:21" ht="12.5">
      <c r="U855" s="32"/>
    </row>
    <row r="856" spans="21:21" ht="12.5">
      <c r="U856" s="32"/>
    </row>
    <row r="857" spans="21:21" ht="12.5">
      <c r="U857" s="32"/>
    </row>
    <row r="858" spans="21:21" ht="12.5">
      <c r="U858" s="32"/>
    </row>
    <row r="859" spans="21:21" ht="12.5">
      <c r="U859" s="32"/>
    </row>
    <row r="860" spans="21:21" ht="12.5">
      <c r="U860" s="32"/>
    </row>
    <row r="861" spans="21:21" ht="12.5">
      <c r="U861" s="32"/>
    </row>
    <row r="862" spans="21:21" ht="12.5">
      <c r="U862" s="32"/>
    </row>
    <row r="863" spans="21:21" ht="12.5">
      <c r="U863" s="32"/>
    </row>
    <row r="864" spans="21:21" ht="12.5">
      <c r="U864" s="32"/>
    </row>
    <row r="865" spans="21:21" ht="12.5">
      <c r="U865" s="32"/>
    </row>
    <row r="866" spans="21:21" ht="12.5">
      <c r="U866" s="32"/>
    </row>
    <row r="867" spans="21:21" ht="12.5">
      <c r="U867" s="32"/>
    </row>
    <row r="868" spans="21:21" ht="12.5">
      <c r="U868" s="32"/>
    </row>
    <row r="869" spans="21:21" ht="12.5">
      <c r="U869" s="32"/>
    </row>
    <row r="870" spans="21:21" ht="12.5">
      <c r="U870" s="32"/>
    </row>
    <row r="871" spans="21:21" ht="12.5">
      <c r="U871" s="32"/>
    </row>
    <row r="872" spans="21:21" ht="12.5">
      <c r="U872" s="32"/>
    </row>
    <row r="873" spans="21:21" ht="12.5">
      <c r="U873" s="32"/>
    </row>
    <row r="874" spans="21:21" ht="12.5">
      <c r="U874" s="32"/>
    </row>
    <row r="875" spans="21:21" ht="12.5">
      <c r="U875" s="32"/>
    </row>
    <row r="876" spans="21:21" ht="12.5">
      <c r="U876" s="32"/>
    </row>
    <row r="877" spans="21:21" ht="12.5">
      <c r="U877" s="32"/>
    </row>
    <row r="878" spans="21:21" ht="12.5">
      <c r="U878" s="32"/>
    </row>
    <row r="879" spans="21:21" ht="12.5">
      <c r="U879" s="32"/>
    </row>
    <row r="880" spans="21:21" ht="12.5">
      <c r="U880" s="32"/>
    </row>
    <row r="881" spans="21:21" ht="12.5">
      <c r="U881" s="32"/>
    </row>
    <row r="882" spans="21:21" ht="12.5">
      <c r="U882" s="32"/>
    </row>
    <row r="883" spans="21:21" ht="12.5">
      <c r="U883" s="32"/>
    </row>
    <row r="884" spans="21:21" ht="12.5">
      <c r="U884" s="32"/>
    </row>
    <row r="885" spans="21:21" ht="12.5">
      <c r="U885" s="32"/>
    </row>
    <row r="886" spans="21:21" ht="12.5">
      <c r="U886" s="32"/>
    </row>
    <row r="887" spans="21:21" ht="12.5">
      <c r="U887" s="32"/>
    </row>
    <row r="888" spans="21:21" ht="12.5">
      <c r="U888" s="32"/>
    </row>
    <row r="889" spans="21:21" ht="12.5">
      <c r="U889" s="32"/>
    </row>
    <row r="890" spans="21:21" ht="12.5">
      <c r="U890" s="32"/>
    </row>
    <row r="891" spans="21:21" ht="12.5">
      <c r="U891" s="32"/>
    </row>
    <row r="892" spans="21:21" ht="12.5">
      <c r="U892" s="32"/>
    </row>
    <row r="893" spans="21:21" ht="12.5">
      <c r="U893" s="32"/>
    </row>
    <row r="894" spans="21:21" ht="12.5">
      <c r="U894" s="32"/>
    </row>
    <row r="895" spans="21:21" ht="12.5">
      <c r="U895" s="32"/>
    </row>
    <row r="896" spans="21:21" ht="12.5">
      <c r="U896" s="32"/>
    </row>
    <row r="897" spans="21:21" ht="12.5">
      <c r="U897" s="32"/>
    </row>
    <row r="898" spans="21:21" ht="12.5">
      <c r="U898" s="32"/>
    </row>
    <row r="899" spans="21:21" ht="12.5">
      <c r="U899" s="32"/>
    </row>
    <row r="900" spans="21:21" ht="12.5">
      <c r="U900" s="32"/>
    </row>
    <row r="901" spans="21:21" ht="12.5">
      <c r="U901" s="32"/>
    </row>
    <row r="902" spans="21:21" ht="12.5">
      <c r="U902" s="32"/>
    </row>
    <row r="903" spans="21:21" ht="12.5">
      <c r="U903" s="32"/>
    </row>
    <row r="904" spans="21:21" ht="12.5">
      <c r="U904" s="32"/>
    </row>
    <row r="905" spans="21:21" ht="12.5">
      <c r="U905" s="32"/>
    </row>
    <row r="906" spans="21:21" ht="12.5">
      <c r="U906" s="32"/>
    </row>
    <row r="907" spans="21:21" ht="12.5">
      <c r="U907" s="32"/>
    </row>
    <row r="908" spans="21:21" ht="12.5">
      <c r="U908" s="32"/>
    </row>
    <row r="909" spans="21:21" ht="12.5">
      <c r="U909" s="32"/>
    </row>
    <row r="910" spans="21:21" ht="12.5">
      <c r="U910" s="32"/>
    </row>
    <row r="911" spans="21:21" ht="12.5">
      <c r="U911" s="32"/>
    </row>
    <row r="912" spans="21:21" ht="12.5">
      <c r="U912" s="32"/>
    </row>
    <row r="913" spans="21:21" ht="12.5">
      <c r="U913" s="32"/>
    </row>
    <row r="914" spans="21:21" ht="12.5">
      <c r="U914" s="32"/>
    </row>
    <row r="915" spans="21:21" ht="12.5">
      <c r="U915" s="32"/>
    </row>
    <row r="916" spans="21:21" ht="12.5">
      <c r="U916" s="32"/>
    </row>
    <row r="917" spans="21:21" ht="12.5">
      <c r="U917" s="32"/>
    </row>
    <row r="918" spans="21:21" ht="12.5">
      <c r="U918" s="32"/>
    </row>
    <row r="919" spans="21:21" ht="12.5">
      <c r="U919" s="32"/>
    </row>
    <row r="920" spans="21:21" ht="12.5">
      <c r="U920" s="32"/>
    </row>
    <row r="921" spans="21:21" ht="12.5">
      <c r="U921" s="32"/>
    </row>
    <row r="922" spans="21:21" ht="12.5">
      <c r="U922" s="32"/>
    </row>
    <row r="923" spans="21:21" ht="12.5">
      <c r="U923" s="32"/>
    </row>
    <row r="924" spans="21:21" ht="12.5">
      <c r="U924" s="32"/>
    </row>
    <row r="925" spans="21:21" ht="12.5">
      <c r="U925" s="32"/>
    </row>
    <row r="926" spans="21:21" ht="12.5">
      <c r="U926" s="32"/>
    </row>
    <row r="927" spans="21:21" ht="12.5">
      <c r="U927" s="32"/>
    </row>
    <row r="928" spans="21:21" ht="12.5">
      <c r="U928" s="32"/>
    </row>
    <row r="929" spans="21:21" ht="12.5">
      <c r="U929" s="32"/>
    </row>
    <row r="930" spans="21:21" ht="12.5">
      <c r="U930" s="32"/>
    </row>
    <row r="931" spans="21:21" ht="12.5">
      <c r="U931" s="32"/>
    </row>
    <row r="932" spans="21:21" ht="12.5">
      <c r="U932" s="32"/>
    </row>
    <row r="933" spans="21:21" ht="12.5">
      <c r="U933" s="32"/>
    </row>
    <row r="934" spans="21:21" ht="12.5">
      <c r="U934" s="32"/>
    </row>
    <row r="935" spans="21:21" ht="12.5">
      <c r="U935" s="32"/>
    </row>
    <row r="936" spans="21:21" ht="12.5">
      <c r="U936" s="32"/>
    </row>
    <row r="937" spans="21:21" ht="12.5">
      <c r="U937" s="32"/>
    </row>
    <row r="938" spans="21:21" ht="12.5">
      <c r="U938" s="32"/>
    </row>
    <row r="939" spans="21:21" ht="12.5">
      <c r="U939" s="32"/>
    </row>
    <row r="940" spans="21:21" ht="12.5">
      <c r="U940" s="32"/>
    </row>
    <row r="941" spans="21:21" ht="12.5">
      <c r="U941" s="32"/>
    </row>
    <row r="942" spans="21:21" ht="12.5">
      <c r="U942" s="32"/>
    </row>
    <row r="943" spans="21:21" ht="12.5">
      <c r="U943" s="32"/>
    </row>
    <row r="944" spans="21:21" ht="12.5">
      <c r="U944" s="32"/>
    </row>
    <row r="945" spans="21:21" ht="12.5">
      <c r="U945" s="32"/>
    </row>
    <row r="946" spans="21:21" ht="12.5">
      <c r="U946" s="32"/>
    </row>
    <row r="947" spans="21:21" ht="12.5">
      <c r="U947" s="32"/>
    </row>
    <row r="948" spans="21:21" ht="12.5">
      <c r="U948" s="32"/>
    </row>
    <row r="949" spans="21:21" ht="12.5">
      <c r="U949" s="32"/>
    </row>
    <row r="950" spans="21:21" ht="12.5">
      <c r="U950" s="32"/>
    </row>
    <row r="951" spans="21:21" ht="12.5">
      <c r="U951" s="32"/>
    </row>
    <row r="952" spans="21:21" ht="12.5">
      <c r="U952" s="32"/>
    </row>
    <row r="953" spans="21:21" ht="12.5">
      <c r="U953" s="32"/>
    </row>
    <row r="954" spans="21:21" ht="12.5">
      <c r="U954" s="32"/>
    </row>
    <row r="955" spans="21:21" ht="12.5">
      <c r="U955" s="32"/>
    </row>
    <row r="956" spans="21:21" ht="12.5">
      <c r="U956" s="32"/>
    </row>
    <row r="957" spans="21:21" ht="12.5">
      <c r="U957" s="32"/>
    </row>
    <row r="958" spans="21:21" ht="12.5">
      <c r="U958" s="32"/>
    </row>
    <row r="959" spans="21:21" ht="12.5">
      <c r="U959" s="32"/>
    </row>
    <row r="960" spans="21:21" ht="12.5">
      <c r="U960" s="32"/>
    </row>
    <row r="961" spans="21:21" ht="12.5">
      <c r="U961" s="32"/>
    </row>
    <row r="962" spans="21:21" ht="12.5">
      <c r="U962" s="32"/>
    </row>
    <row r="963" spans="21:21" ht="12.5">
      <c r="U963" s="32"/>
    </row>
    <row r="964" spans="21:21" ht="12.5">
      <c r="U964" s="32"/>
    </row>
    <row r="965" spans="21:21" ht="12.5">
      <c r="U965" s="32"/>
    </row>
    <row r="966" spans="21:21" ht="12.5">
      <c r="U966" s="32"/>
    </row>
    <row r="967" spans="21:21" ht="12.5">
      <c r="U967" s="32"/>
    </row>
    <row r="968" spans="21:21" ht="12.5">
      <c r="U968" s="32"/>
    </row>
    <row r="969" spans="21:21" ht="12.5">
      <c r="U969" s="32"/>
    </row>
    <row r="970" spans="21:21" ht="12.5">
      <c r="U970" s="32"/>
    </row>
    <row r="971" spans="21:21" ht="12.5">
      <c r="U971" s="32"/>
    </row>
    <row r="972" spans="21:21" ht="12.5">
      <c r="U972" s="32"/>
    </row>
    <row r="973" spans="21:21" ht="12.5">
      <c r="U973" s="32"/>
    </row>
    <row r="974" spans="21:21" ht="12.5">
      <c r="U974" s="32"/>
    </row>
    <row r="975" spans="21:21" ht="12.5">
      <c r="U975" s="32"/>
    </row>
    <row r="976" spans="21:21" ht="12.5">
      <c r="U976" s="32"/>
    </row>
    <row r="977" spans="21:21" ht="12.5">
      <c r="U977" s="32"/>
    </row>
    <row r="978" spans="21:21" ht="12.5">
      <c r="U978" s="32"/>
    </row>
    <row r="979" spans="21:21" ht="12.5">
      <c r="U979" s="32"/>
    </row>
    <row r="980" spans="21:21" ht="12.5">
      <c r="U980" s="32"/>
    </row>
    <row r="981" spans="21:21" ht="12.5">
      <c r="U981" s="32"/>
    </row>
    <row r="982" spans="21:21" ht="12.5">
      <c r="U982" s="32"/>
    </row>
    <row r="983" spans="21:21" ht="12.5">
      <c r="U983" s="32"/>
    </row>
    <row r="984" spans="21:21" ht="12.5">
      <c r="U984" s="32"/>
    </row>
    <row r="985" spans="21:21" ht="12.5">
      <c r="U985" s="32"/>
    </row>
    <row r="986" spans="21:21" ht="12.5">
      <c r="U986" s="32"/>
    </row>
    <row r="987" spans="21:21" ht="12.5">
      <c r="U987" s="32"/>
    </row>
    <row r="988" spans="21:21" ht="12.5">
      <c r="U988" s="32"/>
    </row>
    <row r="989" spans="21:21" ht="12.5">
      <c r="U989" s="32"/>
    </row>
    <row r="990" spans="21:21" ht="12.5">
      <c r="U990" s="32"/>
    </row>
    <row r="991" spans="21:21" ht="12.5">
      <c r="U991" s="32"/>
    </row>
    <row r="992" spans="21:21" ht="12.5">
      <c r="U992" s="32"/>
    </row>
    <row r="993" spans="21:21" ht="12.5">
      <c r="U993" s="32"/>
    </row>
    <row r="994" spans="21:21" ht="12.5">
      <c r="U994" s="32"/>
    </row>
    <row r="995" spans="21:21" ht="12.5">
      <c r="U995" s="32"/>
    </row>
    <row r="996" spans="21:21" ht="12.5">
      <c r="U996" s="32"/>
    </row>
    <row r="997" spans="21:21" ht="12.5">
      <c r="U997" s="32"/>
    </row>
    <row r="998" spans="21:21" ht="12.5">
      <c r="U998" s="32"/>
    </row>
    <row r="999" spans="21:21" ht="12.5">
      <c r="U999" s="32"/>
    </row>
    <row r="1000" spans="21:21" ht="12.5">
      <c r="U1000" s="32"/>
    </row>
    <row r="1001" spans="21:21" ht="12.5">
      <c r="U1001" s="32"/>
    </row>
    <row r="1002" spans="21:21" ht="12.5">
      <c r="U1002" s="32"/>
    </row>
    <row r="1003" spans="21:21" ht="12.5">
      <c r="U1003" s="32"/>
    </row>
    <row r="1004" spans="21:21" ht="12.5">
      <c r="U1004" s="32"/>
    </row>
    <row r="1005" spans="21:21" ht="12.5">
      <c r="U1005" s="32"/>
    </row>
    <row r="1006" spans="21:21" ht="12.5">
      <c r="U1006" s="32"/>
    </row>
    <row r="1007" spans="21:21" ht="12.5">
      <c r="U1007" s="32"/>
    </row>
    <row r="1008" spans="21:21" ht="12.5">
      <c r="U1008" s="32"/>
    </row>
    <row r="1009" spans="21:21" ht="12.5">
      <c r="U1009" s="32"/>
    </row>
    <row r="1010" spans="21:21" ht="12.5">
      <c r="U1010" s="32"/>
    </row>
    <row r="1011" spans="21:21" ht="12.5">
      <c r="U1011" s="32"/>
    </row>
    <row r="1012" spans="21:21" ht="12.5">
      <c r="U1012" s="32"/>
    </row>
    <row r="1013" spans="21:21" ht="12.5">
      <c r="U1013" s="32"/>
    </row>
    <row r="1014" spans="21:21" ht="12.5">
      <c r="U1014" s="32"/>
    </row>
    <row r="1015" spans="21:21" ht="12.5">
      <c r="U1015" s="32"/>
    </row>
    <row r="1016" spans="21:21" ht="12.5">
      <c r="U1016" s="32"/>
    </row>
    <row r="1017" spans="21:21" ht="12.5">
      <c r="U1017" s="32"/>
    </row>
    <row r="1018" spans="21:21" ht="12.5">
      <c r="U1018" s="32"/>
    </row>
    <row r="1019" spans="21:21" ht="12.5">
      <c r="U1019" s="32"/>
    </row>
    <row r="1020" spans="21:21" ht="12.5">
      <c r="U1020" s="32"/>
    </row>
    <row r="1021" spans="21:21" ht="12.5">
      <c r="U1021" s="32"/>
    </row>
    <row r="1022" spans="21:21" ht="12.5">
      <c r="U1022" s="32"/>
    </row>
    <row r="1023" spans="21:21" ht="12.5">
      <c r="U1023" s="32"/>
    </row>
    <row r="1024" spans="21:21" ht="12.5">
      <c r="U1024" s="32"/>
    </row>
    <row r="1025" spans="21:21" ht="12.5">
      <c r="U1025" s="32"/>
    </row>
    <row r="1026" spans="21:21" ht="12.5">
      <c r="U1026" s="32"/>
    </row>
    <row r="1027" spans="21:21" ht="12.5">
      <c r="U1027" s="32"/>
    </row>
    <row r="1028" spans="21:21" ht="12.5">
      <c r="U1028" s="32"/>
    </row>
    <row r="1029" spans="21:21" ht="12.5">
      <c r="U1029" s="32"/>
    </row>
    <row r="1030" spans="21:21" ht="12.5">
      <c r="U1030" s="32"/>
    </row>
    <row r="1031" spans="21:21" ht="12.5">
      <c r="U1031" s="32"/>
    </row>
    <row r="1032" spans="21:21" ht="12.5">
      <c r="U1032" s="32"/>
    </row>
    <row r="1033" spans="21:21" ht="12.5">
      <c r="U1033" s="32"/>
    </row>
    <row r="1034" spans="21:21" ht="12.5">
      <c r="U1034" s="32"/>
    </row>
    <row r="1035" spans="21:21" ht="12.5">
      <c r="U1035" s="32"/>
    </row>
    <row r="1036" spans="21:21" ht="12.5">
      <c r="U1036" s="32"/>
    </row>
    <row r="1037" spans="21:21" ht="12.5">
      <c r="U1037" s="32"/>
    </row>
    <row r="1038" spans="21:21" ht="12.5">
      <c r="U1038" s="32"/>
    </row>
    <row r="1039" spans="21:21" ht="12.5">
      <c r="U1039" s="32"/>
    </row>
    <row r="1040" spans="21:21" ht="12.5">
      <c r="U1040" s="32"/>
    </row>
    <row r="1041" spans="21:21" ht="12.5">
      <c r="U1041" s="32"/>
    </row>
    <row r="1042" spans="21:21" ht="12.5">
      <c r="U1042" s="32"/>
    </row>
    <row r="1043" spans="21:21" ht="12.5">
      <c r="U1043" s="32"/>
    </row>
    <row r="1044" spans="21:21" ht="12.5">
      <c r="U1044" s="32"/>
    </row>
    <row r="1045" spans="21:21" ht="12.5">
      <c r="U1045" s="32"/>
    </row>
    <row r="1046" spans="21:21" ht="12.5">
      <c r="U1046" s="32"/>
    </row>
    <row r="1047" spans="21:21" ht="12.5">
      <c r="U1047" s="32"/>
    </row>
    <row r="1048" spans="21:21" ht="12.5">
      <c r="U1048" s="32"/>
    </row>
    <row r="1049" spans="21:21" ht="12.5">
      <c r="U1049" s="32"/>
    </row>
    <row r="1050" spans="21:21" ht="12.5">
      <c r="U1050" s="32"/>
    </row>
    <row r="1051" spans="21:21" ht="12.5">
      <c r="U1051" s="32"/>
    </row>
    <row r="1052" spans="21:21" ht="12.5">
      <c r="U1052" s="32"/>
    </row>
    <row r="1053" spans="21:21" ht="12.5">
      <c r="U1053" s="32"/>
    </row>
    <row r="1054" spans="21:21" ht="12.5">
      <c r="U1054" s="32"/>
    </row>
    <row r="1055" spans="21:21" ht="12.5">
      <c r="U1055" s="32"/>
    </row>
    <row r="1056" spans="21:21" ht="12.5">
      <c r="U1056" s="32"/>
    </row>
    <row r="1057" spans="21:21" ht="12.5">
      <c r="U1057" s="32"/>
    </row>
    <row r="1058" spans="21:21" ht="12.5">
      <c r="U1058" s="32"/>
    </row>
    <row r="1059" spans="21:21" ht="12.5">
      <c r="U1059" s="32"/>
    </row>
    <row r="1060" spans="21:21" ht="12.5">
      <c r="U1060" s="32"/>
    </row>
    <row r="1061" spans="21:21" ht="12.5">
      <c r="U1061" s="32"/>
    </row>
    <row r="1062" spans="21:21" ht="12.5">
      <c r="U1062" s="32"/>
    </row>
    <row r="1063" spans="21:21" ht="12.5">
      <c r="U1063" s="32"/>
    </row>
    <row r="1064" spans="21:21" ht="12.5">
      <c r="U1064" s="32"/>
    </row>
    <row r="1065" spans="21:21" ht="12.5">
      <c r="U1065" s="32"/>
    </row>
    <row r="1066" spans="21:21" ht="12.5">
      <c r="U1066" s="32"/>
    </row>
    <row r="1067" spans="21:21" ht="12.5">
      <c r="U1067" s="32"/>
    </row>
    <row r="1068" spans="21:21" ht="12.5">
      <c r="U1068" s="32"/>
    </row>
    <row r="1069" spans="21:21" ht="12.5">
      <c r="U1069" s="32"/>
    </row>
    <row r="1070" spans="21:21" ht="12.5">
      <c r="U1070" s="32"/>
    </row>
    <row r="1071" spans="21:21" ht="12.5">
      <c r="U1071" s="32"/>
    </row>
    <row r="1072" spans="21:21" ht="12.5">
      <c r="U1072" s="32"/>
    </row>
    <row r="1073" spans="21:21" ht="12.5">
      <c r="U1073" s="32"/>
    </row>
    <row r="1074" spans="21:21" ht="12.5">
      <c r="U1074" s="32"/>
    </row>
    <row r="1075" spans="21:21" ht="12.5">
      <c r="U1075" s="32"/>
    </row>
    <row r="1076" spans="21:21" ht="12.5">
      <c r="U1076" s="32"/>
    </row>
    <row r="1077" spans="21:21" ht="12.5">
      <c r="U1077" s="32"/>
    </row>
    <row r="1078" spans="21:21" ht="12.5">
      <c r="U1078" s="32"/>
    </row>
    <row r="1079" spans="21:21" ht="12.5">
      <c r="U1079" s="32"/>
    </row>
    <row r="1080" spans="21:21" ht="12.5">
      <c r="U1080" s="32"/>
    </row>
    <row r="1081" spans="21:21" ht="12.5">
      <c r="U1081" s="32"/>
    </row>
    <row r="1082" spans="21:21" ht="12.5">
      <c r="U1082" s="32"/>
    </row>
    <row r="1083" spans="21:21" ht="12.5">
      <c r="U1083" s="32"/>
    </row>
    <row r="1084" spans="21:21" ht="12.5">
      <c r="U1084" s="32"/>
    </row>
    <row r="1085" spans="21:21" ht="12.5">
      <c r="U1085" s="32"/>
    </row>
    <row r="1086" spans="21:21" ht="12.5">
      <c r="U1086" s="32"/>
    </row>
    <row r="1087" spans="21:21" ht="12.5">
      <c r="U1087" s="32"/>
    </row>
    <row r="1088" spans="21:21" ht="12.5">
      <c r="U1088" s="32"/>
    </row>
    <row r="1089" spans="21:21" ht="12.5">
      <c r="U1089" s="32"/>
    </row>
    <row r="1090" spans="21:21" ht="12.5">
      <c r="U1090" s="32"/>
    </row>
    <row r="1091" spans="21:21" ht="12.5">
      <c r="U1091" s="32"/>
    </row>
    <row r="1092" spans="21:21" ht="12.5">
      <c r="U1092" s="32"/>
    </row>
    <row r="1093" spans="21:21" ht="12.5">
      <c r="U1093" s="32"/>
    </row>
    <row r="1094" spans="21:21" ht="12.5">
      <c r="U1094" s="32"/>
    </row>
    <row r="1095" spans="21:21" ht="12.5">
      <c r="U1095" s="32"/>
    </row>
    <row r="1096" spans="21:21" ht="12.5">
      <c r="U1096" s="32"/>
    </row>
    <row r="1097" spans="21:21" ht="12.5">
      <c r="U1097" s="32"/>
    </row>
    <row r="1098" spans="21:21" ht="12.5">
      <c r="U1098" s="32"/>
    </row>
    <row r="1099" spans="21:21" ht="12.5">
      <c r="U1099" s="32"/>
    </row>
    <row r="1100" spans="21:21" ht="12.5">
      <c r="U1100" s="32"/>
    </row>
    <row r="1101" spans="21:21" ht="12.5">
      <c r="U1101" s="32"/>
    </row>
    <row r="1102" spans="21:21" ht="12.5">
      <c r="U1102" s="32"/>
    </row>
    <row r="1103" spans="21:21" ht="12.5">
      <c r="U1103" s="32"/>
    </row>
    <row r="1104" spans="21:21" ht="12.5">
      <c r="U1104" s="32"/>
    </row>
    <row r="1105" spans="21:21" ht="12.5">
      <c r="U1105" s="32"/>
    </row>
    <row r="1106" spans="21:21" ht="12.5">
      <c r="U1106" s="32"/>
    </row>
    <row r="1107" spans="21:21" ht="12.5">
      <c r="U1107" s="32"/>
    </row>
    <row r="1108" spans="21:21" ht="12.5">
      <c r="U1108" s="32"/>
    </row>
    <row r="1109" spans="21:21" ht="12.5">
      <c r="U1109" s="32"/>
    </row>
    <row r="1110" spans="21:21" ht="12.5">
      <c r="U1110" s="32"/>
    </row>
    <row r="1111" spans="21:21" ht="12.5">
      <c r="U1111" s="32"/>
    </row>
    <row r="1112" spans="21:21" ht="12.5">
      <c r="U1112" s="32"/>
    </row>
    <row r="1113" spans="21:21" ht="12.5">
      <c r="U1113" s="32"/>
    </row>
    <row r="1114" spans="21:21" ht="12.5">
      <c r="U1114" s="32"/>
    </row>
    <row r="1115" spans="21:21" ht="12.5">
      <c r="U1115" s="32"/>
    </row>
    <row r="1116" spans="21:21" ht="12.5">
      <c r="U1116" s="32"/>
    </row>
    <row r="1117" spans="21:21" ht="12.5">
      <c r="U1117" s="32"/>
    </row>
    <row r="1118" spans="21:21" ht="12.5">
      <c r="U1118" s="32"/>
    </row>
    <row r="1119" spans="21:21" ht="12.5">
      <c r="U1119" s="32"/>
    </row>
    <row r="1120" spans="21:21" ht="12.5">
      <c r="U1120" s="32"/>
    </row>
    <row r="1121" spans="21:21" ht="12.5">
      <c r="U1121" s="32"/>
    </row>
    <row r="1122" spans="21:21" ht="12.5">
      <c r="U1122" s="32"/>
    </row>
    <row r="1123" spans="21:21" ht="12.5">
      <c r="U1123" s="32"/>
    </row>
    <row r="1124" spans="21:21" ht="12.5">
      <c r="U1124" s="32"/>
    </row>
    <row r="1125" spans="21:21" ht="12.5">
      <c r="U1125" s="32"/>
    </row>
    <row r="1126" spans="21:21" ht="12.5">
      <c r="U1126" s="32"/>
    </row>
    <row r="1127" spans="21:21" ht="12.5">
      <c r="U1127" s="32"/>
    </row>
    <row r="1128" spans="21:21" ht="12.5">
      <c r="U1128" s="32"/>
    </row>
    <row r="1129" spans="21:21" ht="12.5">
      <c r="U1129" s="32"/>
    </row>
    <row r="1130" spans="21:21" ht="12.5">
      <c r="U1130" s="32"/>
    </row>
    <row r="1131" spans="21:21" ht="12.5">
      <c r="U1131" s="32"/>
    </row>
    <row r="1132" spans="21:21" ht="12.5">
      <c r="U1132" s="32"/>
    </row>
    <row r="1133" spans="21:21" ht="12.5">
      <c r="U1133" s="32"/>
    </row>
    <row r="1134" spans="21:21" ht="12.5">
      <c r="U1134" s="32"/>
    </row>
    <row r="1135" spans="21:21" ht="12.5">
      <c r="U1135" s="32"/>
    </row>
    <row r="1136" spans="21:21" ht="12.5">
      <c r="U1136" s="32"/>
    </row>
    <row r="1137" spans="21:21" ht="12.5">
      <c r="U1137" s="32"/>
    </row>
    <row r="1138" spans="21:21" ht="12.5">
      <c r="U1138" s="32"/>
    </row>
    <row r="1139" spans="21:21" ht="12.5">
      <c r="U1139" s="32"/>
    </row>
    <row r="1140" spans="21:21" ht="12.5">
      <c r="U1140" s="32"/>
    </row>
    <row r="1141" spans="21:21" ht="12.5">
      <c r="U1141" s="32"/>
    </row>
    <row r="1142" spans="21:21" ht="12.5">
      <c r="U1142" s="32"/>
    </row>
    <row r="1143" spans="21:21" ht="12.5">
      <c r="U1143" s="32"/>
    </row>
    <row r="1144" spans="21:21" ht="12.5">
      <c r="U1144" s="32"/>
    </row>
    <row r="1145" spans="21:21" ht="12.5">
      <c r="U1145" s="32"/>
    </row>
    <row r="1146" spans="21:21" ht="12.5">
      <c r="U1146" s="32"/>
    </row>
    <row r="1147" spans="21:21" ht="12.5">
      <c r="U1147" s="32"/>
    </row>
    <row r="1148" spans="21:21" ht="12.5">
      <c r="U1148" s="32"/>
    </row>
    <row r="1149" spans="21:21" ht="12.5">
      <c r="U1149" s="32"/>
    </row>
    <row r="1150" spans="21:21" ht="12.5">
      <c r="U1150" s="32"/>
    </row>
    <row r="1151" spans="21:21" ht="12.5">
      <c r="U1151" s="32"/>
    </row>
    <row r="1152" spans="21:21" ht="12.5">
      <c r="U1152" s="32"/>
    </row>
    <row r="1153" spans="21:21" ht="12.5">
      <c r="U1153" s="32"/>
    </row>
    <row r="1154" spans="21:21" ht="12.5">
      <c r="U1154" s="32"/>
    </row>
    <row r="1155" spans="21:21" ht="12.5">
      <c r="U1155" s="32"/>
    </row>
    <row r="1156" spans="21:21" ht="12.5">
      <c r="U1156" s="32"/>
    </row>
    <row r="1157" spans="21:21" ht="12.5">
      <c r="U1157" s="32"/>
    </row>
    <row r="1158" spans="21:21" ht="12.5">
      <c r="U1158" s="32"/>
    </row>
    <row r="1159" spans="21:21" ht="12.5">
      <c r="U1159" s="32"/>
    </row>
    <row r="1160" spans="21:21" ht="12.5">
      <c r="U1160" s="32"/>
    </row>
    <row r="1161" spans="21:21" ht="12.5">
      <c r="U1161" s="32"/>
    </row>
    <row r="1162" spans="21:21" ht="12.5">
      <c r="U1162" s="32"/>
    </row>
    <row r="1163" spans="21:21" ht="12.5">
      <c r="U1163" s="32"/>
    </row>
    <row r="1164" spans="21:21" ht="12.5">
      <c r="U1164" s="32"/>
    </row>
    <row r="1165" spans="21:21" ht="12.5">
      <c r="U1165" s="32"/>
    </row>
    <row r="1166" spans="21:21" ht="12.5">
      <c r="U1166" s="32"/>
    </row>
    <row r="1167" spans="21:21" ht="12.5">
      <c r="U1167" s="32"/>
    </row>
    <row r="1168" spans="21:21" ht="12.5">
      <c r="U1168" s="32"/>
    </row>
    <row r="1169" spans="21:21" ht="12.5">
      <c r="U1169" s="32"/>
    </row>
    <row r="1170" spans="21:21" ht="12.5">
      <c r="U1170" s="32"/>
    </row>
    <row r="1171" spans="21:21" ht="12.5">
      <c r="U1171" s="32"/>
    </row>
    <row r="1172" spans="21:21" ht="12.5">
      <c r="U1172" s="32"/>
    </row>
    <row r="1173" spans="21:21" ht="12.5">
      <c r="U1173" s="32"/>
    </row>
    <row r="1174" spans="21:21" ht="12.5">
      <c r="U1174" s="32"/>
    </row>
    <row r="1175" spans="21:21" ht="12.5">
      <c r="U1175" s="32"/>
    </row>
    <row r="1176" spans="21:21" ht="12.5">
      <c r="U1176" s="32"/>
    </row>
    <row r="1177" spans="21:21" ht="12.5">
      <c r="U1177" s="32"/>
    </row>
    <row r="1178" spans="21:21" ht="12.5">
      <c r="U1178" s="32"/>
    </row>
    <row r="1179" spans="21:21" ht="12.5">
      <c r="U1179" s="32"/>
    </row>
    <row r="1180" spans="21:21" ht="12.5">
      <c r="U1180" s="32"/>
    </row>
    <row r="1181" spans="21:21" ht="12.5">
      <c r="U1181" s="32"/>
    </row>
    <row r="1182" spans="21:21" ht="12.5">
      <c r="U1182" s="32"/>
    </row>
    <row r="1183" spans="21:21" ht="12.5">
      <c r="U1183" s="32"/>
    </row>
    <row r="1184" spans="21:21" ht="12.5">
      <c r="U1184" s="32"/>
    </row>
    <row r="1185" spans="21:21" ht="12.5">
      <c r="U1185" s="32"/>
    </row>
    <row r="1186" spans="21:21" ht="12.5">
      <c r="U1186" s="32"/>
    </row>
    <row r="1187" spans="21:21" ht="12.5">
      <c r="U1187" s="32"/>
    </row>
    <row r="1188" spans="21:21" ht="12.5">
      <c r="U1188" s="32"/>
    </row>
    <row r="1189" spans="21:21" ht="12.5">
      <c r="U1189" s="32"/>
    </row>
    <row r="1190" spans="21:21" ht="12.5">
      <c r="U1190" s="32"/>
    </row>
    <row r="1191" spans="21:21" ht="12.5">
      <c r="U1191" s="32"/>
    </row>
    <row r="1192" spans="21:21" ht="12.5">
      <c r="U1192" s="32"/>
    </row>
    <row r="1193" spans="21:21" ht="12.5">
      <c r="U1193" s="32"/>
    </row>
    <row r="1194" spans="21:21" ht="12.5">
      <c r="U1194" s="32"/>
    </row>
    <row r="1195" spans="21:21" ht="12.5">
      <c r="U1195" s="32"/>
    </row>
    <row r="1196" spans="21:21" ht="12.5">
      <c r="U1196" s="32"/>
    </row>
    <row r="1197" spans="21:21" ht="12.5">
      <c r="U1197" s="32"/>
    </row>
    <row r="1198" spans="21:21" ht="12.5">
      <c r="U1198" s="32"/>
    </row>
    <row r="1199" spans="21:21" ht="12.5">
      <c r="U1199" s="32"/>
    </row>
    <row r="1200" spans="21:21" ht="12.5">
      <c r="U1200" s="32"/>
    </row>
    <row r="1201" spans="21:21" ht="12.5">
      <c r="U1201" s="32"/>
    </row>
    <row r="1202" spans="21:21" ht="12.5">
      <c r="U1202" s="32"/>
    </row>
    <row r="1203" spans="21:21" ht="12.5">
      <c r="U1203" s="32"/>
    </row>
    <row r="1204" spans="21:21" ht="12.5">
      <c r="U1204" s="32"/>
    </row>
    <row r="1205" spans="21:21" ht="12.5">
      <c r="U1205" s="32"/>
    </row>
    <row r="1206" spans="21:21" ht="12.5">
      <c r="U1206" s="32"/>
    </row>
    <row r="1207" spans="21:21" ht="12.5">
      <c r="U1207" s="32"/>
    </row>
    <row r="1208" spans="21:21" ht="12.5">
      <c r="U1208" s="32"/>
    </row>
    <row r="1209" spans="21:21" ht="12.5">
      <c r="U1209" s="32"/>
    </row>
    <row r="1210" spans="21:21" ht="12.5">
      <c r="U1210" s="32"/>
    </row>
    <row r="1211" spans="21:21" ht="12.5">
      <c r="U1211" s="32"/>
    </row>
    <row r="1212" spans="21:21" ht="12.5">
      <c r="U1212" s="32"/>
    </row>
    <row r="1213" spans="21:21" ht="12.5">
      <c r="U1213" s="32"/>
    </row>
    <row r="1214" spans="21:21" ht="12.5">
      <c r="U1214" s="32"/>
    </row>
    <row r="1215" spans="21:21" ht="12.5">
      <c r="U1215" s="32"/>
    </row>
    <row r="1216" spans="21:21" ht="12.5">
      <c r="U1216" s="32"/>
    </row>
    <row r="1217" spans="21:21" ht="12.5">
      <c r="U1217" s="32"/>
    </row>
    <row r="1218" spans="21:21" ht="12.5">
      <c r="U1218" s="32"/>
    </row>
    <row r="1219" spans="21:21" ht="12.5">
      <c r="U1219" s="32"/>
    </row>
    <row r="1220" spans="21:21" ht="12.5">
      <c r="U1220" s="32"/>
    </row>
    <row r="1221" spans="21:21" ht="12.5">
      <c r="U1221" s="32"/>
    </row>
    <row r="1222" spans="21:21" ht="12.5">
      <c r="U1222" s="32"/>
    </row>
    <row r="1223" spans="21:21" ht="12.5">
      <c r="U1223" s="32"/>
    </row>
    <row r="1224" spans="21:21" ht="12.5">
      <c r="U1224" s="32"/>
    </row>
    <row r="1225" spans="21:21" ht="12.5">
      <c r="U1225" s="32"/>
    </row>
    <row r="1226" spans="21:21" ht="12.5">
      <c r="U1226" s="32"/>
    </row>
    <row r="1227" spans="21:21" ht="12.5">
      <c r="U1227" s="32"/>
    </row>
    <row r="1228" spans="21:21" ht="12.5">
      <c r="U1228" s="32"/>
    </row>
    <row r="1229" spans="21:21" ht="12.5">
      <c r="U1229" s="32"/>
    </row>
    <row r="1230" spans="21:21" ht="12.5">
      <c r="U1230" s="32"/>
    </row>
    <row r="1231" spans="21:21" ht="12.5">
      <c r="U1231" s="32"/>
    </row>
    <row r="1232" spans="21:21" ht="12.5">
      <c r="U1232" s="32"/>
    </row>
    <row r="1233" spans="21:21" ht="12.5">
      <c r="U1233" s="32"/>
    </row>
    <row r="1234" spans="21:21" ht="12.5">
      <c r="U1234" s="32"/>
    </row>
    <row r="1235" spans="21:21" ht="12.5">
      <c r="U1235" s="32"/>
    </row>
    <row r="1236" spans="21:21" ht="12.5">
      <c r="U1236" s="32"/>
    </row>
    <row r="1237" spans="21:21" ht="12.5">
      <c r="U1237" s="32"/>
    </row>
    <row r="1238" spans="21:21" ht="12.5">
      <c r="U1238" s="32"/>
    </row>
    <row r="1239" spans="21:21" ht="12.5">
      <c r="U1239" s="32"/>
    </row>
    <row r="1240" spans="21:21" ht="12.5">
      <c r="U1240" s="32"/>
    </row>
    <row r="1241" spans="21:21" ht="12.5">
      <c r="U1241" s="32"/>
    </row>
    <row r="1242" spans="21:21" ht="12.5">
      <c r="U1242" s="32"/>
    </row>
    <row r="1243" spans="21:21" ht="12.5">
      <c r="U1243" s="32"/>
    </row>
    <row r="1244" spans="21:21" ht="12.5">
      <c r="U1244" s="32"/>
    </row>
    <row r="1245" spans="21:21" ht="12.5">
      <c r="U1245" s="32"/>
    </row>
    <row r="1246" spans="21:21" ht="12.5">
      <c r="U1246" s="32"/>
    </row>
    <row r="1247" spans="21:21" ht="12.5">
      <c r="U1247" s="32"/>
    </row>
    <row r="1248" spans="21:21" ht="12.5">
      <c r="U1248" s="32"/>
    </row>
    <row r="1249" spans="21:21" ht="12.5">
      <c r="U1249" s="32"/>
    </row>
    <row r="1250" spans="21:21" ht="12.5">
      <c r="U1250" s="32"/>
    </row>
    <row r="1251" spans="21:21" ht="12.5">
      <c r="U1251" s="32"/>
    </row>
    <row r="1252" spans="21:21" ht="12.5">
      <c r="U1252" s="32"/>
    </row>
    <row r="1253" spans="21:21" ht="12.5">
      <c r="U1253" s="32"/>
    </row>
    <row r="1254" spans="21:21" ht="12.5">
      <c r="U1254" s="32"/>
    </row>
    <row r="1255" spans="21:21" ht="12.5">
      <c r="U1255" s="32"/>
    </row>
    <row r="1256" spans="21:21" ht="12.5">
      <c r="U1256" s="32"/>
    </row>
    <row r="1257" spans="21:21" ht="12.5">
      <c r="U1257" s="32"/>
    </row>
    <row r="1258" spans="21:21" ht="12.5">
      <c r="U1258" s="32"/>
    </row>
    <row r="1259" spans="21:21" ht="12.5">
      <c r="U1259" s="32"/>
    </row>
    <row r="1260" spans="21:21" ht="12.5">
      <c r="U1260" s="32"/>
    </row>
    <row r="1261" spans="21:21" ht="12.5">
      <c r="U1261" s="32"/>
    </row>
    <row r="1262" spans="21:21" ht="12.5">
      <c r="U1262" s="32"/>
    </row>
    <row r="1263" spans="21:21" ht="12.5">
      <c r="U1263" s="32"/>
    </row>
    <row r="1264" spans="21:21" ht="12.5">
      <c r="U1264" s="32"/>
    </row>
    <row r="1265" spans="21:21" ht="12.5">
      <c r="U1265" s="32"/>
    </row>
    <row r="1266" spans="21:21" ht="12.5">
      <c r="U1266" s="32"/>
    </row>
    <row r="1267" spans="21:21" ht="12.5">
      <c r="U1267" s="32"/>
    </row>
    <row r="1268" spans="21:21" ht="12.5">
      <c r="U1268" s="32"/>
    </row>
    <row r="1269" spans="21:21" ht="12.5">
      <c r="U1269" s="32"/>
    </row>
    <row r="1270" spans="21:21" ht="12.5">
      <c r="U1270" s="32"/>
    </row>
    <row r="1271" spans="21:21" ht="12.5">
      <c r="U1271" s="32"/>
    </row>
    <row r="1272" spans="21:21" ht="12.5">
      <c r="U1272" s="32"/>
    </row>
    <row r="1273" spans="21:21" ht="12.5">
      <c r="U1273" s="32"/>
    </row>
    <row r="1274" spans="21:21" ht="12.5">
      <c r="U1274" s="32"/>
    </row>
    <row r="1275" spans="21:21" ht="12.5">
      <c r="U1275" s="32"/>
    </row>
    <row r="1276" spans="21:21" ht="12.5">
      <c r="U1276" s="32"/>
    </row>
    <row r="1277" spans="21:21" ht="12.5">
      <c r="U1277" s="32"/>
    </row>
    <row r="1278" spans="21:21" ht="12.5">
      <c r="U1278" s="32"/>
    </row>
    <row r="1279" spans="21:21" ht="12.5">
      <c r="U1279" s="32"/>
    </row>
    <row r="1280" spans="21:21" ht="12.5">
      <c r="U1280" s="32"/>
    </row>
    <row r="1281" spans="21:21" ht="12.5">
      <c r="U1281" s="32"/>
    </row>
    <row r="1282" spans="21:21" ht="12.5">
      <c r="U1282" s="32"/>
    </row>
    <row r="1283" spans="21:21" ht="12.5">
      <c r="U1283" s="32"/>
    </row>
    <row r="1284" spans="21:21" ht="12.5">
      <c r="U1284" s="32"/>
    </row>
    <row r="1285" spans="21:21" ht="12.5">
      <c r="U1285" s="32"/>
    </row>
    <row r="1286" spans="21:21" ht="12.5">
      <c r="U1286" s="32"/>
    </row>
    <row r="1287" spans="21:21" ht="12.5">
      <c r="U1287" s="32"/>
    </row>
    <row r="1288" spans="21:21" ht="12.5">
      <c r="U1288" s="32"/>
    </row>
    <row r="1289" spans="21:21" ht="12.5">
      <c r="U1289" s="32"/>
    </row>
    <row r="1290" spans="21:21" ht="12.5">
      <c r="U1290" s="32"/>
    </row>
    <row r="1291" spans="21:21" ht="12.5">
      <c r="U1291" s="32"/>
    </row>
    <row r="1292" spans="21:21" ht="12.5">
      <c r="U1292" s="32"/>
    </row>
    <row r="1293" spans="21:21" ht="12.5">
      <c r="U1293" s="32"/>
    </row>
    <row r="1294" spans="21:21" ht="12.5">
      <c r="U1294" s="32"/>
    </row>
    <row r="1295" spans="21:21" ht="12.5">
      <c r="U1295" s="32"/>
    </row>
    <row r="1296" spans="21:21" ht="12.5">
      <c r="U1296" s="32"/>
    </row>
    <row r="1297" spans="21:21" ht="12.5">
      <c r="U1297" s="32"/>
    </row>
    <row r="1298" spans="21:21" ht="12.5">
      <c r="U1298" s="32"/>
    </row>
    <row r="1299" spans="21:21" ht="12.5">
      <c r="U1299" s="32"/>
    </row>
    <row r="1300" spans="21:21" ht="12.5">
      <c r="U1300" s="32"/>
    </row>
    <row r="1301" spans="21:21" ht="12.5">
      <c r="U1301" s="32"/>
    </row>
    <row r="1302" spans="21:21" ht="12.5">
      <c r="U1302" s="32"/>
    </row>
    <row r="1303" spans="21:21" ht="12.5">
      <c r="U1303" s="32"/>
    </row>
    <row r="1304" spans="21:21" ht="12.5">
      <c r="U1304" s="32"/>
    </row>
    <row r="1305" spans="21:21" ht="12.5">
      <c r="U1305" s="32"/>
    </row>
    <row r="1306" spans="21:21" ht="12.5">
      <c r="U1306" s="32"/>
    </row>
    <row r="1307" spans="21:21" ht="12.5">
      <c r="U1307" s="32"/>
    </row>
    <row r="1308" spans="21:21" ht="12.5">
      <c r="U1308" s="32"/>
    </row>
    <row r="1309" spans="21:21" ht="12.5">
      <c r="U1309" s="32"/>
    </row>
    <row r="1310" spans="21:21" ht="12.5">
      <c r="U1310" s="32"/>
    </row>
    <row r="1311" spans="21:21" ht="12.5">
      <c r="U1311" s="32"/>
    </row>
    <row r="1312" spans="21:21" ht="12.5">
      <c r="U1312" s="32"/>
    </row>
    <row r="1313" spans="21:21" ht="12.5">
      <c r="U1313" s="32"/>
    </row>
    <row r="1314" spans="21:21" ht="12.5">
      <c r="U1314" s="32"/>
    </row>
    <row r="1315" spans="21:21" ht="12.5">
      <c r="U1315" s="32"/>
    </row>
    <row r="1316" spans="21:21" ht="12.5">
      <c r="U1316" s="32"/>
    </row>
    <row r="1317" spans="21:21" ht="12.5">
      <c r="U1317" s="32"/>
    </row>
    <row r="1318" spans="21:21" ht="12.5">
      <c r="U1318" s="32"/>
    </row>
    <row r="1319" spans="21:21" ht="12.5">
      <c r="U1319" s="32"/>
    </row>
    <row r="1320" spans="21:21" ht="12.5">
      <c r="U1320" s="32"/>
    </row>
    <row r="1321" spans="21:21" ht="12.5">
      <c r="U1321" s="32"/>
    </row>
    <row r="1322" spans="21:21" ht="12.5">
      <c r="U1322" s="32"/>
    </row>
    <row r="1323" spans="21:21" ht="12.5">
      <c r="U1323" s="32"/>
    </row>
    <row r="1324" spans="21:21" ht="12.5">
      <c r="U1324" s="32"/>
    </row>
    <row r="1325" spans="21:21" ht="12.5">
      <c r="U1325" s="32"/>
    </row>
    <row r="1326" spans="21:21" ht="12.5">
      <c r="U1326" s="32"/>
    </row>
    <row r="1327" spans="21:21" ht="12.5">
      <c r="U1327" s="32"/>
    </row>
    <row r="1328" spans="21:21" ht="12.5">
      <c r="U1328" s="32"/>
    </row>
    <row r="1329" spans="21:21" ht="12.5">
      <c r="U1329" s="32"/>
    </row>
    <row r="1330" spans="21:21" ht="12.5">
      <c r="U1330" s="32"/>
    </row>
    <row r="1331" spans="21:21" ht="12.5">
      <c r="U1331" s="32"/>
    </row>
    <row r="1332" spans="21:21" ht="12.5">
      <c r="U1332" s="32"/>
    </row>
    <row r="1333" spans="21:21" ht="12.5">
      <c r="U1333" s="32"/>
    </row>
    <row r="1334" spans="21:21" ht="12.5">
      <c r="U1334" s="32"/>
    </row>
    <row r="1335" spans="21:21" ht="12.5">
      <c r="U1335" s="32"/>
    </row>
    <row r="1336" spans="21:21" ht="12.5">
      <c r="U1336" s="32"/>
    </row>
    <row r="1337" spans="21:21" ht="12.5">
      <c r="U1337" s="32"/>
    </row>
    <row r="1338" spans="21:21" ht="12.5">
      <c r="U1338" s="32"/>
    </row>
    <row r="1339" spans="21:21" ht="12.5">
      <c r="U1339" s="32"/>
    </row>
    <row r="1340" spans="21:21" ht="12.5">
      <c r="U1340" s="32"/>
    </row>
    <row r="1341" spans="21:21" ht="12.5">
      <c r="U1341" s="32"/>
    </row>
    <row r="1342" spans="21:21" ht="12.5">
      <c r="U1342" s="32"/>
    </row>
    <row r="1343" spans="21:21" ht="12.5">
      <c r="U1343" s="32"/>
    </row>
    <row r="1344" spans="21:21" ht="12.5">
      <c r="U1344" s="32"/>
    </row>
    <row r="1345" spans="21:21" ht="12.5">
      <c r="U1345" s="32"/>
    </row>
    <row r="1346" spans="21:21" ht="12.5">
      <c r="U1346" s="32"/>
    </row>
    <row r="1347" spans="21:21" ht="12.5">
      <c r="U1347" s="32"/>
    </row>
    <row r="1348" spans="21:21" ht="12.5">
      <c r="U1348" s="32"/>
    </row>
    <row r="1349" spans="21:21" ht="12.5">
      <c r="U1349" s="32"/>
    </row>
    <row r="1350" spans="21:21" ht="12.5">
      <c r="U1350" s="32"/>
    </row>
    <row r="1351" spans="21:21" ht="12.5">
      <c r="U1351" s="32"/>
    </row>
    <row r="1352" spans="21:21" ht="12.5">
      <c r="U1352" s="32"/>
    </row>
    <row r="1353" spans="21:21" ht="12.5">
      <c r="U1353" s="32"/>
    </row>
    <row r="1354" spans="21:21" ht="12.5">
      <c r="U1354" s="32"/>
    </row>
    <row r="1355" spans="21:21" ht="12.5">
      <c r="U1355" s="32"/>
    </row>
    <row r="1356" spans="21:21" ht="12.5">
      <c r="U1356" s="32"/>
    </row>
    <row r="1357" spans="21:21" ht="12.5">
      <c r="U1357" s="32"/>
    </row>
    <row r="1358" spans="21:21" ht="12.5">
      <c r="U1358" s="32"/>
    </row>
    <row r="1359" spans="21:21" ht="12.5">
      <c r="U1359" s="32"/>
    </row>
    <row r="1360" spans="21:21" ht="12.5">
      <c r="U1360" s="32"/>
    </row>
    <row r="1361" spans="21:21" ht="12.5">
      <c r="U1361" s="32"/>
    </row>
    <row r="1362" spans="21:21" ht="12.5">
      <c r="U1362" s="32"/>
    </row>
    <row r="1363" spans="21:21" ht="12.5">
      <c r="U1363" s="32"/>
    </row>
    <row r="1364" spans="21:21" ht="12.5">
      <c r="U1364" s="32"/>
    </row>
    <row r="1365" spans="21:21" ht="12.5">
      <c r="U1365" s="32"/>
    </row>
    <row r="1366" spans="21:21" ht="12.5">
      <c r="U1366" s="32"/>
    </row>
    <row r="1367" spans="21:21" ht="12.5">
      <c r="U1367" s="32"/>
    </row>
    <row r="1368" spans="21:21" ht="12.5">
      <c r="U1368" s="32"/>
    </row>
    <row r="1369" spans="21:21" ht="12.5">
      <c r="U1369" s="32"/>
    </row>
    <row r="1370" spans="21:21" ht="12.5">
      <c r="U1370" s="32"/>
    </row>
    <row r="1371" spans="21:21" ht="12.5">
      <c r="U1371" s="32"/>
    </row>
    <row r="1372" spans="21:21" ht="12.5">
      <c r="U1372" s="32"/>
    </row>
    <row r="1373" spans="21:21" ht="12.5">
      <c r="U1373" s="32"/>
    </row>
    <row r="1374" spans="21:21" ht="12.5">
      <c r="U1374" s="32"/>
    </row>
    <row r="1375" spans="21:21" ht="12.5">
      <c r="U1375" s="32"/>
    </row>
    <row r="1376" spans="21:21" ht="12.5">
      <c r="U1376" s="32"/>
    </row>
    <row r="1377" spans="21:21" ht="12.5">
      <c r="U1377" s="32"/>
    </row>
    <row r="1378" spans="21:21" ht="12.5">
      <c r="U1378" s="32"/>
    </row>
    <row r="1379" spans="21:21" ht="12.5">
      <c r="U1379" s="32"/>
    </row>
    <row r="1380" spans="21:21" ht="12.5">
      <c r="U1380" s="32"/>
    </row>
    <row r="1381" spans="21:21" ht="12.5">
      <c r="U1381" s="32"/>
    </row>
    <row r="1382" spans="21:21" ht="12.5">
      <c r="U1382" s="32"/>
    </row>
    <row r="1383" spans="21:21" ht="12.5">
      <c r="U1383" s="32"/>
    </row>
    <row r="1384" spans="21:21" ht="12.5">
      <c r="U1384" s="32"/>
    </row>
    <row r="1385" spans="21:21" ht="12.5">
      <c r="U1385" s="32"/>
    </row>
    <row r="1386" spans="21:21" ht="12.5">
      <c r="U1386" s="32"/>
    </row>
    <row r="1387" spans="21:21" ht="12.5">
      <c r="U1387" s="32"/>
    </row>
    <row r="1388" spans="21:21" ht="12.5">
      <c r="U1388" s="32"/>
    </row>
    <row r="1389" spans="21:21" ht="12.5">
      <c r="U1389" s="32"/>
    </row>
    <row r="1390" spans="21:21" ht="12.5">
      <c r="U1390" s="32"/>
    </row>
    <row r="1391" spans="21:21" ht="12.5">
      <c r="U1391" s="32"/>
    </row>
    <row r="1392" spans="21:21" ht="12.5">
      <c r="U1392" s="32"/>
    </row>
    <row r="1393" spans="21:21" ht="12.5">
      <c r="U1393" s="32"/>
    </row>
    <row r="1394" spans="21:21" ht="12.5">
      <c r="U1394" s="32"/>
    </row>
    <row r="1395" spans="21:21" ht="12.5">
      <c r="U1395" s="32"/>
    </row>
    <row r="1396" spans="21:21" ht="12.5">
      <c r="U1396" s="32"/>
    </row>
    <row r="1397" spans="21:21" ht="12.5">
      <c r="U1397" s="32"/>
    </row>
    <row r="1398" spans="21:21" ht="12.5">
      <c r="U1398" s="32"/>
    </row>
    <row r="1399" spans="21:21" ht="12.5">
      <c r="U1399" s="32"/>
    </row>
    <row r="1400" spans="21:21" ht="12.5">
      <c r="U1400" s="32"/>
    </row>
    <row r="1401" spans="21:21" ht="12.5">
      <c r="U1401" s="32"/>
    </row>
    <row r="1402" spans="21:21" ht="12.5">
      <c r="U1402" s="32"/>
    </row>
    <row r="1403" spans="21:21" ht="12.5">
      <c r="U1403" s="32"/>
    </row>
    <row r="1404" spans="21:21" ht="12.5">
      <c r="U1404" s="32"/>
    </row>
    <row r="1405" spans="21:21" ht="12.5">
      <c r="U1405" s="32"/>
    </row>
    <row r="1406" spans="21:21" ht="12.5">
      <c r="U1406" s="32"/>
    </row>
    <row r="1407" spans="21:21" ht="12.5">
      <c r="U1407" s="32"/>
    </row>
    <row r="1408" spans="21:21" ht="12.5">
      <c r="U1408" s="32"/>
    </row>
    <row r="1409" spans="21:21" ht="12.5">
      <c r="U1409" s="32"/>
    </row>
    <row r="1410" spans="21:21" ht="12.5">
      <c r="U1410" s="32"/>
    </row>
    <row r="1411" spans="21:21" ht="12.5">
      <c r="U1411" s="32"/>
    </row>
    <row r="1412" spans="21:21" ht="12.5">
      <c r="U1412" s="32"/>
    </row>
    <row r="1413" spans="21:21" ht="12.5">
      <c r="U1413" s="32"/>
    </row>
    <row r="1414" spans="21:21" ht="12.5">
      <c r="U1414" s="32"/>
    </row>
    <row r="1415" spans="21:21" ht="12.5">
      <c r="U1415" s="32"/>
    </row>
    <row r="1416" spans="21:21" ht="12.5">
      <c r="U1416" s="32"/>
    </row>
    <row r="1417" spans="21:21" ht="12.5">
      <c r="U1417" s="32"/>
    </row>
    <row r="1418" spans="21:21" ht="12.5">
      <c r="U1418" s="32"/>
    </row>
    <row r="1419" spans="21:21" ht="12.5">
      <c r="U1419" s="32"/>
    </row>
    <row r="1420" spans="21:21" ht="12.5">
      <c r="U1420" s="32"/>
    </row>
    <row r="1421" spans="21:21" ht="12.5">
      <c r="U1421" s="32"/>
    </row>
    <row r="1422" spans="21:21" ht="12.5">
      <c r="U1422" s="32"/>
    </row>
    <row r="1423" spans="21:21" ht="12.5">
      <c r="U1423" s="32"/>
    </row>
    <row r="1424" spans="21:21" ht="12.5">
      <c r="U1424" s="32"/>
    </row>
    <row r="1425" spans="21:21" ht="12.5">
      <c r="U1425" s="32"/>
    </row>
    <row r="1426" spans="21:21" ht="12.5">
      <c r="U1426" s="32"/>
    </row>
    <row r="1427" spans="21:21" ht="12.5">
      <c r="U1427" s="32"/>
    </row>
    <row r="1428" spans="21:21" ht="12.5">
      <c r="U1428" s="32"/>
    </row>
    <row r="1429" spans="21:21" ht="12.5">
      <c r="U1429" s="32"/>
    </row>
    <row r="1430" spans="21:21" ht="12.5">
      <c r="U1430" s="32"/>
    </row>
    <row r="1431" spans="21:21" ht="12.5">
      <c r="U1431" s="32"/>
    </row>
    <row r="1432" spans="21:21" ht="12.5">
      <c r="U1432" s="32"/>
    </row>
    <row r="1433" spans="21:21" ht="12.5">
      <c r="U1433" s="32"/>
    </row>
    <row r="1434" spans="21:21" ht="12.5">
      <c r="U1434" s="32"/>
    </row>
    <row r="1435" spans="21:21" ht="12.5">
      <c r="U1435" s="32"/>
    </row>
    <row r="1436" spans="21:21" ht="12.5">
      <c r="U1436" s="32"/>
    </row>
    <row r="1437" spans="21:21" ht="12.5">
      <c r="U1437" s="32"/>
    </row>
    <row r="1438" spans="21:21" ht="12.5">
      <c r="U1438" s="32"/>
    </row>
    <row r="1439" spans="21:21" ht="12.5">
      <c r="U1439" s="32"/>
    </row>
    <row r="1440" spans="21:21" ht="12.5">
      <c r="U1440" s="32"/>
    </row>
    <row r="1441" spans="21:21" ht="12.5">
      <c r="U1441" s="32"/>
    </row>
    <row r="1442" spans="21:21" ht="12.5">
      <c r="U1442" s="32"/>
    </row>
    <row r="1443" spans="21:21" ht="12.5">
      <c r="U1443" s="32"/>
    </row>
    <row r="1444" spans="21:21" ht="12.5">
      <c r="U1444" s="32"/>
    </row>
    <row r="1445" spans="21:21" ht="12.5">
      <c r="U1445" s="32"/>
    </row>
    <row r="1446" spans="21:21" ht="12.5">
      <c r="U1446" s="32"/>
    </row>
    <row r="1447" spans="21:21" ht="12.5">
      <c r="U1447" s="32"/>
    </row>
    <row r="1448" spans="21:21" ht="12.5">
      <c r="U1448" s="32"/>
    </row>
    <row r="1449" spans="21:21" ht="12.5">
      <c r="U1449" s="32"/>
    </row>
    <row r="1450" spans="21:21" ht="12.5">
      <c r="U1450" s="32"/>
    </row>
    <row r="1451" spans="21:21" ht="12.5">
      <c r="U1451" s="32"/>
    </row>
    <row r="1452" spans="21:21" ht="12.5">
      <c r="U1452" s="32"/>
    </row>
    <row r="1453" spans="21:21" ht="12.5">
      <c r="U1453" s="32"/>
    </row>
    <row r="1454" spans="21:21" ht="12.5">
      <c r="U1454" s="32"/>
    </row>
    <row r="1455" spans="21:21" ht="12.5">
      <c r="U1455" s="32"/>
    </row>
    <row r="1456" spans="21:21" ht="12.5">
      <c r="U1456" s="32"/>
    </row>
    <row r="1457" spans="21:21" ht="12.5">
      <c r="U1457" s="32"/>
    </row>
    <row r="1458" spans="21:21" ht="12.5">
      <c r="U1458" s="32"/>
    </row>
    <row r="1459" spans="21:21" ht="12.5">
      <c r="U1459" s="32"/>
    </row>
    <row r="1460" spans="21:21" ht="12.5">
      <c r="U1460" s="32"/>
    </row>
    <row r="1461" spans="21:21" ht="12.5">
      <c r="U1461" s="32"/>
    </row>
    <row r="1462" spans="21:21" ht="12.5">
      <c r="U1462" s="32"/>
    </row>
    <row r="1463" spans="21:21" ht="12.5">
      <c r="U1463" s="32"/>
    </row>
    <row r="1464" spans="21:21" ht="12.5">
      <c r="U1464" s="32"/>
    </row>
    <row r="1465" spans="21:21" ht="12.5">
      <c r="U1465" s="32"/>
    </row>
    <row r="1466" spans="21:21" ht="12.5">
      <c r="U1466" s="32"/>
    </row>
    <row r="1467" spans="21:21" ht="12.5">
      <c r="U1467" s="32"/>
    </row>
    <row r="1468" spans="21:21" ht="12.5">
      <c r="U1468" s="32"/>
    </row>
    <row r="1469" spans="21:21" ht="12.5">
      <c r="U1469" s="32"/>
    </row>
    <row r="1470" spans="21:21" ht="12.5">
      <c r="U1470" s="32"/>
    </row>
    <row r="1471" spans="21:21" ht="12.5">
      <c r="U1471" s="32"/>
    </row>
    <row r="1472" spans="21:21" ht="12.5">
      <c r="U1472" s="32"/>
    </row>
    <row r="1473" spans="21:21" ht="12.5">
      <c r="U1473" s="32"/>
    </row>
    <row r="1474" spans="21:21" ht="12.5">
      <c r="U1474" s="32"/>
    </row>
    <row r="1475" spans="21:21" ht="12.5">
      <c r="U1475" s="32"/>
    </row>
    <row r="1476" spans="21:21" ht="12.5">
      <c r="U1476" s="32"/>
    </row>
    <row r="1477" spans="21:21" ht="12.5">
      <c r="U1477" s="32"/>
    </row>
    <row r="1478" spans="21:21" ht="12.5">
      <c r="U1478" s="32"/>
    </row>
    <row r="1479" spans="21:21" ht="12.5">
      <c r="U1479" s="32"/>
    </row>
    <row r="1480" spans="21:21" ht="12.5">
      <c r="U1480" s="32"/>
    </row>
    <row r="1481" spans="21:21" ht="12.5">
      <c r="U1481" s="32"/>
    </row>
    <row r="1482" spans="21:21" ht="12.5">
      <c r="U1482" s="32"/>
    </row>
    <row r="1483" spans="21:21" ht="12.5">
      <c r="U1483" s="32"/>
    </row>
    <row r="1484" spans="21:21" ht="12.5">
      <c r="U1484" s="32"/>
    </row>
    <row r="1485" spans="21:21" ht="12.5">
      <c r="U1485" s="32"/>
    </row>
    <row r="1486" spans="21:21" ht="12.5">
      <c r="U1486" s="32"/>
    </row>
    <row r="1487" spans="21:21" ht="12.5">
      <c r="U1487" s="32"/>
    </row>
    <row r="1488" spans="21:21" ht="12.5">
      <c r="U1488" s="32"/>
    </row>
    <row r="1489" spans="21:21" ht="12.5">
      <c r="U1489" s="32"/>
    </row>
    <row r="1490" spans="21:21" ht="12.5">
      <c r="U1490" s="32"/>
    </row>
    <row r="1491" spans="21:21" ht="12.5">
      <c r="U1491" s="32"/>
    </row>
    <row r="1492" spans="21:21" ht="12.5">
      <c r="U1492" s="32"/>
    </row>
    <row r="1493" spans="21:21" ht="12.5">
      <c r="U1493" s="32"/>
    </row>
    <row r="1494" spans="21:21" ht="12.5">
      <c r="U1494" s="32"/>
    </row>
    <row r="1495" spans="21:21" ht="12.5">
      <c r="U1495" s="32"/>
    </row>
    <row r="1496" spans="21:21" ht="12.5">
      <c r="U1496" s="32"/>
    </row>
    <row r="1497" spans="21:21" ht="12.5">
      <c r="U1497" s="32"/>
    </row>
    <row r="1498" spans="21:21" ht="12.5">
      <c r="U1498" s="32"/>
    </row>
    <row r="1499" spans="21:21" ht="12.5">
      <c r="U1499" s="32"/>
    </row>
    <row r="1500" spans="21:21" ht="12.5">
      <c r="U1500" s="32"/>
    </row>
    <row r="1501" spans="21:21" ht="12.5">
      <c r="U1501" s="32"/>
    </row>
    <row r="1502" spans="21:21" ht="12.5">
      <c r="U1502" s="32"/>
    </row>
    <row r="1503" spans="21:21" ht="12.5">
      <c r="U1503" s="32"/>
    </row>
    <row r="1504" spans="21:21" ht="12.5">
      <c r="U1504" s="32"/>
    </row>
    <row r="1505" spans="21:21" ht="12.5">
      <c r="U1505" s="32"/>
    </row>
    <row r="1506" spans="21:21" ht="12.5">
      <c r="U1506" s="32"/>
    </row>
    <row r="1507" spans="21:21" ht="12.5">
      <c r="U1507" s="32"/>
    </row>
    <row r="1508" spans="21:21" ht="12.5">
      <c r="U1508" s="32"/>
    </row>
    <row r="1509" spans="21:21" ht="12.5">
      <c r="U1509" s="32"/>
    </row>
    <row r="1510" spans="21:21" ht="12.5">
      <c r="U1510" s="32"/>
    </row>
    <row r="1511" spans="21:21" ht="12.5">
      <c r="U1511" s="32"/>
    </row>
    <row r="1512" spans="21:21" ht="12.5">
      <c r="U1512" s="32"/>
    </row>
    <row r="1513" spans="21:21" ht="12.5">
      <c r="U1513" s="32"/>
    </row>
    <row r="1514" spans="21:21" ht="12.5">
      <c r="U1514" s="32"/>
    </row>
    <row r="1515" spans="21:21" ht="12.5">
      <c r="U1515" s="32"/>
    </row>
    <row r="1516" spans="21:21" ht="12.5">
      <c r="U1516" s="32"/>
    </row>
    <row r="1517" spans="21:21" ht="12.5">
      <c r="U1517" s="32"/>
    </row>
    <row r="1518" spans="21:21" ht="12.5">
      <c r="U1518" s="32"/>
    </row>
    <row r="1519" spans="21:21" ht="12.5">
      <c r="U1519" s="32"/>
    </row>
    <row r="1520" spans="21:21" ht="12.5">
      <c r="U1520" s="32"/>
    </row>
    <row r="1521" spans="21:21" ht="12.5">
      <c r="U1521" s="32"/>
    </row>
    <row r="1522" spans="21:21" ht="12.5">
      <c r="U1522" s="32"/>
    </row>
    <row r="1523" spans="21:21" ht="12.5">
      <c r="U1523" s="32"/>
    </row>
    <row r="1524" spans="21:21" ht="12.5">
      <c r="U1524" s="32"/>
    </row>
    <row r="1525" spans="21:21" ht="12.5">
      <c r="U1525" s="32"/>
    </row>
    <row r="1526" spans="21:21" ht="12.5">
      <c r="U1526" s="32"/>
    </row>
    <row r="1527" spans="21:21" ht="12.5">
      <c r="U1527" s="32"/>
    </row>
    <row r="1528" spans="21:21" ht="12.5">
      <c r="U1528" s="32"/>
    </row>
    <row r="1529" spans="21:21" ht="12.5">
      <c r="U1529" s="32"/>
    </row>
    <row r="1530" spans="21:21" ht="12.5">
      <c r="U1530" s="32"/>
    </row>
    <row r="1531" spans="21:21" ht="12.5">
      <c r="U1531" s="32"/>
    </row>
    <row r="1532" spans="21:21" ht="12.5">
      <c r="U1532" s="32"/>
    </row>
    <row r="1533" spans="21:21" ht="12.5">
      <c r="U1533" s="32"/>
    </row>
    <row r="1534" spans="21:21" ht="12.5">
      <c r="U1534" s="32"/>
    </row>
    <row r="1535" spans="21:21" ht="12.5">
      <c r="U1535" s="32"/>
    </row>
    <row r="1536" spans="21:21" ht="12.5">
      <c r="U1536" s="32"/>
    </row>
    <row r="1537" spans="21:21" ht="12.5">
      <c r="U1537" s="32"/>
    </row>
    <row r="1538" spans="21:21" ht="12.5">
      <c r="U1538" s="32"/>
    </row>
    <row r="1539" spans="21:21" ht="12.5">
      <c r="U1539" s="32"/>
    </row>
    <row r="1540" spans="21:21" ht="12.5">
      <c r="U1540" s="32"/>
    </row>
    <row r="1541" spans="21:21" ht="12.5">
      <c r="U1541" s="32"/>
    </row>
    <row r="1542" spans="21:21" ht="12.5">
      <c r="U1542" s="32"/>
    </row>
    <row r="1543" spans="21:21" ht="12.5">
      <c r="U1543" s="32"/>
    </row>
    <row r="1544" spans="21:21" ht="12.5">
      <c r="U1544" s="32"/>
    </row>
    <row r="1545" spans="21:21" ht="12.5">
      <c r="U1545" s="32"/>
    </row>
    <row r="1546" spans="21:21" ht="12.5">
      <c r="U1546" s="32"/>
    </row>
    <row r="1547" spans="21:21" ht="12.5">
      <c r="U1547" s="32"/>
    </row>
    <row r="1548" spans="21:21" ht="12.5">
      <c r="U1548" s="32"/>
    </row>
    <row r="1549" spans="21:21" ht="12.5">
      <c r="U1549" s="32"/>
    </row>
    <row r="1550" spans="21:21" ht="12.5">
      <c r="U1550" s="32"/>
    </row>
    <row r="1551" spans="21:21" ht="12.5">
      <c r="U1551" s="32"/>
    </row>
    <row r="1552" spans="21:21" ht="12.5">
      <c r="U1552" s="32"/>
    </row>
    <row r="1553" spans="21:21" ht="12.5">
      <c r="U1553" s="32"/>
    </row>
    <row r="1554" spans="21:21" ht="12.5">
      <c r="U1554" s="32"/>
    </row>
    <row r="1555" spans="21:21" ht="12.5">
      <c r="U1555" s="32"/>
    </row>
    <row r="1556" spans="21:21" ht="12.5">
      <c r="U1556" s="32"/>
    </row>
    <row r="1557" spans="21:21" ht="12.5">
      <c r="U1557" s="32"/>
    </row>
    <row r="1558" spans="21:21" ht="12.5">
      <c r="U1558" s="32"/>
    </row>
    <row r="1559" spans="21:21" ht="12.5">
      <c r="U1559" s="32"/>
    </row>
    <row r="1560" spans="21:21" ht="12.5">
      <c r="U1560" s="32"/>
    </row>
    <row r="1561" spans="21:21" ht="12.5">
      <c r="U1561" s="32"/>
    </row>
    <row r="1562" spans="21:21" ht="12.5">
      <c r="U1562" s="32"/>
    </row>
    <row r="1563" spans="21:21" ht="12.5">
      <c r="U1563" s="32"/>
    </row>
    <row r="1564" spans="21:21" ht="12.5">
      <c r="U1564" s="32"/>
    </row>
    <row r="1565" spans="21:21" ht="12.5">
      <c r="U1565" s="32"/>
    </row>
    <row r="1566" spans="21:21" ht="12.5">
      <c r="U1566" s="32"/>
    </row>
    <row r="1567" spans="21:21" ht="12.5">
      <c r="U1567" s="32"/>
    </row>
    <row r="1568" spans="21:21" ht="12.5">
      <c r="U1568" s="32"/>
    </row>
    <row r="1569" spans="21:21" ht="12.5">
      <c r="U1569" s="32"/>
    </row>
    <row r="1570" spans="21:21" ht="12.5">
      <c r="U1570" s="32"/>
    </row>
    <row r="1571" spans="21:21" ht="12.5">
      <c r="U1571" s="32"/>
    </row>
    <row r="1572" spans="21:21" ht="12.5">
      <c r="U1572" s="32"/>
    </row>
    <row r="1573" spans="21:21" ht="12.5">
      <c r="U1573" s="32"/>
    </row>
    <row r="1574" spans="21:21" ht="12.5">
      <c r="U1574" s="32"/>
    </row>
    <row r="1575" spans="21:21" ht="12.5">
      <c r="U1575" s="32"/>
    </row>
    <row r="1576" spans="21:21" ht="12.5">
      <c r="U1576" s="32"/>
    </row>
    <row r="1577" spans="21:21" ht="12.5">
      <c r="U1577" s="32"/>
    </row>
    <row r="1578" spans="21:21" ht="12.5">
      <c r="U1578" s="32"/>
    </row>
    <row r="1579" spans="21:21" ht="12.5">
      <c r="U1579" s="32"/>
    </row>
    <row r="1580" spans="21:21" ht="12.5">
      <c r="U1580" s="32"/>
    </row>
    <row r="1581" spans="21:21" ht="12.5">
      <c r="U1581" s="32"/>
    </row>
    <row r="1582" spans="21:21" ht="12.5">
      <c r="U1582" s="32"/>
    </row>
    <row r="1583" spans="21:21" ht="12.5">
      <c r="U1583" s="32"/>
    </row>
    <row r="1584" spans="21:21" ht="12.5">
      <c r="U1584" s="32"/>
    </row>
    <row r="1585" spans="21:21" ht="12.5">
      <c r="U1585" s="32"/>
    </row>
    <row r="1586" spans="21:21" ht="12.5">
      <c r="U1586" s="32"/>
    </row>
    <row r="1587" spans="21:21" ht="12.5">
      <c r="U1587" s="32"/>
    </row>
    <row r="1588" spans="21:21" ht="12.5">
      <c r="U1588" s="32"/>
    </row>
    <row r="1589" spans="21:21" ht="12.5">
      <c r="U1589" s="32"/>
    </row>
    <row r="1590" spans="21:21" ht="12.5">
      <c r="U1590" s="32"/>
    </row>
    <row r="1591" spans="21:21" ht="12.5">
      <c r="U1591" s="32"/>
    </row>
    <row r="1592" spans="21:21" ht="12.5">
      <c r="U1592" s="32"/>
    </row>
    <row r="1593" spans="21:21" ht="12.5">
      <c r="U1593" s="32"/>
    </row>
    <row r="1594" spans="21:21" ht="12.5">
      <c r="U1594" s="32"/>
    </row>
    <row r="1595" spans="21:21" ht="12.5">
      <c r="U1595" s="32"/>
    </row>
    <row r="1596" spans="21:21" ht="12.5">
      <c r="U1596" s="32"/>
    </row>
    <row r="1597" spans="21:21" ht="12.5">
      <c r="U1597" s="32"/>
    </row>
    <row r="1598" spans="21:21" ht="12.5">
      <c r="U1598" s="32"/>
    </row>
    <row r="1599" spans="21:21" ht="12.5">
      <c r="U1599" s="32"/>
    </row>
    <row r="1600" spans="21:21" ht="12.5">
      <c r="U1600" s="32"/>
    </row>
    <row r="1601" spans="21:21" ht="12.5">
      <c r="U1601" s="32"/>
    </row>
    <row r="1602" spans="21:21" ht="12.5">
      <c r="U1602" s="32"/>
    </row>
    <row r="1603" spans="21:21" ht="12.5">
      <c r="U1603" s="32"/>
    </row>
    <row r="1604" spans="21:21" ht="12.5">
      <c r="U1604" s="32"/>
    </row>
    <row r="1605" spans="21:21" ht="12.5">
      <c r="U1605" s="32"/>
    </row>
    <row r="1606" spans="21:21" ht="12.5">
      <c r="U1606" s="32"/>
    </row>
    <row r="1607" spans="21:21" ht="12.5">
      <c r="U1607" s="32"/>
    </row>
    <row r="1608" spans="21:21" ht="12.5">
      <c r="U1608" s="32"/>
    </row>
    <row r="1609" spans="21:21" ht="12.5">
      <c r="U1609" s="32"/>
    </row>
    <row r="1610" spans="21:21" ht="12.5">
      <c r="U1610" s="32"/>
    </row>
    <row r="1611" spans="21:21" ht="12.5">
      <c r="U1611" s="32"/>
    </row>
    <row r="1612" spans="21:21" ht="12.5">
      <c r="U1612" s="32"/>
    </row>
    <row r="1613" spans="21:21" ht="12.5">
      <c r="U1613" s="32"/>
    </row>
    <row r="1614" spans="21:21" ht="12.5">
      <c r="U1614" s="32"/>
    </row>
    <row r="1615" spans="21:21" ht="12.5">
      <c r="U1615" s="32"/>
    </row>
    <row r="1616" spans="21:21" ht="12.5">
      <c r="U1616" s="32"/>
    </row>
    <row r="1617" spans="21:21" ht="12.5">
      <c r="U1617" s="32"/>
    </row>
    <row r="1618" spans="21:21" ht="12.5">
      <c r="U1618" s="32"/>
    </row>
    <row r="1619" spans="21:21" ht="12.5">
      <c r="U1619" s="32"/>
    </row>
    <row r="1620" spans="21:21" ht="12.5">
      <c r="U1620" s="32"/>
    </row>
    <row r="1621" spans="21:21" ht="12.5">
      <c r="U1621" s="32"/>
    </row>
    <row r="1622" spans="21:21" ht="12.5">
      <c r="U1622" s="32"/>
    </row>
    <row r="1623" spans="21:21" ht="12.5">
      <c r="U1623" s="32"/>
    </row>
    <row r="1624" spans="21:21" ht="12.5">
      <c r="U1624" s="32"/>
    </row>
    <row r="1625" spans="21:21" ht="12.5">
      <c r="U1625" s="32"/>
    </row>
    <row r="1626" spans="21:21" ht="12.5">
      <c r="U1626" s="32"/>
    </row>
    <row r="1627" spans="21:21" ht="12.5">
      <c r="U1627" s="32"/>
    </row>
    <row r="1628" spans="21:21" ht="12.5">
      <c r="U1628" s="32"/>
    </row>
    <row r="1629" spans="21:21" ht="12.5">
      <c r="U1629" s="32"/>
    </row>
    <row r="1630" spans="21:21" ht="12.5">
      <c r="U1630" s="32"/>
    </row>
    <row r="1631" spans="21:21" ht="12.5">
      <c r="U1631" s="32"/>
    </row>
    <row r="1632" spans="21:21" ht="12.5">
      <c r="U1632" s="32"/>
    </row>
    <row r="1633" spans="21:21" ht="12.5">
      <c r="U1633" s="32"/>
    </row>
    <row r="1634" spans="21:21" ht="12.5">
      <c r="U1634" s="32"/>
    </row>
    <row r="1635" spans="21:21" ht="12.5">
      <c r="U1635" s="32"/>
    </row>
    <row r="1636" spans="21:21" ht="12.5">
      <c r="U1636" s="32"/>
    </row>
    <row r="1637" spans="21:21" ht="12.5">
      <c r="U1637" s="32"/>
    </row>
    <row r="1638" spans="21:21" ht="12.5">
      <c r="U1638" s="32"/>
    </row>
    <row r="1639" spans="21:21" ht="12.5">
      <c r="U1639" s="32"/>
    </row>
    <row r="1640" spans="21:21" ht="12.5">
      <c r="U1640" s="32"/>
    </row>
    <row r="1641" spans="21:21" ht="12.5">
      <c r="U1641" s="32"/>
    </row>
    <row r="1642" spans="21:21" ht="12.5">
      <c r="U1642" s="32"/>
    </row>
    <row r="1643" spans="21:21" ht="12.5">
      <c r="U1643" s="32"/>
    </row>
    <row r="1644" spans="21:21" ht="12.5">
      <c r="U1644" s="32"/>
    </row>
    <row r="1645" spans="21:21" ht="12.5">
      <c r="U1645" s="32"/>
    </row>
    <row r="1646" spans="21:21" ht="12.5">
      <c r="U1646" s="32"/>
    </row>
    <row r="1647" spans="21:21" ht="12.5">
      <c r="U1647" s="32"/>
    </row>
    <row r="1648" spans="21:21" ht="12.5">
      <c r="U1648" s="32"/>
    </row>
    <row r="1649" spans="21:21" ht="12.5">
      <c r="U1649" s="32"/>
    </row>
    <row r="1650" spans="21:21" ht="12.5">
      <c r="U1650" s="32"/>
    </row>
    <row r="1651" spans="21:21" ht="12.5">
      <c r="U1651" s="32"/>
    </row>
    <row r="1652" spans="21:21" ht="12.5">
      <c r="U1652" s="32"/>
    </row>
    <row r="1653" spans="21:21" ht="12.5">
      <c r="U1653" s="32"/>
    </row>
    <row r="1654" spans="21:21" ht="12.5">
      <c r="U1654" s="32"/>
    </row>
    <row r="1655" spans="21:21" ht="12.5">
      <c r="U1655" s="32"/>
    </row>
    <row r="1656" spans="21:21" ht="12.5">
      <c r="U1656" s="32"/>
    </row>
    <row r="1657" spans="21:21" ht="12.5">
      <c r="U1657" s="32"/>
    </row>
    <row r="1658" spans="21:21" ht="12.5">
      <c r="U1658" s="32"/>
    </row>
    <row r="1659" spans="21:21" ht="12.5">
      <c r="U1659" s="32"/>
    </row>
    <row r="1660" spans="21:21" ht="12.5">
      <c r="U1660" s="32"/>
    </row>
    <row r="1661" spans="21:21" ht="12.5">
      <c r="U1661" s="32"/>
    </row>
    <row r="1662" spans="21:21" ht="12.5">
      <c r="U1662" s="32"/>
    </row>
    <row r="1663" spans="21:21" ht="12.5">
      <c r="U1663" s="32"/>
    </row>
    <row r="1664" spans="21:21" ht="12.5">
      <c r="U1664" s="32"/>
    </row>
    <row r="1665" spans="21:21" ht="12.5">
      <c r="U1665" s="32"/>
    </row>
    <row r="1666" spans="21:21" ht="12.5">
      <c r="U1666" s="32"/>
    </row>
    <row r="1667" spans="21:21" ht="12.5">
      <c r="U1667" s="32"/>
    </row>
    <row r="1668" spans="21:21" ht="12.5">
      <c r="U1668" s="32"/>
    </row>
    <row r="1669" spans="21:21" ht="12.5">
      <c r="U1669" s="32"/>
    </row>
    <row r="1670" spans="21:21" ht="12.5">
      <c r="U1670" s="32"/>
    </row>
    <row r="1671" spans="21:21" ht="12.5">
      <c r="U1671" s="32"/>
    </row>
    <row r="1672" spans="21:21" ht="12.5">
      <c r="U1672" s="32"/>
    </row>
    <row r="1673" spans="21:21" ht="12.5">
      <c r="U1673" s="32"/>
    </row>
    <row r="1674" spans="21:21" ht="12.5">
      <c r="U1674" s="32"/>
    </row>
    <row r="1675" spans="21:21" ht="12.5">
      <c r="U1675" s="32"/>
    </row>
    <row r="1676" spans="21:21" ht="12.5">
      <c r="U1676" s="32"/>
    </row>
    <row r="1677" spans="21:21" ht="12.5">
      <c r="U1677" s="32"/>
    </row>
    <row r="1678" spans="21:21" ht="12.5">
      <c r="U1678" s="32"/>
    </row>
    <row r="1679" spans="21:21" ht="12.5">
      <c r="U1679" s="32"/>
    </row>
    <row r="1680" spans="21:21" ht="12.5">
      <c r="U1680" s="32"/>
    </row>
    <row r="1681" spans="21:21" ht="12.5">
      <c r="U1681" s="32"/>
    </row>
    <row r="1682" spans="21:21" ht="12.5">
      <c r="U1682" s="32"/>
    </row>
    <row r="1683" spans="21:21" ht="12.5">
      <c r="U1683" s="32"/>
    </row>
    <row r="1684" spans="21:21" ht="12.5">
      <c r="U1684" s="32"/>
    </row>
    <row r="1685" spans="21:21" ht="12.5">
      <c r="U1685" s="32"/>
    </row>
    <row r="1686" spans="21:21" ht="12.5">
      <c r="U1686" s="32"/>
    </row>
    <row r="1687" spans="21:21" ht="12.5">
      <c r="U1687" s="32"/>
    </row>
    <row r="1688" spans="21:21" ht="12.5">
      <c r="U1688" s="32"/>
    </row>
    <row r="1689" spans="21:21" ht="12.5">
      <c r="U1689" s="32"/>
    </row>
    <row r="1690" spans="21:21" ht="12.5">
      <c r="U1690" s="32"/>
    </row>
    <row r="1691" spans="21:21" ht="12.5">
      <c r="U1691" s="32"/>
    </row>
    <row r="1692" spans="21:21" ht="12.5">
      <c r="U1692" s="32"/>
    </row>
    <row r="1693" spans="21:21" ht="12.5">
      <c r="U1693" s="32"/>
    </row>
    <row r="1694" spans="21:21" ht="12.5">
      <c r="U1694" s="32"/>
    </row>
    <row r="1695" spans="21:21" ht="12.5">
      <c r="U1695" s="32"/>
    </row>
    <row r="1696" spans="21:21" ht="12.5">
      <c r="U1696" s="32"/>
    </row>
    <row r="1697" spans="21:21" ht="12.5">
      <c r="U1697" s="32"/>
    </row>
    <row r="1698" spans="21:21" ht="12.5">
      <c r="U1698" s="32"/>
    </row>
    <row r="1699" spans="21:21" ht="12.5">
      <c r="U1699" s="32"/>
    </row>
    <row r="1700" spans="21:21" ht="12.5">
      <c r="U1700" s="32"/>
    </row>
    <row r="1701" spans="21:21" ht="12.5">
      <c r="U1701" s="32"/>
    </row>
    <row r="1702" spans="21:21" ht="12.5">
      <c r="U1702" s="32"/>
    </row>
    <row r="1703" spans="21:21" ht="12.5">
      <c r="U1703" s="32"/>
    </row>
    <row r="1704" spans="21:21" ht="12.5">
      <c r="U1704" s="32"/>
    </row>
    <row r="1705" spans="21:21" ht="12.5">
      <c r="U1705" s="32"/>
    </row>
    <row r="1706" spans="21:21" ht="12.5">
      <c r="U1706" s="32"/>
    </row>
    <row r="1707" spans="21:21" ht="12.5">
      <c r="U1707" s="32"/>
    </row>
    <row r="1708" spans="21:21" ht="12.5">
      <c r="U1708" s="32"/>
    </row>
    <row r="1709" spans="21:21" ht="12.5">
      <c r="U1709" s="32"/>
    </row>
    <row r="1710" spans="21:21" ht="12.5">
      <c r="U1710" s="32"/>
    </row>
    <row r="1711" spans="21:21" ht="12.5">
      <c r="U1711" s="32"/>
    </row>
    <row r="1712" spans="21:21" ht="12.5">
      <c r="U1712" s="32"/>
    </row>
    <row r="1713" spans="21:21" ht="12.5">
      <c r="U1713" s="32"/>
    </row>
    <row r="1714" spans="21:21" ht="12.5">
      <c r="U1714" s="32"/>
    </row>
    <row r="1715" spans="21:21" ht="12.5">
      <c r="U1715" s="32"/>
    </row>
    <row r="1716" spans="21:21" ht="12.5">
      <c r="U1716" s="32"/>
    </row>
    <row r="1717" spans="21:21" ht="12.5">
      <c r="U1717" s="32"/>
    </row>
    <row r="1718" spans="21:21" ht="12.5">
      <c r="U1718" s="32"/>
    </row>
    <row r="1719" spans="21:21" ht="12.5">
      <c r="U1719" s="32"/>
    </row>
    <row r="1720" spans="21:21" ht="12.5">
      <c r="U1720" s="32"/>
    </row>
    <row r="1721" spans="21:21" ht="12.5">
      <c r="U1721" s="32"/>
    </row>
    <row r="1722" spans="21:21" ht="12.5">
      <c r="U1722" s="32"/>
    </row>
    <row r="1723" spans="21:21" ht="12.5">
      <c r="U1723" s="32"/>
    </row>
    <row r="1724" spans="21:21" ht="12.5">
      <c r="U1724" s="32"/>
    </row>
    <row r="1725" spans="21:21" ht="12.5">
      <c r="U1725" s="32"/>
    </row>
    <row r="1726" spans="21:21" ht="12.5">
      <c r="U1726" s="32"/>
    </row>
    <row r="1727" spans="21:21" ht="12.5">
      <c r="U1727" s="32"/>
    </row>
    <row r="1728" spans="21:21" ht="12.5">
      <c r="U1728" s="32"/>
    </row>
    <row r="1729" spans="21:21" ht="12.5">
      <c r="U1729" s="32"/>
    </row>
    <row r="1730" spans="21:21" ht="12.5">
      <c r="U1730" s="32"/>
    </row>
    <row r="1731" spans="21:21" ht="12.5">
      <c r="U1731" s="32"/>
    </row>
    <row r="1732" spans="21:21" ht="12.5">
      <c r="U1732" s="32"/>
    </row>
    <row r="1733" spans="21:21" ht="12.5">
      <c r="U1733" s="32"/>
    </row>
    <row r="1734" spans="21:21" ht="12.5">
      <c r="U1734" s="32"/>
    </row>
    <row r="1735" spans="21:21" ht="12.5">
      <c r="U1735" s="32"/>
    </row>
    <row r="1736" spans="21:21" ht="12.5">
      <c r="U1736" s="32"/>
    </row>
    <row r="1737" spans="21:21" ht="12.5">
      <c r="U1737" s="32"/>
    </row>
    <row r="1738" spans="21:21" ht="12.5">
      <c r="U1738" s="32"/>
    </row>
    <row r="1739" spans="21:21" ht="12.5">
      <c r="U1739" s="32"/>
    </row>
    <row r="1740" spans="21:21" ht="12.5">
      <c r="U1740" s="32"/>
    </row>
    <row r="1741" spans="21:21" ht="12.5">
      <c r="U1741" s="32"/>
    </row>
    <row r="1742" spans="21:21" ht="12.5">
      <c r="U1742" s="32"/>
    </row>
    <row r="1743" spans="21:21" ht="12.5">
      <c r="U1743" s="32"/>
    </row>
    <row r="1744" spans="21:21" ht="12.5">
      <c r="U1744" s="32"/>
    </row>
    <row r="1745" spans="21:21" ht="12.5">
      <c r="U1745" s="32"/>
    </row>
    <row r="1746" spans="21:21" ht="12.5">
      <c r="U1746" s="32"/>
    </row>
    <row r="1747" spans="21:21" ht="12.5">
      <c r="U1747" s="32"/>
    </row>
    <row r="1748" spans="21:21" ht="12.5">
      <c r="U1748" s="32"/>
    </row>
    <row r="1749" spans="21:21" ht="12.5">
      <c r="U1749" s="32"/>
    </row>
    <row r="1750" spans="21:21" ht="12.5">
      <c r="U1750" s="32"/>
    </row>
    <row r="1751" spans="21:21" ht="12.5">
      <c r="U1751" s="32"/>
    </row>
    <row r="1752" spans="21:21" ht="12.5">
      <c r="U1752" s="32"/>
    </row>
    <row r="1753" spans="21:21" ht="12.5">
      <c r="U1753" s="32"/>
    </row>
    <row r="1754" spans="21:21" ht="12.5">
      <c r="U1754" s="32"/>
    </row>
    <row r="1755" spans="21:21" ht="12.5">
      <c r="U1755" s="32"/>
    </row>
    <row r="1756" spans="21:21" ht="12.5">
      <c r="U1756" s="32"/>
    </row>
    <row r="1757" spans="21:21" ht="12.5">
      <c r="U1757" s="32"/>
    </row>
    <row r="1758" spans="21:21" ht="12.5">
      <c r="U1758" s="32"/>
    </row>
    <row r="1759" spans="21:21" ht="12.5">
      <c r="U1759" s="32"/>
    </row>
    <row r="1760" spans="21:21" ht="12.5">
      <c r="U1760" s="32"/>
    </row>
    <row r="1761" spans="21:21" ht="12.5">
      <c r="U1761" s="32"/>
    </row>
    <row r="1762" spans="21:21" ht="12.5">
      <c r="U1762" s="32"/>
    </row>
    <row r="1763" spans="21:21" ht="12.5">
      <c r="U1763" s="32"/>
    </row>
    <row r="1764" spans="21:21" ht="12.5">
      <c r="U1764" s="32"/>
    </row>
    <row r="1765" spans="21:21" ht="12.5">
      <c r="U1765" s="32"/>
    </row>
    <row r="1766" spans="21:21" ht="12.5">
      <c r="U1766" s="32"/>
    </row>
    <row r="1767" spans="21:21" ht="12.5">
      <c r="U1767" s="32"/>
    </row>
    <row r="1768" spans="21:21" ht="12.5">
      <c r="U1768" s="32"/>
    </row>
    <row r="1769" spans="21:21" ht="12.5">
      <c r="U1769" s="32"/>
    </row>
    <row r="1770" spans="21:21" ht="12.5">
      <c r="U1770" s="32"/>
    </row>
    <row r="1771" spans="21:21" ht="12.5">
      <c r="U1771" s="32"/>
    </row>
    <row r="1772" spans="21:21" ht="12.5">
      <c r="U1772" s="32"/>
    </row>
    <row r="1773" spans="21:21" ht="12.5">
      <c r="U1773" s="32"/>
    </row>
    <row r="1774" spans="21:21" ht="12.5">
      <c r="U1774" s="32"/>
    </row>
    <row r="1775" spans="21:21" ht="12.5">
      <c r="U1775" s="32"/>
    </row>
    <row r="1776" spans="21:21" ht="12.5">
      <c r="U1776" s="32"/>
    </row>
    <row r="1777" spans="21:21" ht="12.5">
      <c r="U1777" s="32"/>
    </row>
    <row r="1778" spans="21:21" ht="12.5">
      <c r="U1778" s="32"/>
    </row>
    <row r="1779" spans="21:21" ht="12.5">
      <c r="U1779" s="32"/>
    </row>
    <row r="1780" spans="21:21" ht="12.5">
      <c r="U1780" s="32"/>
    </row>
    <row r="1781" spans="21:21" ht="12.5">
      <c r="U1781" s="32"/>
    </row>
    <row r="1782" spans="21:21" ht="12.5">
      <c r="U1782" s="32"/>
    </row>
    <row r="1783" spans="21:21" ht="12.5">
      <c r="U1783" s="32"/>
    </row>
    <row r="1784" spans="21:21" ht="12.5">
      <c r="U1784" s="32"/>
    </row>
    <row r="1785" spans="21:21" ht="12.5">
      <c r="U1785" s="32"/>
    </row>
    <row r="1786" spans="21:21" ht="12.5">
      <c r="U1786" s="32"/>
    </row>
    <row r="1787" spans="21:21" ht="12.5">
      <c r="U1787" s="32"/>
    </row>
    <row r="1788" spans="21:21" ht="12.5">
      <c r="U1788" s="32"/>
    </row>
    <row r="1789" spans="21:21" ht="12.5">
      <c r="U1789" s="32"/>
    </row>
    <row r="1790" spans="21:21" ht="12.5">
      <c r="U1790" s="32"/>
    </row>
    <row r="1791" spans="21:21" ht="12.5">
      <c r="U1791" s="32"/>
    </row>
    <row r="1792" spans="21:21" ht="12.5">
      <c r="U1792" s="32"/>
    </row>
    <row r="1793" spans="21:21" ht="12.5">
      <c r="U1793" s="32"/>
    </row>
    <row r="1794" spans="21:21" ht="12.5">
      <c r="U1794" s="32"/>
    </row>
    <row r="1795" spans="21:21" ht="12.5">
      <c r="U1795" s="32"/>
    </row>
    <row r="1796" spans="21:21" ht="12.5">
      <c r="U1796" s="32"/>
    </row>
    <row r="1797" spans="21:21" ht="12.5">
      <c r="U1797" s="32"/>
    </row>
    <row r="1798" spans="21:21" ht="12.5">
      <c r="U1798" s="32"/>
    </row>
    <row r="1799" spans="21:21" ht="12.5">
      <c r="U1799" s="32"/>
    </row>
    <row r="1800" spans="21:21" ht="12.5">
      <c r="U1800" s="32"/>
    </row>
    <row r="1801" spans="21:21" ht="12.5">
      <c r="U1801" s="32"/>
    </row>
    <row r="1802" spans="21:21" ht="12.5">
      <c r="U1802" s="32"/>
    </row>
    <row r="1803" spans="21:21" ht="12.5">
      <c r="U1803" s="32"/>
    </row>
    <row r="1804" spans="21:21" ht="12.5">
      <c r="U1804" s="32"/>
    </row>
    <row r="1805" spans="21:21" ht="12.5">
      <c r="U1805" s="32"/>
    </row>
    <row r="1806" spans="21:21" ht="12.5">
      <c r="U1806" s="32"/>
    </row>
    <row r="1807" spans="21:21" ht="12.5">
      <c r="U1807" s="32"/>
    </row>
    <row r="1808" spans="21:21" ht="12.5">
      <c r="U1808" s="32"/>
    </row>
    <row r="1809" spans="21:21" ht="12.5">
      <c r="U1809" s="32"/>
    </row>
    <row r="1810" spans="21:21" ht="12.5">
      <c r="U1810" s="32"/>
    </row>
    <row r="1811" spans="21:21" ht="12.5">
      <c r="U1811" s="32"/>
    </row>
    <row r="1812" spans="21:21" ht="12.5">
      <c r="U1812" s="32"/>
    </row>
    <row r="1813" spans="21:21" ht="12.5">
      <c r="U1813" s="32"/>
    </row>
    <row r="1814" spans="21:21" ht="12.5">
      <c r="U1814" s="32"/>
    </row>
    <row r="1815" spans="21:21" ht="12.5">
      <c r="U1815" s="32"/>
    </row>
    <row r="1816" spans="21:21" ht="12.5">
      <c r="U1816" s="32"/>
    </row>
    <row r="1817" spans="21:21" ht="12.5">
      <c r="U1817" s="32"/>
    </row>
    <row r="1818" spans="21:21" ht="12.5">
      <c r="U1818" s="32"/>
    </row>
    <row r="1819" spans="21:21" ht="12.5">
      <c r="U1819" s="32"/>
    </row>
    <row r="1820" spans="21:21" ht="12.5">
      <c r="U1820" s="32"/>
    </row>
    <row r="1821" spans="21:21" ht="12.5">
      <c r="U1821" s="32"/>
    </row>
    <row r="1822" spans="21:21" ht="12.5">
      <c r="U1822" s="32"/>
    </row>
    <row r="1823" spans="21:21" ht="12.5">
      <c r="U1823" s="32"/>
    </row>
    <row r="1824" spans="21:21" ht="12.5">
      <c r="U1824" s="32"/>
    </row>
    <row r="1825" spans="21:21" ht="12.5">
      <c r="U1825" s="32"/>
    </row>
    <row r="1826" spans="21:21" ht="12.5">
      <c r="U1826" s="32"/>
    </row>
    <row r="1827" spans="21:21" ht="12.5">
      <c r="U1827" s="32"/>
    </row>
    <row r="1828" spans="21:21" ht="12.5">
      <c r="U1828" s="32"/>
    </row>
    <row r="1829" spans="21:21" ht="12.5">
      <c r="U1829" s="32"/>
    </row>
    <row r="1830" spans="21:21" ht="12.5">
      <c r="U1830" s="32"/>
    </row>
    <row r="1831" spans="21:21" ht="12.5">
      <c r="U1831" s="32"/>
    </row>
    <row r="1832" spans="21:21" ht="12.5">
      <c r="U1832" s="32"/>
    </row>
    <row r="1833" spans="21:21" ht="12.5">
      <c r="U1833" s="32"/>
    </row>
    <row r="1834" spans="21:21" ht="12.5">
      <c r="U1834" s="32"/>
    </row>
    <row r="1835" spans="21:21" ht="12.5">
      <c r="U1835" s="32"/>
    </row>
    <row r="1836" spans="21:21" ht="12.5">
      <c r="U1836" s="32"/>
    </row>
    <row r="1837" spans="21:21" ht="12.5">
      <c r="U1837" s="32"/>
    </row>
    <row r="1838" spans="21:21" ht="12.5">
      <c r="U1838" s="32"/>
    </row>
    <row r="1839" spans="21:21" ht="12.5">
      <c r="U1839" s="32"/>
    </row>
    <row r="1840" spans="21:21" ht="12.5">
      <c r="U1840" s="32"/>
    </row>
    <row r="1841" spans="21:21" ht="12.5">
      <c r="U1841" s="32"/>
    </row>
    <row r="1842" spans="21:21" ht="12.5">
      <c r="U1842" s="32"/>
    </row>
    <row r="1843" spans="21:21" ht="12.5">
      <c r="U1843" s="32"/>
    </row>
    <row r="1844" spans="21:21" ht="12.5">
      <c r="U1844" s="32"/>
    </row>
    <row r="1845" spans="21:21" ht="12.5">
      <c r="U1845" s="32"/>
    </row>
    <row r="1846" spans="21:21" ht="12.5">
      <c r="U1846" s="32"/>
    </row>
    <row r="1847" spans="21:21" ht="12.5">
      <c r="U1847" s="32"/>
    </row>
    <row r="1848" spans="21:21" ht="12.5">
      <c r="U1848" s="32"/>
    </row>
    <row r="1849" spans="21:21" ht="12.5">
      <c r="U1849" s="32"/>
    </row>
    <row r="1850" spans="21:21" ht="12.5">
      <c r="U1850" s="32"/>
    </row>
    <row r="1851" spans="21:21" ht="12.5">
      <c r="U1851" s="32"/>
    </row>
    <row r="1852" spans="21:21" ht="12.5">
      <c r="U1852" s="32"/>
    </row>
    <row r="1853" spans="21:21" ht="12.5">
      <c r="U1853" s="32"/>
    </row>
    <row r="1854" spans="21:21" ht="12.5">
      <c r="U1854" s="32"/>
    </row>
    <row r="1855" spans="21:21" ht="12.5">
      <c r="U1855" s="32"/>
    </row>
    <row r="1856" spans="21:21" ht="12.5">
      <c r="U1856" s="32"/>
    </row>
    <row r="1857" spans="21:21" ht="12.5">
      <c r="U1857" s="32"/>
    </row>
    <row r="1858" spans="21:21" ht="12.5">
      <c r="U1858" s="32"/>
    </row>
    <row r="1859" spans="21:21" ht="12.5">
      <c r="U1859" s="32"/>
    </row>
    <row r="1860" spans="21:21" ht="12.5">
      <c r="U1860" s="32"/>
    </row>
    <row r="1861" spans="21:21" ht="12.5">
      <c r="U1861" s="32"/>
    </row>
    <row r="1862" spans="21:21" ht="12.5">
      <c r="U1862" s="32"/>
    </row>
    <row r="1863" spans="21:21" ht="12.5">
      <c r="U1863" s="32"/>
    </row>
    <row r="1864" spans="21:21" ht="12.5">
      <c r="U1864" s="32"/>
    </row>
    <row r="1865" spans="21:21" ht="12.5">
      <c r="U1865" s="32"/>
    </row>
    <row r="1866" spans="21:21" ht="12.5">
      <c r="U1866" s="32"/>
    </row>
    <row r="1867" spans="21:21" ht="12.5">
      <c r="U1867" s="32"/>
    </row>
    <row r="1868" spans="21:21" ht="12.5">
      <c r="U1868" s="32"/>
    </row>
    <row r="1869" spans="21:21" ht="12.5">
      <c r="U1869" s="32"/>
    </row>
    <row r="1870" spans="21:21" ht="12.5">
      <c r="U1870" s="32"/>
    </row>
    <row r="1871" spans="21:21" ht="12.5">
      <c r="U1871" s="32"/>
    </row>
    <row r="1872" spans="21:21" ht="12.5">
      <c r="U1872" s="32"/>
    </row>
    <row r="1873" spans="21:21" ht="12.5">
      <c r="U1873" s="32"/>
    </row>
    <row r="1874" spans="21:21" ht="12.5">
      <c r="U1874" s="32"/>
    </row>
    <row r="1875" spans="21:21" ht="12.5">
      <c r="U1875" s="32"/>
    </row>
    <row r="1876" spans="21:21" ht="12.5">
      <c r="U1876" s="32"/>
    </row>
    <row r="1877" spans="21:21" ht="12.5">
      <c r="U1877" s="32"/>
    </row>
    <row r="1878" spans="21:21" ht="12.5">
      <c r="U1878" s="32"/>
    </row>
    <row r="1879" spans="21:21" ht="12.5">
      <c r="U1879" s="32"/>
    </row>
    <row r="1880" spans="21:21" ht="12.5">
      <c r="U1880" s="32"/>
    </row>
    <row r="1881" spans="21:21" ht="12.5">
      <c r="U1881" s="32"/>
    </row>
    <row r="1882" spans="21:21" ht="12.5">
      <c r="U1882" s="32"/>
    </row>
    <row r="1883" spans="21:21" ht="12.5">
      <c r="U1883" s="32"/>
    </row>
    <row r="1884" spans="21:21" ht="12.5">
      <c r="U1884" s="32"/>
    </row>
    <row r="1885" spans="21:21" ht="12.5">
      <c r="U1885" s="32"/>
    </row>
    <row r="1886" spans="21:21" ht="12.5">
      <c r="U1886" s="32"/>
    </row>
    <row r="1887" spans="21:21" ht="12.5">
      <c r="U1887" s="32"/>
    </row>
    <row r="1888" spans="21:21" ht="12.5">
      <c r="U1888" s="32"/>
    </row>
    <row r="1889" spans="21:21" ht="12.5">
      <c r="U1889" s="32"/>
    </row>
    <row r="1890" spans="21:21" ht="12.5">
      <c r="U1890" s="32"/>
    </row>
    <row r="1891" spans="21:21" ht="12.5">
      <c r="U1891" s="32"/>
    </row>
    <row r="1892" spans="21:21" ht="12.5">
      <c r="U1892" s="32"/>
    </row>
    <row r="1893" spans="21:21" ht="12.5">
      <c r="U1893" s="32"/>
    </row>
    <row r="1894" spans="21:21" ht="12.5">
      <c r="U1894" s="32"/>
    </row>
    <row r="1895" spans="21:21" ht="12.5">
      <c r="U1895" s="32"/>
    </row>
    <row r="1896" spans="21:21" ht="12.5">
      <c r="U1896" s="32"/>
    </row>
    <row r="1897" spans="21:21" ht="12.5">
      <c r="U1897" s="32"/>
    </row>
    <row r="1898" spans="21:21" ht="12.5">
      <c r="U1898" s="32"/>
    </row>
    <row r="1899" spans="21:21" ht="12.5">
      <c r="U1899" s="32"/>
    </row>
    <row r="1900" spans="21:21" ht="12.5">
      <c r="U1900" s="32"/>
    </row>
    <row r="1901" spans="21:21" ht="12.5">
      <c r="U1901" s="32"/>
    </row>
    <row r="1902" spans="21:21" ht="12.5">
      <c r="U1902" s="32"/>
    </row>
    <row r="1903" spans="21:21" ht="12.5">
      <c r="U1903" s="32"/>
    </row>
    <row r="1904" spans="21:21" ht="12.5">
      <c r="U1904" s="32"/>
    </row>
    <row r="1905" spans="21:21" ht="12.5">
      <c r="U1905" s="32"/>
    </row>
    <row r="1906" spans="21:21" ht="12.5">
      <c r="U1906" s="32"/>
    </row>
    <row r="1907" spans="21:21" ht="12.5">
      <c r="U1907" s="32"/>
    </row>
    <row r="1908" spans="21:21" ht="12.5">
      <c r="U1908" s="32"/>
    </row>
    <row r="1909" spans="21:21" ht="12.5">
      <c r="U1909" s="32"/>
    </row>
    <row r="1910" spans="21:21" ht="12.5">
      <c r="U1910" s="32"/>
    </row>
    <row r="1911" spans="21:21" ht="12.5">
      <c r="U1911" s="32"/>
    </row>
    <row r="1912" spans="21:21" ht="12.5">
      <c r="U1912" s="32"/>
    </row>
    <row r="1913" spans="21:21" ht="12.5">
      <c r="U1913" s="32"/>
    </row>
    <row r="1914" spans="21:21" ht="12.5">
      <c r="U1914" s="32"/>
    </row>
    <row r="1915" spans="21:21" ht="12.5">
      <c r="U1915" s="32"/>
    </row>
    <row r="1916" spans="21:21" ht="12.5">
      <c r="U1916" s="32"/>
    </row>
    <row r="1917" spans="21:21" ht="12.5">
      <c r="U1917" s="32"/>
    </row>
    <row r="1918" spans="21:21" ht="12.5">
      <c r="U1918" s="32"/>
    </row>
    <row r="1919" spans="21:21" ht="12.5">
      <c r="U1919" s="32"/>
    </row>
    <row r="1920" spans="21:21" ht="12.5">
      <c r="U1920" s="32"/>
    </row>
    <row r="1921" spans="21:21" ht="12.5">
      <c r="U1921" s="32"/>
    </row>
    <row r="1922" spans="21:21" ht="12.5">
      <c r="U1922" s="32"/>
    </row>
    <row r="1923" spans="21:21" ht="12.5">
      <c r="U1923" s="32"/>
    </row>
    <row r="1924" spans="21:21" ht="12.5">
      <c r="U1924" s="32"/>
    </row>
    <row r="1925" spans="21:21" ht="12.5">
      <c r="U1925" s="32"/>
    </row>
    <row r="1926" spans="21:21" ht="12.5">
      <c r="U1926" s="32"/>
    </row>
    <row r="1927" spans="21:21" ht="12.5">
      <c r="U1927" s="32"/>
    </row>
    <row r="1928" spans="21:21" ht="12.5">
      <c r="U1928" s="32"/>
    </row>
    <row r="1929" spans="21:21" ht="12.5">
      <c r="U1929" s="32"/>
    </row>
    <row r="1930" spans="21:21" ht="12.5">
      <c r="U1930" s="32"/>
    </row>
    <row r="1931" spans="21:21" ht="12.5">
      <c r="U1931" s="32"/>
    </row>
    <row r="1932" spans="21:21" ht="12.5">
      <c r="U1932" s="32"/>
    </row>
    <row r="1933" spans="21:21" ht="12.5">
      <c r="U1933" s="32"/>
    </row>
    <row r="1934" spans="21:21" ht="12.5">
      <c r="U1934" s="32"/>
    </row>
    <row r="1935" spans="21:21" ht="12.5">
      <c r="U1935" s="32"/>
    </row>
    <row r="1936" spans="21:21" ht="12.5">
      <c r="U1936" s="32"/>
    </row>
    <row r="1937" spans="21:21" ht="12.5">
      <c r="U1937" s="32"/>
    </row>
    <row r="1938" spans="21:21" ht="12.5">
      <c r="U1938" s="32"/>
    </row>
    <row r="1939" spans="21:21" ht="12.5">
      <c r="U1939" s="32"/>
    </row>
    <row r="1940" spans="21:21" ht="12.5">
      <c r="U1940" s="32"/>
    </row>
    <row r="1941" spans="21:21" ht="12.5">
      <c r="U1941" s="32"/>
    </row>
    <row r="1942" spans="21:21" ht="12.5">
      <c r="U1942" s="32"/>
    </row>
    <row r="1943" spans="21:21" ht="12.5">
      <c r="U1943" s="32"/>
    </row>
    <row r="1944" spans="21:21" ht="12.5">
      <c r="U1944" s="32"/>
    </row>
    <row r="1945" spans="21:21" ht="12.5">
      <c r="U1945" s="32"/>
    </row>
    <row r="1946" spans="21:21" ht="12.5">
      <c r="U1946" s="32"/>
    </row>
    <row r="1947" spans="21:21" ht="12.5">
      <c r="U1947" s="32"/>
    </row>
    <row r="1948" spans="21:21" ht="12.5">
      <c r="U1948" s="32"/>
    </row>
    <row r="1949" spans="21:21" ht="12.5">
      <c r="U1949" s="32"/>
    </row>
    <row r="1950" spans="21:21" ht="12.5">
      <c r="U1950" s="32"/>
    </row>
    <row r="1951" spans="21:21" ht="12.5">
      <c r="U1951" s="32"/>
    </row>
    <row r="1952" spans="21:21" ht="12.5">
      <c r="U1952" s="32"/>
    </row>
    <row r="1953" spans="21:21" ht="12.5">
      <c r="U1953" s="32"/>
    </row>
    <row r="1954" spans="21:21" ht="12.5">
      <c r="U1954" s="32"/>
    </row>
    <row r="1955" spans="21:21" ht="12.5">
      <c r="U1955" s="32"/>
    </row>
    <row r="1956" spans="21:21" ht="12.5">
      <c r="U1956" s="32"/>
    </row>
    <row r="1957" spans="21:21" ht="12.5">
      <c r="U1957" s="32"/>
    </row>
    <row r="1958" spans="21:21" ht="12.5">
      <c r="U1958" s="32"/>
    </row>
    <row r="1959" spans="21:21" ht="12.5">
      <c r="U1959" s="32"/>
    </row>
    <row r="1960" spans="21:21" ht="12.5">
      <c r="U1960" s="32"/>
    </row>
    <row r="1961" spans="21:21" ht="12.5">
      <c r="U1961" s="32"/>
    </row>
    <row r="1962" spans="21:21" ht="12.5">
      <c r="U1962" s="32"/>
    </row>
    <row r="1963" spans="21:21" ht="12.5">
      <c r="U1963" s="32"/>
    </row>
    <row r="1964" spans="21:21" ht="12.5">
      <c r="U1964" s="32"/>
    </row>
    <row r="1965" spans="21:21" ht="12.5">
      <c r="U1965" s="32"/>
    </row>
    <row r="1966" spans="21:21" ht="12.5">
      <c r="U1966" s="32"/>
    </row>
    <row r="1967" spans="21:21" ht="12.5">
      <c r="U1967" s="32"/>
    </row>
    <row r="1968" spans="21:21" ht="12.5">
      <c r="U1968" s="32"/>
    </row>
    <row r="1969" spans="21:21" ht="12.5">
      <c r="U1969" s="32"/>
    </row>
    <row r="1970" spans="21:21" ht="12.5">
      <c r="U1970" s="32"/>
    </row>
    <row r="1971" spans="21:21" ht="12.5">
      <c r="U1971" s="32"/>
    </row>
    <row r="1972" spans="21:21" ht="12.5">
      <c r="U1972" s="32"/>
    </row>
    <row r="1973" spans="21:21" ht="12.5">
      <c r="U1973" s="32"/>
    </row>
    <row r="1974" spans="21:21" ht="12.5">
      <c r="U1974" s="32"/>
    </row>
    <row r="1975" spans="21:21" ht="12.5">
      <c r="U1975" s="32"/>
    </row>
    <row r="1976" spans="21:21" ht="12.5">
      <c r="U1976" s="32"/>
    </row>
    <row r="1977" spans="21:21" ht="12.5">
      <c r="U1977" s="32"/>
    </row>
    <row r="1978" spans="21:21" ht="12.5">
      <c r="U1978" s="32"/>
    </row>
    <row r="1979" spans="21:21" ht="12.5">
      <c r="U1979" s="32"/>
    </row>
    <row r="1980" spans="21:21" ht="12.5">
      <c r="U1980" s="32"/>
    </row>
    <row r="1981" spans="21:21" ht="12.5">
      <c r="U1981" s="32"/>
    </row>
    <row r="1982" spans="21:21" ht="12.5">
      <c r="U1982" s="32"/>
    </row>
    <row r="1983" spans="21:21" ht="12.5">
      <c r="U1983" s="32"/>
    </row>
    <row r="1984" spans="21:21" ht="12.5">
      <c r="U1984" s="32"/>
    </row>
    <row r="1985" spans="21:21" ht="12.5">
      <c r="U1985" s="32"/>
    </row>
    <row r="1986" spans="21:21" ht="12.5">
      <c r="U1986" s="32"/>
    </row>
    <row r="1987" spans="21:21" ht="12.5">
      <c r="U1987" s="32"/>
    </row>
    <row r="1988" spans="21:21" ht="12.5">
      <c r="U1988" s="32"/>
    </row>
    <row r="1989" spans="21:21" ht="12.5">
      <c r="U1989" s="32"/>
    </row>
    <row r="1990" spans="21:21" ht="12.5">
      <c r="U1990" s="32"/>
    </row>
    <row r="1991" spans="21:21" ht="12.5">
      <c r="U1991" s="32"/>
    </row>
    <row r="1992" spans="21:21" ht="12.5">
      <c r="U1992" s="32"/>
    </row>
    <row r="1993" spans="21:21" ht="12.5">
      <c r="U1993" s="32"/>
    </row>
    <row r="1994" spans="21:21" ht="12.5">
      <c r="U1994" s="32"/>
    </row>
    <row r="1995" spans="21:21" ht="12.5">
      <c r="U1995" s="32"/>
    </row>
    <row r="1996" spans="21:21" ht="12.5">
      <c r="U1996" s="32"/>
    </row>
    <row r="1997" spans="21:21" ht="12.5">
      <c r="U1997" s="32"/>
    </row>
    <row r="1998" spans="21:21" ht="12.5">
      <c r="U1998" s="32"/>
    </row>
    <row r="1999" spans="21:21" ht="12.5">
      <c r="U1999" s="32"/>
    </row>
    <row r="2000" spans="21:21" ht="12.5">
      <c r="U2000" s="32"/>
    </row>
    <row r="2001" spans="21:21" ht="12.5">
      <c r="U2001" s="32"/>
    </row>
    <row r="2002" spans="21:21" ht="12.5">
      <c r="U2002" s="32"/>
    </row>
    <row r="2003" spans="21:21" ht="12.5">
      <c r="U2003" s="32"/>
    </row>
    <row r="2004" spans="21:21" ht="12.5">
      <c r="U2004" s="32"/>
    </row>
    <row r="2005" spans="21:21" ht="12.5">
      <c r="U2005" s="32"/>
    </row>
    <row r="2006" spans="21:21" ht="12.5">
      <c r="U2006" s="32"/>
    </row>
    <row r="2007" spans="21:21" ht="12.5">
      <c r="U2007" s="32"/>
    </row>
    <row r="2008" spans="21:21" ht="12.5">
      <c r="U2008" s="32"/>
    </row>
    <row r="2009" spans="21:21" ht="12.5">
      <c r="U2009" s="32"/>
    </row>
    <row r="2010" spans="21:21" ht="12.5">
      <c r="U2010" s="32"/>
    </row>
    <row r="2011" spans="21:21" ht="12.5">
      <c r="U2011" s="32"/>
    </row>
    <row r="2012" spans="21:21" ht="12.5">
      <c r="U2012" s="32"/>
    </row>
    <row r="2013" spans="21:21" ht="12.5">
      <c r="U2013" s="32"/>
    </row>
    <row r="2014" spans="21:21" ht="12.5">
      <c r="U2014" s="32"/>
    </row>
    <row r="2015" spans="21:21" ht="12.5">
      <c r="U2015" s="32"/>
    </row>
    <row r="2016" spans="21:21" ht="12.5">
      <c r="U2016" s="32"/>
    </row>
    <row r="2017" spans="21:21" ht="12.5">
      <c r="U2017" s="32"/>
    </row>
    <row r="2018" spans="21:21" ht="12.5">
      <c r="U2018" s="32"/>
    </row>
    <row r="2019" spans="21:21" ht="12.5">
      <c r="U2019" s="32"/>
    </row>
    <row r="2020" spans="21:21" ht="12.5">
      <c r="U2020" s="32"/>
    </row>
    <row r="2021" spans="21:21" ht="12.5">
      <c r="U2021" s="32"/>
    </row>
    <row r="2022" spans="21:21" ht="12.5">
      <c r="U2022" s="32"/>
    </row>
    <row r="2023" spans="21:21" ht="12.5">
      <c r="U2023" s="32"/>
    </row>
    <row r="2024" spans="21:21" ht="12.5">
      <c r="U2024" s="32"/>
    </row>
    <row r="2025" spans="21:21" ht="12.5">
      <c r="U2025" s="32"/>
    </row>
    <row r="2026" spans="21:21" ht="12.5">
      <c r="U2026" s="32"/>
    </row>
    <row r="2027" spans="21:21" ht="12.5">
      <c r="U2027" s="32"/>
    </row>
    <row r="2028" spans="21:21" ht="12.5">
      <c r="U2028" s="32"/>
    </row>
    <row r="2029" spans="21:21" ht="12.5">
      <c r="U2029" s="32"/>
    </row>
    <row r="2030" spans="21:21" ht="12.5">
      <c r="U2030" s="32"/>
    </row>
    <row r="2031" spans="21:21" ht="12.5">
      <c r="U2031" s="32"/>
    </row>
    <row r="2032" spans="21:21" ht="12.5">
      <c r="U2032" s="32"/>
    </row>
    <row r="2033" spans="21:21" ht="12.5">
      <c r="U2033" s="32"/>
    </row>
    <row r="2034" spans="21:21" ht="12.5">
      <c r="U2034" s="32"/>
    </row>
    <row r="2035" spans="21:21" ht="12.5">
      <c r="U2035" s="32"/>
    </row>
    <row r="2036" spans="21:21" ht="12.5">
      <c r="U2036" s="32"/>
    </row>
    <row r="2037" spans="21:21" ht="12.5">
      <c r="U2037" s="32"/>
    </row>
    <row r="2038" spans="21:21" ht="12.5">
      <c r="U2038" s="32"/>
    </row>
    <row r="2039" spans="21:21" ht="12.5">
      <c r="U2039" s="32"/>
    </row>
    <row r="2040" spans="21:21" ht="12.5">
      <c r="U2040" s="32"/>
    </row>
    <row r="2041" spans="21:21" ht="12.5">
      <c r="U2041" s="32"/>
    </row>
    <row r="2042" spans="21:21" ht="12.5">
      <c r="U2042" s="32"/>
    </row>
    <row r="2043" spans="21:21" ht="12.5">
      <c r="U2043" s="32"/>
    </row>
    <row r="2044" spans="21:21" ht="12.5">
      <c r="U2044" s="32"/>
    </row>
    <row r="2045" spans="21:21" ht="12.5">
      <c r="U2045" s="32"/>
    </row>
    <row r="2046" spans="21:21" ht="12.5">
      <c r="U2046" s="32"/>
    </row>
    <row r="2047" spans="21:21" ht="12.5">
      <c r="U2047" s="32"/>
    </row>
    <row r="2048" spans="21:21" ht="12.5">
      <c r="U2048" s="32"/>
    </row>
    <row r="2049" spans="21:21" ht="12.5">
      <c r="U2049" s="32"/>
    </row>
    <row r="2050" spans="21:21" ht="12.5">
      <c r="U2050" s="32"/>
    </row>
    <row r="2051" spans="21:21" ht="12.5">
      <c r="U2051" s="32"/>
    </row>
    <row r="2052" spans="21:21" ht="12.5">
      <c r="U2052" s="32"/>
    </row>
    <row r="2053" spans="21:21" ht="12.5">
      <c r="U2053" s="32"/>
    </row>
    <row r="2054" spans="21:21" ht="12.5">
      <c r="U2054" s="32"/>
    </row>
    <row r="2055" spans="21:21" ht="12.5">
      <c r="U2055" s="32"/>
    </row>
    <row r="2056" spans="21:21" ht="12.5">
      <c r="U2056" s="32"/>
    </row>
    <row r="2057" spans="21:21" ht="12.5">
      <c r="U2057" s="32"/>
    </row>
    <row r="2058" spans="21:21" ht="12.5">
      <c r="U2058" s="32"/>
    </row>
    <row r="2059" spans="21:21" ht="12.5">
      <c r="U2059" s="32"/>
    </row>
    <row r="2060" spans="21:21" ht="12.5">
      <c r="U2060" s="32"/>
    </row>
    <row r="2061" spans="21:21" ht="12.5">
      <c r="U2061" s="32"/>
    </row>
    <row r="2062" spans="21:21" ht="12.5">
      <c r="U2062" s="32"/>
    </row>
    <row r="2063" spans="21:21" ht="12.5">
      <c r="U2063" s="32"/>
    </row>
    <row r="2064" spans="21:21" ht="12.5">
      <c r="U2064" s="32"/>
    </row>
    <row r="2065" spans="21:21" ht="12.5">
      <c r="U2065" s="32"/>
    </row>
    <row r="2066" spans="21:21" ht="12.5">
      <c r="U2066" s="32"/>
    </row>
    <row r="2067" spans="21:21" ht="12.5">
      <c r="U2067" s="32"/>
    </row>
    <row r="2068" spans="21:21" ht="12.5">
      <c r="U2068" s="32"/>
    </row>
    <row r="2069" spans="21:21" ht="12.5">
      <c r="U2069" s="32"/>
    </row>
    <row r="2070" spans="21:21" ht="12.5">
      <c r="U2070" s="32"/>
    </row>
    <row r="2071" spans="21:21" ht="12.5">
      <c r="U2071" s="32"/>
    </row>
    <row r="2072" spans="21:21" ht="12.5">
      <c r="U2072" s="32"/>
    </row>
    <row r="2073" spans="21:21" ht="12.5">
      <c r="U2073" s="32"/>
    </row>
    <row r="2074" spans="21:21" ht="12.5">
      <c r="U2074" s="32"/>
    </row>
    <row r="2075" spans="21:21" ht="12.5">
      <c r="U2075" s="32"/>
    </row>
    <row r="2076" spans="21:21" ht="12.5">
      <c r="U2076" s="32"/>
    </row>
    <row r="2077" spans="21:21" ht="12.5">
      <c r="U2077" s="32"/>
    </row>
    <row r="2078" spans="21:21" ht="12.5">
      <c r="U2078" s="32"/>
    </row>
    <row r="2079" spans="21:21" ht="12.5">
      <c r="U2079" s="32"/>
    </row>
    <row r="2080" spans="21:21" ht="12.5">
      <c r="U2080" s="32"/>
    </row>
    <row r="2081" spans="21:21" ht="12.5">
      <c r="U2081" s="32"/>
    </row>
    <row r="2082" spans="21:21" ht="12.5">
      <c r="U2082" s="32"/>
    </row>
    <row r="2083" spans="21:21" ht="12.5">
      <c r="U2083" s="32"/>
    </row>
    <row r="2084" spans="21:21" ht="12.5">
      <c r="U2084" s="32"/>
    </row>
    <row r="2085" spans="21:21" ht="12.5">
      <c r="U2085" s="32"/>
    </row>
    <row r="2086" spans="21:21" ht="12.5">
      <c r="U2086" s="32"/>
    </row>
    <row r="2087" spans="21:21" ht="12.5">
      <c r="U2087" s="32"/>
    </row>
    <row r="2088" spans="21:21" ht="12.5">
      <c r="U2088" s="32"/>
    </row>
    <row r="2089" spans="21:21" ht="12.5">
      <c r="U2089" s="32"/>
    </row>
    <row r="2090" spans="21:21" ht="12.5">
      <c r="U2090" s="32"/>
    </row>
    <row r="2091" spans="21:21" ht="12.5">
      <c r="U2091" s="32"/>
    </row>
    <row r="2092" spans="21:21" ht="12.5">
      <c r="U2092" s="32"/>
    </row>
    <row r="2093" spans="21:21" ht="12.5">
      <c r="U2093" s="32"/>
    </row>
    <row r="2094" spans="21:21" ht="12.5">
      <c r="U2094" s="32"/>
    </row>
    <row r="2095" spans="21:21" ht="12.5">
      <c r="U2095" s="32"/>
    </row>
    <row r="2096" spans="21:21" ht="12.5">
      <c r="U2096" s="32"/>
    </row>
    <row r="2097" spans="21:21" ht="12.5">
      <c r="U2097" s="32"/>
    </row>
    <row r="2098" spans="21:21" ht="12.5">
      <c r="U2098" s="32"/>
    </row>
    <row r="2099" spans="21:21" ht="12.5">
      <c r="U2099" s="32"/>
    </row>
    <row r="2100" spans="21:21" ht="12.5">
      <c r="U2100" s="32"/>
    </row>
    <row r="2101" spans="21:21" ht="12.5">
      <c r="U2101" s="32"/>
    </row>
    <row r="2102" spans="21:21" ht="12.5">
      <c r="U2102" s="32"/>
    </row>
    <row r="2103" spans="21:21" ht="12.5">
      <c r="U2103" s="32"/>
    </row>
    <row r="2104" spans="21:21" ht="12.5">
      <c r="U2104" s="32"/>
    </row>
    <row r="2105" spans="21:21" ht="12.5">
      <c r="U2105" s="32"/>
    </row>
    <row r="2106" spans="21:21" ht="12.5">
      <c r="U2106" s="32"/>
    </row>
    <row r="2107" spans="21:21" ht="12.5">
      <c r="U2107" s="32"/>
    </row>
    <row r="2108" spans="21:21" ht="12.5">
      <c r="U2108" s="32"/>
    </row>
    <row r="2109" spans="21:21" ht="12.5">
      <c r="U2109" s="32"/>
    </row>
    <row r="2110" spans="21:21" ht="12.5">
      <c r="U2110" s="32"/>
    </row>
    <row r="2111" spans="21:21" ht="12.5">
      <c r="U2111" s="32"/>
    </row>
    <row r="2112" spans="21:21" ht="12.5">
      <c r="U2112" s="32"/>
    </row>
    <row r="2113" spans="21:21" ht="12.5">
      <c r="U2113" s="32"/>
    </row>
    <row r="2114" spans="21:21" ht="12.5">
      <c r="U2114" s="32"/>
    </row>
    <row r="2115" spans="21:21" ht="12.5">
      <c r="U2115" s="32"/>
    </row>
    <row r="2116" spans="21:21" ht="12.5">
      <c r="U2116" s="32"/>
    </row>
    <row r="2117" spans="21:21" ht="12.5">
      <c r="U2117" s="32"/>
    </row>
    <row r="2118" spans="21:21" ht="12.5">
      <c r="U2118" s="32"/>
    </row>
    <row r="2119" spans="21:21" ht="12.5">
      <c r="U2119" s="32"/>
    </row>
    <row r="2120" spans="21:21" ht="12.5">
      <c r="U2120" s="32"/>
    </row>
    <row r="2121" spans="21:21" ht="12.5">
      <c r="U2121" s="32"/>
    </row>
    <row r="2122" spans="21:21" ht="12.5">
      <c r="U2122" s="32"/>
    </row>
    <row r="2123" spans="21:21" ht="12.5">
      <c r="U2123" s="32"/>
    </row>
    <row r="2124" spans="21:21" ht="12.5">
      <c r="U2124" s="32"/>
    </row>
    <row r="2125" spans="21:21" ht="12.5">
      <c r="U2125" s="32"/>
    </row>
    <row r="2126" spans="21:21" ht="12.5">
      <c r="U2126" s="32"/>
    </row>
    <row r="2127" spans="21:21" ht="12.5">
      <c r="U2127" s="32"/>
    </row>
    <row r="2128" spans="21:21" ht="12.5">
      <c r="U2128" s="32"/>
    </row>
    <row r="2129" spans="21:21" ht="12.5">
      <c r="U2129" s="32"/>
    </row>
    <row r="2130" spans="21:21" ht="12.5">
      <c r="U2130" s="32"/>
    </row>
    <row r="2131" spans="21:21" ht="12.5">
      <c r="U2131" s="32"/>
    </row>
    <row r="2132" spans="21:21" ht="12.5">
      <c r="U2132" s="32"/>
    </row>
    <row r="2133" spans="21:21" ht="12.5">
      <c r="U2133" s="32"/>
    </row>
    <row r="2134" spans="21:21" ht="12.5">
      <c r="U2134" s="32"/>
    </row>
    <row r="2135" spans="21:21" ht="12.5">
      <c r="U2135" s="32"/>
    </row>
    <row r="2136" spans="21:21" ht="12.5">
      <c r="U2136" s="32"/>
    </row>
    <row r="2137" spans="21:21" ht="12.5">
      <c r="U2137" s="32"/>
    </row>
    <row r="2138" spans="21:21" ht="12.5">
      <c r="U2138" s="32"/>
    </row>
    <row r="2139" spans="21:21" ht="12.5">
      <c r="U2139" s="32"/>
    </row>
    <row r="2140" spans="21:21" ht="12.5">
      <c r="U2140" s="32"/>
    </row>
    <row r="2141" spans="21:21" ht="12.5">
      <c r="U2141" s="32"/>
    </row>
    <row r="2142" spans="21:21" ht="12.5">
      <c r="U2142" s="32"/>
    </row>
    <row r="2143" spans="21:21" ht="12.5">
      <c r="U2143" s="32"/>
    </row>
    <row r="2144" spans="21:21" ht="12.5">
      <c r="U2144" s="32"/>
    </row>
    <row r="2145" spans="21:21" ht="12.5">
      <c r="U2145" s="32"/>
    </row>
    <row r="2146" spans="21:21" ht="12.5">
      <c r="U2146" s="32"/>
    </row>
    <row r="2147" spans="21:21" ht="12.5">
      <c r="U2147" s="32"/>
    </row>
    <row r="2148" spans="21:21" ht="12.5">
      <c r="U2148" s="32"/>
    </row>
    <row r="2149" spans="21:21" ht="12.5">
      <c r="U2149" s="32"/>
    </row>
    <row r="2150" spans="21:21" ht="12.5">
      <c r="U2150" s="32"/>
    </row>
    <row r="2151" spans="21:21" ht="12.5">
      <c r="U2151" s="32"/>
    </row>
    <row r="2152" spans="21:21" ht="12.5">
      <c r="U2152" s="32"/>
    </row>
    <row r="2153" spans="21:21" ht="12.5">
      <c r="U2153" s="32"/>
    </row>
    <row r="2154" spans="21:21" ht="12.5">
      <c r="U2154" s="32"/>
    </row>
    <row r="2155" spans="21:21" ht="12.5">
      <c r="U2155" s="32"/>
    </row>
    <row r="2156" spans="21:21" ht="12.5">
      <c r="U2156" s="32"/>
    </row>
    <row r="2157" spans="21:21" ht="12.5">
      <c r="U2157" s="32"/>
    </row>
    <row r="2158" spans="21:21" ht="12.5">
      <c r="U2158" s="32"/>
    </row>
    <row r="2159" spans="21:21" ht="12.5">
      <c r="U2159" s="32"/>
    </row>
    <row r="2160" spans="21:21" ht="12.5">
      <c r="U2160" s="32"/>
    </row>
    <row r="2161" spans="21:21" ht="12.5">
      <c r="U2161" s="32"/>
    </row>
    <row r="2162" spans="21:21" ht="12.5">
      <c r="U2162" s="32"/>
    </row>
    <row r="2163" spans="21:21" ht="12.5">
      <c r="U2163" s="32"/>
    </row>
    <row r="2164" spans="21:21" ht="12.5">
      <c r="U2164" s="32"/>
    </row>
    <row r="2165" spans="21:21" ht="12.5">
      <c r="U2165" s="32"/>
    </row>
    <row r="2166" spans="21:21" ht="12.5">
      <c r="U2166" s="32"/>
    </row>
    <row r="2167" spans="21:21" ht="12.5">
      <c r="U2167" s="32"/>
    </row>
    <row r="2168" spans="21:21" ht="12.5">
      <c r="U2168" s="32"/>
    </row>
    <row r="2169" spans="21:21" ht="12.5">
      <c r="U2169" s="32"/>
    </row>
    <row r="2170" spans="21:21" ht="12.5">
      <c r="U2170" s="32"/>
    </row>
    <row r="2171" spans="21:21" ht="12.5">
      <c r="U2171" s="32"/>
    </row>
    <row r="2172" spans="21:21" ht="12.5">
      <c r="U2172" s="32"/>
    </row>
    <row r="2173" spans="21:21" ht="12.5">
      <c r="U2173" s="32"/>
    </row>
    <row r="2174" spans="21:21" ht="12.5">
      <c r="U2174" s="32"/>
    </row>
    <row r="2175" spans="21:21" ht="12.5">
      <c r="U2175" s="32"/>
    </row>
    <row r="2176" spans="21:21" ht="12.5">
      <c r="U2176" s="32"/>
    </row>
    <row r="2177" spans="21:21" ht="12.5">
      <c r="U2177" s="32"/>
    </row>
    <row r="2178" spans="21:21" ht="12.5">
      <c r="U2178" s="32"/>
    </row>
    <row r="2179" spans="21:21" ht="12.5">
      <c r="U2179" s="32"/>
    </row>
    <row r="2180" spans="21:21" ht="12.5">
      <c r="U2180" s="32"/>
    </row>
    <row r="2181" spans="21:21" ht="12.5">
      <c r="U2181" s="32"/>
    </row>
    <row r="2182" spans="21:21" ht="12.5">
      <c r="U2182" s="32"/>
    </row>
    <row r="2183" spans="21:21" ht="12.5">
      <c r="U2183" s="32"/>
    </row>
    <row r="2184" spans="21:21" ht="12.5">
      <c r="U2184" s="32"/>
    </row>
    <row r="2185" spans="21:21" ht="12.5">
      <c r="U2185" s="32"/>
    </row>
    <row r="2186" spans="21:21" ht="12.5">
      <c r="U2186" s="32"/>
    </row>
    <row r="2187" spans="21:21" ht="12.5">
      <c r="U2187" s="32"/>
    </row>
    <row r="2188" spans="21:21" ht="12.5">
      <c r="U2188" s="32"/>
    </row>
    <row r="2189" spans="21:21" ht="12.5">
      <c r="U2189" s="32"/>
    </row>
    <row r="2190" spans="21:21" ht="12.5">
      <c r="U2190" s="32"/>
    </row>
    <row r="2191" spans="21:21" ht="12.5">
      <c r="U2191" s="32"/>
    </row>
    <row r="2192" spans="21:21" ht="12.5">
      <c r="U2192" s="32"/>
    </row>
    <row r="2193" spans="21:21" ht="12.5">
      <c r="U2193" s="32"/>
    </row>
    <row r="2194" spans="21:21" ht="12.5">
      <c r="U2194" s="32"/>
    </row>
    <row r="2195" spans="21:21" ht="12.5">
      <c r="U2195" s="32"/>
    </row>
    <row r="2196" spans="21:21" ht="12.5">
      <c r="U2196" s="32"/>
    </row>
    <row r="2197" spans="21:21" ht="12.5">
      <c r="U2197" s="32"/>
    </row>
    <row r="2198" spans="21:21" ht="12.5">
      <c r="U2198" s="32"/>
    </row>
    <row r="2199" spans="21:21" ht="12.5">
      <c r="U2199" s="32"/>
    </row>
    <row r="2200" spans="21:21" ht="12.5">
      <c r="U2200" s="32"/>
    </row>
    <row r="2201" spans="21:21" ht="12.5">
      <c r="U2201" s="32"/>
    </row>
    <row r="2202" spans="21:21" ht="12.5">
      <c r="U2202" s="32"/>
    </row>
    <row r="2203" spans="21:21" ht="12.5">
      <c r="U2203" s="32"/>
    </row>
    <row r="2204" spans="21:21" ht="12.5">
      <c r="U2204" s="32"/>
    </row>
    <row r="2205" spans="21:21" ht="12.5">
      <c r="U2205" s="32"/>
    </row>
    <row r="2206" spans="21:21" ht="12.5">
      <c r="U2206" s="32"/>
    </row>
    <row r="2207" spans="21:21" ht="12.5">
      <c r="U2207" s="32"/>
    </row>
    <row r="2208" spans="21:21" ht="12.5">
      <c r="U2208" s="32"/>
    </row>
    <row r="2209" spans="21:21" ht="12.5">
      <c r="U2209" s="32"/>
    </row>
    <row r="2210" spans="21:21" ht="12.5">
      <c r="U2210" s="32"/>
    </row>
    <row r="2211" spans="21:21" ht="12.5">
      <c r="U2211" s="32"/>
    </row>
    <row r="2212" spans="21:21" ht="12.5">
      <c r="U2212" s="32"/>
    </row>
    <row r="2213" spans="21:21" ht="12.5">
      <c r="U2213" s="32"/>
    </row>
    <row r="2214" spans="21:21" ht="12.5">
      <c r="U2214" s="32"/>
    </row>
    <row r="2215" spans="21:21" ht="12.5">
      <c r="U2215" s="32"/>
    </row>
    <row r="2216" spans="21:21" ht="12.5">
      <c r="U2216" s="32"/>
    </row>
    <row r="2217" spans="21:21" ht="12.5">
      <c r="U2217" s="32"/>
    </row>
    <row r="2218" spans="21:21" ht="12.5">
      <c r="U2218" s="32"/>
    </row>
    <row r="2219" spans="21:21" ht="12.5">
      <c r="U2219" s="32"/>
    </row>
    <row r="2220" spans="21:21" ht="12.5">
      <c r="U2220" s="32"/>
    </row>
    <row r="2221" spans="21:21" ht="12.5">
      <c r="U2221" s="32"/>
    </row>
    <row r="2222" spans="21:21" ht="12.5">
      <c r="U2222" s="32"/>
    </row>
    <row r="2223" spans="21:21" ht="12.5">
      <c r="U2223" s="32"/>
    </row>
    <row r="2224" spans="21:21" ht="12.5">
      <c r="U2224" s="32"/>
    </row>
    <row r="2225" spans="21:21" ht="12.5">
      <c r="U2225" s="32"/>
    </row>
    <row r="2226" spans="21:21" ht="12.5">
      <c r="U2226" s="32"/>
    </row>
    <row r="2227" spans="21:21" ht="12.5">
      <c r="U2227" s="32"/>
    </row>
    <row r="2228" spans="21:21" ht="12.5">
      <c r="U2228" s="32"/>
    </row>
    <row r="2229" spans="21:21" ht="12.5">
      <c r="U2229" s="32"/>
    </row>
    <row r="2230" spans="21:21" ht="12.5">
      <c r="U2230" s="32"/>
    </row>
    <row r="2231" spans="21:21" ht="12.5">
      <c r="U2231" s="32"/>
    </row>
    <row r="2232" spans="21:21" ht="12.5">
      <c r="U2232" s="32"/>
    </row>
    <row r="2233" spans="21:21" ht="12.5">
      <c r="U2233" s="32"/>
    </row>
    <row r="2234" spans="21:21" ht="12.5">
      <c r="U2234" s="32"/>
    </row>
    <row r="2235" spans="21:21" ht="12.5">
      <c r="U2235" s="32"/>
    </row>
    <row r="2236" spans="21:21" ht="12.5">
      <c r="U2236" s="32"/>
    </row>
    <row r="2237" spans="21:21" ht="12.5">
      <c r="U2237" s="32"/>
    </row>
    <row r="2238" spans="21:21" ht="12.5">
      <c r="U2238" s="32"/>
    </row>
    <row r="2239" spans="21:21" ht="12.5">
      <c r="U2239" s="32"/>
    </row>
    <row r="2240" spans="21:21" ht="12.5">
      <c r="U2240" s="32"/>
    </row>
    <row r="2241" spans="21:21" ht="12.5">
      <c r="U2241" s="32"/>
    </row>
    <row r="2242" spans="21:21" ht="12.5">
      <c r="U2242" s="32"/>
    </row>
    <row r="2243" spans="21:21" ht="12.5">
      <c r="U2243" s="32"/>
    </row>
    <row r="2244" spans="21:21" ht="12.5">
      <c r="U2244" s="32"/>
    </row>
    <row r="2245" spans="21:21" ht="12.5">
      <c r="U2245" s="32"/>
    </row>
    <row r="2246" spans="21:21" ht="12.5">
      <c r="U2246" s="32"/>
    </row>
    <row r="2247" spans="21:21" ht="12.5">
      <c r="U2247" s="32"/>
    </row>
    <row r="2248" spans="21:21" ht="12.5">
      <c r="U2248" s="32"/>
    </row>
    <row r="2249" spans="21:21" ht="12.5">
      <c r="U2249" s="32"/>
    </row>
    <row r="2250" spans="21:21" ht="12.5">
      <c r="U2250" s="32"/>
    </row>
    <row r="2251" spans="21:21" ht="12.5">
      <c r="U2251" s="32"/>
    </row>
    <row r="2252" spans="21:21" ht="12.5">
      <c r="U2252" s="32"/>
    </row>
    <row r="2253" spans="21:21" ht="12.5">
      <c r="U2253" s="32"/>
    </row>
    <row r="2254" spans="21:21" ht="12.5">
      <c r="U2254" s="32"/>
    </row>
    <row r="2255" spans="21:21" ht="12.5">
      <c r="U2255" s="32"/>
    </row>
    <row r="2256" spans="21:21" ht="12.5">
      <c r="U2256" s="32"/>
    </row>
    <row r="2257" spans="21:21" ht="12.5">
      <c r="U2257" s="32"/>
    </row>
    <row r="2258" spans="21:21" ht="12.5">
      <c r="U2258" s="32"/>
    </row>
    <row r="2259" spans="21:21" ht="12.5">
      <c r="U2259" s="32"/>
    </row>
    <row r="2260" spans="21:21" ht="12.5">
      <c r="U2260" s="32"/>
    </row>
    <row r="2261" spans="21:21" ht="12.5">
      <c r="U2261" s="32"/>
    </row>
    <row r="2262" spans="21:21" ht="12.5">
      <c r="U2262" s="32"/>
    </row>
    <row r="2263" spans="21:21" ht="12.5">
      <c r="U2263" s="32"/>
    </row>
    <row r="2264" spans="21:21" ht="12.5">
      <c r="U2264" s="32"/>
    </row>
    <row r="2265" spans="21:21" ht="12.5">
      <c r="U2265" s="32"/>
    </row>
    <row r="2266" spans="21:21" ht="12.5">
      <c r="U2266" s="32"/>
    </row>
    <row r="2267" spans="21:21" ht="12.5">
      <c r="U2267" s="32"/>
    </row>
    <row r="2268" spans="21:21" ht="12.5">
      <c r="U2268" s="32"/>
    </row>
    <row r="2269" spans="21:21" ht="12.5">
      <c r="U2269" s="32"/>
    </row>
    <row r="2270" spans="21:21" ht="12.5">
      <c r="U2270" s="32"/>
    </row>
    <row r="2271" spans="21:21" ht="12.5">
      <c r="U2271" s="32"/>
    </row>
    <row r="2272" spans="21:21" ht="12.5">
      <c r="U2272" s="32"/>
    </row>
    <row r="2273" spans="21:21" ht="12.5">
      <c r="U2273" s="32"/>
    </row>
    <row r="2274" spans="21:21" ht="12.5">
      <c r="U2274" s="32"/>
    </row>
    <row r="2275" spans="21:21" ht="12.5">
      <c r="U2275" s="32"/>
    </row>
    <row r="2276" spans="21:21" ht="12.5">
      <c r="U2276" s="32"/>
    </row>
    <row r="2277" spans="21:21" ht="12.5">
      <c r="U2277" s="32"/>
    </row>
    <row r="2278" spans="21:21" ht="12.5">
      <c r="U2278" s="32"/>
    </row>
    <row r="2279" spans="21:21" ht="12.5">
      <c r="U2279" s="32"/>
    </row>
    <row r="2280" spans="21:21" ht="12.5">
      <c r="U2280" s="32"/>
    </row>
    <row r="2281" spans="21:21" ht="12.5">
      <c r="U2281" s="32"/>
    </row>
    <row r="2282" spans="21:21" ht="12.5">
      <c r="U2282" s="32"/>
    </row>
    <row r="2283" spans="21:21" ht="12.5">
      <c r="U2283" s="32"/>
    </row>
    <row r="2284" spans="21:21" ht="12.5">
      <c r="U2284" s="32"/>
    </row>
    <row r="2285" spans="21:21" ht="12.5">
      <c r="U2285" s="32"/>
    </row>
    <row r="2286" spans="21:21" ht="12.5">
      <c r="U2286" s="32"/>
    </row>
    <row r="2287" spans="21:21" ht="12.5">
      <c r="U2287" s="32"/>
    </row>
    <row r="2288" spans="21:21" ht="12.5">
      <c r="U2288" s="32"/>
    </row>
    <row r="2289" spans="21:21" ht="12.5">
      <c r="U2289" s="32"/>
    </row>
    <row r="2290" spans="21:21" ht="12.5">
      <c r="U2290" s="32"/>
    </row>
    <row r="2291" spans="21:21" ht="12.5">
      <c r="U2291" s="32"/>
    </row>
    <row r="2292" spans="21:21" ht="12.5">
      <c r="U2292" s="32"/>
    </row>
    <row r="2293" spans="21:21" ht="12.5">
      <c r="U2293" s="32"/>
    </row>
    <row r="2294" spans="21:21" ht="12.5">
      <c r="U2294" s="32"/>
    </row>
    <row r="2295" spans="21:21" ht="12.5">
      <c r="U2295" s="32"/>
    </row>
    <row r="2296" spans="21:21" ht="12.5">
      <c r="U2296" s="32"/>
    </row>
    <row r="2297" spans="21:21" ht="12.5">
      <c r="U2297" s="32"/>
    </row>
    <row r="2298" spans="21:21" ht="12.5">
      <c r="U2298" s="32"/>
    </row>
    <row r="2299" spans="21:21" ht="12.5">
      <c r="U2299" s="32"/>
    </row>
    <row r="2300" spans="21:21" ht="12.5">
      <c r="U2300" s="32"/>
    </row>
    <row r="2301" spans="21:21" ht="12.5">
      <c r="U2301" s="32"/>
    </row>
    <row r="2302" spans="21:21" ht="12.5">
      <c r="U2302" s="32"/>
    </row>
    <row r="2303" spans="21:21" ht="12.5">
      <c r="U2303" s="32"/>
    </row>
    <row r="2304" spans="21:21" ht="12.5">
      <c r="U2304" s="32"/>
    </row>
    <row r="2305" spans="21:21" ht="12.5">
      <c r="U2305" s="32"/>
    </row>
    <row r="2306" spans="21:21" ht="12.5">
      <c r="U2306" s="32"/>
    </row>
    <row r="2307" spans="21:21" ht="12.5">
      <c r="U2307" s="32"/>
    </row>
    <row r="2308" spans="21:21" ht="12.5">
      <c r="U2308" s="32"/>
    </row>
    <row r="2309" spans="21:21" ht="12.5">
      <c r="U2309" s="32"/>
    </row>
    <row r="2310" spans="21:21" ht="12.5">
      <c r="U2310" s="32"/>
    </row>
    <row r="2311" spans="21:21" ht="12.5">
      <c r="U2311" s="32"/>
    </row>
    <row r="2312" spans="21:21" ht="12.5">
      <c r="U2312" s="32"/>
    </row>
    <row r="2313" spans="21:21" ht="12.5">
      <c r="U2313" s="32"/>
    </row>
    <row r="2314" spans="21:21" ht="12.5">
      <c r="U2314" s="32"/>
    </row>
    <row r="2315" spans="21:21" ht="12.5">
      <c r="U2315" s="32"/>
    </row>
    <row r="2316" spans="21:21" ht="12.5">
      <c r="U2316" s="32"/>
    </row>
    <row r="2317" spans="21:21" ht="12.5">
      <c r="U2317" s="32"/>
    </row>
    <row r="2318" spans="21:21" ht="12.5">
      <c r="U2318" s="32"/>
    </row>
    <row r="2319" spans="21:21" ht="12.5">
      <c r="U2319" s="32"/>
    </row>
    <row r="2320" spans="21:21" ht="12.5">
      <c r="U2320" s="32"/>
    </row>
    <row r="2321" spans="21:21" ht="12.5">
      <c r="U2321" s="32"/>
    </row>
    <row r="2322" spans="21:21" ht="12.5">
      <c r="U2322" s="32"/>
    </row>
    <row r="2323" spans="21:21" ht="12.5">
      <c r="U2323" s="32"/>
    </row>
    <row r="2324" spans="21:21" ht="12.5">
      <c r="U2324" s="32"/>
    </row>
    <row r="2325" spans="21:21" ht="12.5">
      <c r="U2325" s="32"/>
    </row>
    <row r="2326" spans="21:21" ht="12.5">
      <c r="U2326" s="32"/>
    </row>
    <row r="2327" spans="21:21" ht="12.5">
      <c r="U2327" s="32"/>
    </row>
    <row r="2328" spans="21:21" ht="12.5">
      <c r="U2328" s="32"/>
    </row>
    <row r="2329" spans="21:21" ht="12.5">
      <c r="U2329" s="32"/>
    </row>
    <row r="2330" spans="21:21" ht="12.5">
      <c r="U2330" s="32"/>
    </row>
    <row r="2331" spans="21:21" ht="12.5">
      <c r="U2331" s="32"/>
    </row>
    <row r="2332" spans="21:21" ht="12.5">
      <c r="U2332" s="32"/>
    </row>
    <row r="2333" spans="21:21" ht="12.5">
      <c r="U2333" s="32"/>
    </row>
    <row r="2334" spans="21:21" ht="12.5">
      <c r="U2334" s="32"/>
    </row>
    <row r="2335" spans="21:21" ht="12.5">
      <c r="U2335" s="32"/>
    </row>
    <row r="2336" spans="21:21" ht="12.5">
      <c r="U2336" s="32"/>
    </row>
    <row r="2337" spans="21:21" ht="12.5">
      <c r="U2337" s="32"/>
    </row>
    <row r="2338" spans="21:21" ht="12.5">
      <c r="U2338" s="32"/>
    </row>
    <row r="2339" spans="21:21" ht="12.5">
      <c r="U2339" s="32"/>
    </row>
    <row r="2340" spans="21:21" ht="12.5">
      <c r="U2340" s="32"/>
    </row>
    <row r="2341" spans="21:21" ht="12.5">
      <c r="U2341" s="32"/>
    </row>
    <row r="2342" spans="21:21" ht="12.5">
      <c r="U2342" s="32"/>
    </row>
    <row r="2343" spans="21:21" ht="12.5">
      <c r="U2343" s="32"/>
    </row>
    <row r="2344" spans="21:21" ht="12.5">
      <c r="U2344" s="32"/>
    </row>
    <row r="2345" spans="21:21" ht="12.5">
      <c r="U2345" s="32"/>
    </row>
    <row r="2346" spans="21:21" ht="12.5">
      <c r="U2346" s="32"/>
    </row>
    <row r="2347" spans="21:21" ht="12.5">
      <c r="U2347" s="32"/>
    </row>
    <row r="2348" spans="21:21" ht="12.5">
      <c r="U2348" s="32"/>
    </row>
    <row r="2349" spans="21:21" ht="12.5">
      <c r="U2349" s="32"/>
    </row>
    <row r="2350" spans="21:21" ht="12.5">
      <c r="U2350" s="32"/>
    </row>
    <row r="2351" spans="21:21" ht="12.5">
      <c r="U2351" s="32"/>
    </row>
    <row r="2352" spans="21:21" ht="12.5">
      <c r="U2352" s="32"/>
    </row>
    <row r="2353" spans="21:21" ht="12.5">
      <c r="U2353" s="32"/>
    </row>
    <row r="2354" spans="21:21" ht="12.5">
      <c r="U2354" s="32"/>
    </row>
    <row r="2355" spans="21:21" ht="12.5">
      <c r="U2355" s="32"/>
    </row>
    <row r="2356" spans="21:21" ht="12.5">
      <c r="U2356" s="32"/>
    </row>
    <row r="2357" spans="21:21" ht="12.5">
      <c r="U2357" s="32"/>
    </row>
    <row r="2358" spans="21:21" ht="12.5">
      <c r="U2358" s="32"/>
    </row>
    <row r="2359" spans="21:21" ht="12.5">
      <c r="U2359" s="32"/>
    </row>
    <row r="2360" spans="21:21" ht="12.5">
      <c r="U2360" s="32"/>
    </row>
    <row r="2361" spans="21:21" ht="12.5">
      <c r="U2361" s="32"/>
    </row>
    <row r="2362" spans="21:21" ht="12.5">
      <c r="U2362" s="32"/>
    </row>
    <row r="2363" spans="21:21" ht="12.5">
      <c r="U2363" s="32"/>
    </row>
    <row r="2364" spans="21:21" ht="12.5">
      <c r="U2364" s="32"/>
    </row>
    <row r="2365" spans="21:21" ht="12.5">
      <c r="U2365" s="32"/>
    </row>
    <row r="2366" spans="21:21" ht="12.5">
      <c r="U2366" s="32"/>
    </row>
    <row r="2367" spans="21:21" ht="12.5">
      <c r="U2367" s="32"/>
    </row>
    <row r="2368" spans="21:21" ht="12.5">
      <c r="U2368" s="32"/>
    </row>
    <row r="2369" spans="21:21" ht="12.5">
      <c r="U2369" s="32"/>
    </row>
    <row r="2370" spans="21:21" ht="12.5">
      <c r="U2370" s="32"/>
    </row>
    <row r="2371" spans="21:21" ht="12.5">
      <c r="U2371" s="32"/>
    </row>
    <row r="2372" spans="21:21" ht="12.5">
      <c r="U2372" s="32"/>
    </row>
    <row r="2373" spans="21:21" ht="12.5">
      <c r="U2373" s="32"/>
    </row>
    <row r="2374" spans="21:21" ht="12.5">
      <c r="U2374" s="32"/>
    </row>
    <row r="2375" spans="21:21" ht="12.5">
      <c r="U2375" s="32"/>
    </row>
    <row r="2376" spans="21:21" ht="12.5">
      <c r="U2376" s="32"/>
    </row>
    <row r="2377" spans="21:21" ht="12.5">
      <c r="U2377" s="32"/>
    </row>
    <row r="2378" spans="21:21" ht="12.5">
      <c r="U2378" s="32"/>
    </row>
    <row r="2379" spans="21:21" ht="12.5">
      <c r="U2379" s="32"/>
    </row>
    <row r="2380" spans="21:21" ht="12.5">
      <c r="U2380" s="32"/>
    </row>
    <row r="2381" spans="21:21" ht="12.5">
      <c r="U2381" s="32"/>
    </row>
    <row r="2382" spans="21:21" ht="12.5">
      <c r="U2382" s="32"/>
    </row>
    <row r="2383" spans="21:21" ht="12.5">
      <c r="U2383" s="32"/>
    </row>
    <row r="2384" spans="21:21" ht="12.5">
      <c r="U2384" s="32"/>
    </row>
    <row r="2385" spans="21:21" ht="12.5">
      <c r="U2385" s="32"/>
    </row>
    <row r="2386" spans="21:21" ht="12.5">
      <c r="U2386" s="32"/>
    </row>
    <row r="2387" spans="21:21" ht="12.5">
      <c r="U2387" s="32"/>
    </row>
    <row r="2388" spans="21:21" ht="12.5">
      <c r="U2388" s="32"/>
    </row>
    <row r="2389" spans="21:21" ht="12.5">
      <c r="U2389" s="32"/>
    </row>
    <row r="2390" spans="21:21" ht="12.5">
      <c r="U2390" s="32"/>
    </row>
    <row r="2391" spans="21:21" ht="12.5">
      <c r="U2391" s="32"/>
    </row>
    <row r="2392" spans="21:21" ht="12.5">
      <c r="U2392" s="32"/>
    </row>
    <row r="2393" spans="21:21" ht="12.5">
      <c r="U2393" s="32"/>
    </row>
    <row r="2394" spans="21:21" ht="12.5">
      <c r="U2394" s="32"/>
    </row>
    <row r="2395" spans="21:21" ht="12.5">
      <c r="U2395" s="32"/>
    </row>
    <row r="2396" spans="21:21" ht="12.5">
      <c r="U2396" s="32"/>
    </row>
    <row r="2397" spans="21:21" ht="12.5">
      <c r="U2397" s="32"/>
    </row>
    <row r="2398" spans="21:21" ht="12.5">
      <c r="U2398" s="32"/>
    </row>
    <row r="2399" spans="21:21" ht="12.5">
      <c r="U2399" s="32"/>
    </row>
    <row r="2400" spans="21:21" ht="12.5">
      <c r="U2400" s="32"/>
    </row>
    <row r="2401" spans="21:21" ht="12.5">
      <c r="U2401" s="32"/>
    </row>
    <row r="2402" spans="21:21" ht="12.5">
      <c r="U2402" s="32"/>
    </row>
    <row r="2403" spans="21:21" ht="12.5">
      <c r="U2403" s="32"/>
    </row>
    <row r="2404" spans="21:21" ht="12.5">
      <c r="U2404" s="32"/>
    </row>
    <row r="2405" spans="21:21" ht="12.5">
      <c r="U2405" s="32"/>
    </row>
    <row r="2406" spans="21:21" ht="12.5">
      <c r="U2406" s="32"/>
    </row>
    <row r="2407" spans="21:21" ht="12.5">
      <c r="U2407" s="32"/>
    </row>
    <row r="2408" spans="21:21" ht="12.5">
      <c r="U2408" s="32"/>
    </row>
    <row r="2409" spans="21:21" ht="12.5">
      <c r="U2409" s="32"/>
    </row>
    <row r="2410" spans="21:21" ht="12.5">
      <c r="U2410" s="32"/>
    </row>
    <row r="2411" spans="21:21" ht="12.5">
      <c r="U2411" s="32"/>
    </row>
    <row r="2412" spans="21:21" ht="12.5">
      <c r="U2412" s="32"/>
    </row>
    <row r="2413" spans="21:21" ht="12.5">
      <c r="U2413" s="32"/>
    </row>
    <row r="2414" spans="21:21" ht="12.5">
      <c r="U2414" s="32"/>
    </row>
    <row r="2415" spans="21:21" ht="12.5">
      <c r="U2415" s="32"/>
    </row>
    <row r="2416" spans="21:21" ht="12.5">
      <c r="U2416" s="32"/>
    </row>
    <row r="2417" spans="21:21" ht="12.5">
      <c r="U2417" s="32"/>
    </row>
    <row r="2418" spans="21:21" ht="12.5">
      <c r="U2418" s="32"/>
    </row>
    <row r="2419" spans="21:21" ht="12.5">
      <c r="U2419" s="32"/>
    </row>
    <row r="2420" spans="21:21" ht="12.5">
      <c r="U2420" s="32"/>
    </row>
    <row r="2421" spans="21:21" ht="12.5">
      <c r="U2421" s="32"/>
    </row>
    <row r="2422" spans="21:21" ht="12.5">
      <c r="U2422" s="32"/>
    </row>
    <row r="2423" spans="21:21" ht="12.5">
      <c r="U2423" s="32"/>
    </row>
    <row r="2424" spans="21:21" ht="12.5">
      <c r="U2424" s="32"/>
    </row>
    <row r="2425" spans="21:21" ht="12.5">
      <c r="U2425" s="32"/>
    </row>
    <row r="2426" spans="21:21" ht="12.5">
      <c r="U2426" s="32"/>
    </row>
    <row r="2427" spans="21:21" ht="12.5">
      <c r="U2427" s="32"/>
    </row>
    <row r="2428" spans="21:21" ht="12.5">
      <c r="U2428" s="32"/>
    </row>
    <row r="2429" spans="21:21" ht="12.5">
      <c r="U2429" s="32"/>
    </row>
    <row r="2430" spans="21:21" ht="12.5">
      <c r="U2430" s="32"/>
    </row>
    <row r="2431" spans="21:21" ht="12.5">
      <c r="U2431" s="32"/>
    </row>
    <row r="2432" spans="21:21" ht="12.5">
      <c r="U2432" s="32"/>
    </row>
    <row r="2433" spans="21:21" ht="12.5">
      <c r="U2433" s="32"/>
    </row>
    <row r="2434" spans="21:21" ht="12.5">
      <c r="U2434" s="32"/>
    </row>
    <row r="2435" spans="21:21" ht="12.5">
      <c r="U2435" s="32"/>
    </row>
    <row r="2436" spans="21:21" ht="12.5">
      <c r="U2436" s="32"/>
    </row>
    <row r="2437" spans="21:21" ht="12.5">
      <c r="U2437" s="32"/>
    </row>
    <row r="2438" spans="21:21" ht="12.5">
      <c r="U2438" s="32"/>
    </row>
    <row r="2439" spans="21:21" ht="12.5">
      <c r="U2439" s="32"/>
    </row>
    <row r="2440" spans="21:21" ht="12.5">
      <c r="U2440" s="32"/>
    </row>
    <row r="2441" spans="21:21" ht="12.5">
      <c r="U2441" s="32"/>
    </row>
    <row r="2442" spans="21:21" ht="12.5">
      <c r="U2442" s="32"/>
    </row>
    <row r="2443" spans="21:21" ht="12.5">
      <c r="U2443" s="32"/>
    </row>
    <row r="2444" spans="21:21" ht="12.5">
      <c r="U2444" s="32"/>
    </row>
    <row r="2445" spans="21:21" ht="12.5">
      <c r="U2445" s="32"/>
    </row>
    <row r="2446" spans="21:21" ht="12.5">
      <c r="U2446" s="32"/>
    </row>
    <row r="2447" spans="21:21" ht="12.5">
      <c r="U2447" s="32"/>
    </row>
    <row r="2448" spans="21:21" ht="12.5">
      <c r="U2448" s="32"/>
    </row>
    <row r="2449" spans="21:21" ht="12.5">
      <c r="U2449" s="32"/>
    </row>
    <row r="2450" spans="21:21" ht="12.5">
      <c r="U2450" s="32"/>
    </row>
    <row r="2451" spans="21:21" ht="12.5">
      <c r="U2451" s="32"/>
    </row>
    <row r="2452" spans="21:21" ht="12.5">
      <c r="U2452" s="32"/>
    </row>
    <row r="2453" spans="21:21" ht="12.5">
      <c r="U2453" s="32"/>
    </row>
    <row r="2454" spans="21:21" ht="12.5">
      <c r="U2454" s="32"/>
    </row>
    <row r="2455" spans="21:21" ht="12.5">
      <c r="U2455" s="32"/>
    </row>
    <row r="2456" spans="21:21" ht="12.5">
      <c r="U2456" s="32"/>
    </row>
    <row r="2457" spans="21:21" ht="12.5">
      <c r="U2457" s="32"/>
    </row>
    <row r="2458" spans="21:21" ht="12.5">
      <c r="U2458" s="32"/>
    </row>
    <row r="2459" spans="21:21" ht="12.5">
      <c r="U2459" s="32"/>
    </row>
    <row r="2460" spans="21:21" ht="12.5">
      <c r="U2460" s="32"/>
    </row>
    <row r="2461" spans="21:21" ht="12.5">
      <c r="U2461" s="32"/>
    </row>
    <row r="2462" spans="21:21" ht="12.5">
      <c r="U2462" s="32"/>
    </row>
    <row r="2463" spans="21:21" ht="12.5">
      <c r="U2463" s="32"/>
    </row>
    <row r="2464" spans="21:21" ht="12.5">
      <c r="U2464" s="32"/>
    </row>
    <row r="2465" spans="21:21" ht="12.5">
      <c r="U2465" s="32"/>
    </row>
    <row r="2466" spans="21:21" ht="12.5">
      <c r="U2466" s="32"/>
    </row>
    <row r="2467" spans="21:21" ht="12.5">
      <c r="U2467" s="32"/>
    </row>
    <row r="2468" spans="21:21" ht="12.5">
      <c r="U2468" s="32"/>
    </row>
    <row r="2469" spans="21:21" ht="12.5">
      <c r="U2469" s="32"/>
    </row>
    <row r="2470" spans="21:21" ht="12.5">
      <c r="U2470" s="32"/>
    </row>
    <row r="2471" spans="21:21" ht="12.5">
      <c r="U2471" s="32"/>
    </row>
    <row r="2472" spans="21:21" ht="12.5">
      <c r="U2472" s="32"/>
    </row>
    <row r="2473" spans="21:21" ht="12.5">
      <c r="U2473" s="32"/>
    </row>
    <row r="2474" spans="21:21" ht="12.5">
      <c r="U2474" s="32"/>
    </row>
    <row r="2475" spans="21:21" ht="12.5">
      <c r="U2475" s="32"/>
    </row>
    <row r="2476" spans="21:21" ht="12.5">
      <c r="U2476" s="32"/>
    </row>
    <row r="2477" spans="21:21" ht="12.5">
      <c r="U2477" s="32"/>
    </row>
    <row r="2478" spans="21:21" ht="12.5">
      <c r="U2478" s="32"/>
    </row>
    <row r="2479" spans="21:21" ht="12.5">
      <c r="U2479" s="32"/>
    </row>
    <row r="2480" spans="21:21" ht="12.5">
      <c r="U2480" s="32"/>
    </row>
    <row r="2481" spans="21:21" ht="12.5">
      <c r="U2481" s="32"/>
    </row>
    <row r="2482" spans="21:21" ht="12.5">
      <c r="U2482" s="32"/>
    </row>
    <row r="2483" spans="21:21" ht="12.5">
      <c r="U2483" s="32"/>
    </row>
    <row r="2484" spans="21:21" ht="12.5">
      <c r="U2484" s="32"/>
    </row>
    <row r="2485" spans="21:21" ht="12.5">
      <c r="U2485" s="32"/>
    </row>
    <row r="2486" spans="21:21" ht="12.5">
      <c r="U2486" s="32"/>
    </row>
    <row r="2487" spans="21:21" ht="12.5">
      <c r="U2487" s="32"/>
    </row>
    <row r="2488" spans="21:21" ht="12.5">
      <c r="U2488" s="32"/>
    </row>
    <row r="2489" spans="21:21" ht="12.5">
      <c r="U2489" s="32"/>
    </row>
    <row r="2490" spans="21:21" ht="12.5">
      <c r="U2490" s="32"/>
    </row>
    <row r="2491" spans="21:21" ht="12.5">
      <c r="U2491" s="32"/>
    </row>
    <row r="2492" spans="21:21" ht="12.5">
      <c r="U2492" s="32"/>
    </row>
    <row r="2493" spans="21:21" ht="12.5">
      <c r="U2493" s="32"/>
    </row>
    <row r="2494" spans="21:21" ht="12.5">
      <c r="U2494" s="32"/>
    </row>
    <row r="2495" spans="21:21" ht="12.5">
      <c r="U2495" s="32"/>
    </row>
    <row r="2496" spans="21:21" ht="12.5">
      <c r="U2496" s="32"/>
    </row>
    <row r="2497" spans="21:21" ht="12.5">
      <c r="U2497" s="32"/>
    </row>
    <row r="2498" spans="21:21" ht="12.5">
      <c r="U2498" s="32"/>
    </row>
    <row r="2499" spans="21:21" ht="12.5">
      <c r="U2499" s="32"/>
    </row>
    <row r="2500" spans="21:21" ht="12.5">
      <c r="U2500" s="32"/>
    </row>
    <row r="2501" spans="21:21" ht="12.5">
      <c r="U2501" s="32"/>
    </row>
    <row r="2502" spans="21:21" ht="12.5">
      <c r="U2502" s="32"/>
    </row>
    <row r="2503" spans="21:21" ht="12.5">
      <c r="U2503" s="32"/>
    </row>
    <row r="2504" spans="21:21" ht="12.5">
      <c r="U2504" s="32"/>
    </row>
    <row r="2505" spans="21:21" ht="12.5">
      <c r="U2505" s="32"/>
    </row>
    <row r="2506" spans="21:21" ht="12.5">
      <c r="U2506" s="32"/>
    </row>
    <row r="2507" spans="21:21" ht="12.5">
      <c r="U2507" s="32"/>
    </row>
    <row r="2508" spans="21:21" ht="12.5">
      <c r="U2508" s="32"/>
    </row>
    <row r="2509" spans="21:21" ht="12.5">
      <c r="U2509" s="32"/>
    </row>
    <row r="2510" spans="21:21" ht="12.5">
      <c r="U2510" s="32"/>
    </row>
    <row r="2511" spans="21:21" ht="12.5">
      <c r="U2511" s="32"/>
    </row>
    <row r="2512" spans="21:21" ht="12.5">
      <c r="U2512" s="32"/>
    </row>
    <row r="2513" spans="21:21" ht="12.5">
      <c r="U2513" s="32"/>
    </row>
    <row r="2514" spans="21:21" ht="12.5">
      <c r="U2514" s="32"/>
    </row>
    <row r="2515" spans="21:21" ht="12.5">
      <c r="U2515" s="32"/>
    </row>
    <row r="2516" spans="21:21" ht="12.5">
      <c r="U2516" s="32"/>
    </row>
    <row r="2517" spans="21:21" ht="12.5">
      <c r="U2517" s="32"/>
    </row>
    <row r="2518" spans="21:21" ht="12.5">
      <c r="U2518" s="32"/>
    </row>
    <row r="2519" spans="21:21" ht="12.5">
      <c r="U2519" s="32"/>
    </row>
    <row r="2520" spans="21:21" ht="12.5">
      <c r="U2520" s="32"/>
    </row>
    <row r="2521" spans="21:21" ht="12.5">
      <c r="U2521" s="32"/>
    </row>
    <row r="2522" spans="21:21" ht="12.5">
      <c r="U2522" s="32"/>
    </row>
    <row r="2523" spans="21:21" ht="12.5">
      <c r="U2523" s="32"/>
    </row>
    <row r="2524" spans="21:21" ht="12.5">
      <c r="U2524" s="32"/>
    </row>
    <row r="2525" spans="21:21" ht="12.5">
      <c r="U2525" s="32"/>
    </row>
    <row r="2526" spans="21:21" ht="12.5">
      <c r="U2526" s="32"/>
    </row>
    <row r="2527" spans="21:21" ht="12.5">
      <c r="U2527" s="32"/>
    </row>
    <row r="2528" spans="21:21" ht="12.5">
      <c r="U2528" s="32"/>
    </row>
    <row r="2529" spans="21:21" ht="12.5">
      <c r="U2529" s="32"/>
    </row>
    <row r="2530" spans="21:21" ht="12.5">
      <c r="U2530" s="32"/>
    </row>
    <row r="2531" spans="21:21" ht="12.5">
      <c r="U2531" s="32"/>
    </row>
    <row r="2532" spans="21:21" ht="12.5">
      <c r="U2532" s="32"/>
    </row>
    <row r="2533" spans="21:21" ht="12.5">
      <c r="U2533" s="32"/>
    </row>
    <row r="2534" spans="21:21" ht="12.5">
      <c r="U2534" s="32"/>
    </row>
    <row r="2535" spans="21:21" ht="12.5">
      <c r="U2535" s="32"/>
    </row>
    <row r="2536" spans="21:21" ht="12.5">
      <c r="U2536" s="32"/>
    </row>
    <row r="2537" spans="21:21" ht="12.5">
      <c r="U2537" s="32"/>
    </row>
    <row r="2538" spans="21:21" ht="12.5">
      <c r="U2538" s="32"/>
    </row>
    <row r="2539" spans="21:21" ht="12.5">
      <c r="U2539" s="32"/>
    </row>
    <row r="2540" spans="21:21" ht="12.5">
      <c r="U2540" s="32"/>
    </row>
    <row r="2541" spans="21:21" ht="12.5">
      <c r="U2541" s="32"/>
    </row>
    <row r="2542" spans="21:21" ht="12.5">
      <c r="U2542" s="32"/>
    </row>
    <row r="2543" spans="21:21" ht="12.5">
      <c r="U2543" s="32"/>
    </row>
    <row r="2544" spans="21:21" ht="12.5">
      <c r="U2544" s="32"/>
    </row>
    <row r="2545" spans="21:21" ht="12.5">
      <c r="U2545" s="32"/>
    </row>
    <row r="2546" spans="21:21" ht="12.5">
      <c r="U2546" s="32"/>
    </row>
    <row r="2547" spans="21:21" ht="12.5">
      <c r="U2547" s="32"/>
    </row>
    <row r="2548" spans="21:21" ht="12.5">
      <c r="U2548" s="32"/>
    </row>
    <row r="2549" spans="21:21" ht="12.5">
      <c r="U2549" s="32"/>
    </row>
    <row r="2550" spans="21:21" ht="12.5">
      <c r="U2550" s="32"/>
    </row>
    <row r="2551" spans="21:21" ht="12.5">
      <c r="U2551" s="32"/>
    </row>
    <row r="2552" spans="21:21" ht="12.5">
      <c r="U2552" s="32"/>
    </row>
    <row r="2553" spans="21:21" ht="12.5">
      <c r="U2553" s="32"/>
    </row>
    <row r="2554" spans="21:21" ht="12.5">
      <c r="U2554" s="32"/>
    </row>
    <row r="2555" spans="21:21" ht="12.5">
      <c r="U2555" s="32"/>
    </row>
    <row r="2556" spans="21:21" ht="12.5">
      <c r="U2556" s="32"/>
    </row>
    <row r="2557" spans="21:21" ht="12.5">
      <c r="U2557" s="32"/>
    </row>
    <row r="2558" spans="21:21" ht="12.5">
      <c r="U2558" s="32"/>
    </row>
    <row r="2559" spans="21:21" ht="12.5">
      <c r="U2559" s="32"/>
    </row>
    <row r="2560" spans="21:21" ht="12.5">
      <c r="U2560" s="32"/>
    </row>
    <row r="2561" spans="21:21" ht="12.5">
      <c r="U2561" s="32"/>
    </row>
    <row r="2562" spans="21:21" ht="12.5">
      <c r="U2562" s="32"/>
    </row>
    <row r="2563" spans="21:21" ht="12.5">
      <c r="U2563" s="32"/>
    </row>
    <row r="2564" spans="21:21" ht="12.5">
      <c r="U2564" s="32"/>
    </row>
    <row r="2565" spans="21:21" ht="12.5">
      <c r="U2565" s="32"/>
    </row>
    <row r="2566" spans="21:21" ht="12.5">
      <c r="U2566" s="32"/>
    </row>
    <row r="2567" spans="21:21" ht="12.5">
      <c r="U2567" s="32"/>
    </row>
    <row r="2568" spans="21:21" ht="12.5">
      <c r="U2568" s="32"/>
    </row>
    <row r="2569" spans="21:21" ht="12.5">
      <c r="U2569" s="32"/>
    </row>
    <row r="2570" spans="21:21" ht="12.5">
      <c r="U2570" s="32"/>
    </row>
    <row r="2571" spans="21:21" ht="12.5">
      <c r="U2571" s="32"/>
    </row>
    <row r="2572" spans="21:21" ht="12.5">
      <c r="U2572" s="32"/>
    </row>
    <row r="2573" spans="21:21" ht="12.5">
      <c r="U2573" s="32"/>
    </row>
    <row r="2574" spans="21:21" ht="12.5">
      <c r="U2574" s="32"/>
    </row>
    <row r="2575" spans="21:21" ht="12.5">
      <c r="U2575" s="32"/>
    </row>
    <row r="2576" spans="21:21" ht="12.5">
      <c r="U2576" s="32"/>
    </row>
    <row r="2577" spans="21:21" ht="12.5">
      <c r="U2577" s="32"/>
    </row>
    <row r="2578" spans="21:21" ht="12.5">
      <c r="U2578" s="32"/>
    </row>
    <row r="2579" spans="21:21" ht="12.5">
      <c r="U2579" s="32"/>
    </row>
    <row r="2580" spans="21:21" ht="12.5">
      <c r="U2580" s="32"/>
    </row>
    <row r="2581" spans="21:21" ht="12.5">
      <c r="U2581" s="32"/>
    </row>
    <row r="2582" spans="21:21" ht="12.5">
      <c r="U2582" s="32"/>
    </row>
    <row r="2583" spans="21:21" ht="12.5">
      <c r="U2583" s="32"/>
    </row>
    <row r="2584" spans="21:21" ht="12.5">
      <c r="U2584" s="32"/>
    </row>
    <row r="2585" spans="21:21" ht="12.5">
      <c r="U2585" s="32"/>
    </row>
    <row r="2586" spans="21:21" ht="12.5">
      <c r="U2586" s="32"/>
    </row>
    <row r="2587" spans="21:21" ht="12.5">
      <c r="U2587" s="32"/>
    </row>
    <row r="2588" spans="21:21" ht="12.5">
      <c r="U2588" s="32"/>
    </row>
    <row r="2589" spans="21:21" ht="12.5">
      <c r="U2589" s="32"/>
    </row>
    <row r="2590" spans="21:21" ht="12.5">
      <c r="U2590" s="32"/>
    </row>
    <row r="2591" spans="21:21" ht="12.5">
      <c r="U2591" s="32"/>
    </row>
    <row r="2592" spans="21:21" ht="12.5">
      <c r="U2592" s="32"/>
    </row>
    <row r="2593" spans="21:21" ht="12.5">
      <c r="U2593" s="32"/>
    </row>
    <row r="2594" spans="21:21" ht="12.5">
      <c r="U2594" s="32"/>
    </row>
    <row r="2595" spans="21:21" ht="12.5">
      <c r="U2595" s="32"/>
    </row>
    <row r="2596" spans="21:21" ht="12.5">
      <c r="U2596" s="32"/>
    </row>
    <row r="2597" spans="21:21" ht="12.5">
      <c r="U2597" s="32"/>
    </row>
    <row r="2598" spans="21:21" ht="12.5">
      <c r="U2598" s="32"/>
    </row>
    <row r="2599" spans="21:21" ht="12.5">
      <c r="U2599" s="32"/>
    </row>
    <row r="2600" spans="21:21" ht="12.5">
      <c r="U2600" s="32"/>
    </row>
    <row r="2601" spans="21:21" ht="12.5">
      <c r="U2601" s="32"/>
    </row>
    <row r="2602" spans="21:21" ht="12.5">
      <c r="U2602" s="32"/>
    </row>
    <row r="2603" spans="21:21" ht="12.5">
      <c r="U2603" s="32"/>
    </row>
    <row r="2604" spans="21:21" ht="12.5">
      <c r="U2604" s="32"/>
    </row>
    <row r="2605" spans="21:21" ht="12.5">
      <c r="U2605" s="32"/>
    </row>
    <row r="2606" spans="21:21" ht="12.5">
      <c r="U2606" s="32"/>
    </row>
    <row r="2607" spans="21:21" ht="12.5">
      <c r="U2607" s="32"/>
    </row>
    <row r="2608" spans="21:21" ht="12.5">
      <c r="U2608" s="32"/>
    </row>
    <row r="2609" spans="21:21" ht="12.5">
      <c r="U2609" s="32"/>
    </row>
    <row r="2610" spans="21:21" ht="12.5">
      <c r="U2610" s="32"/>
    </row>
    <row r="2611" spans="21:21" ht="12.5">
      <c r="U2611" s="32"/>
    </row>
    <row r="2612" spans="21:21" ht="12.5">
      <c r="U2612" s="32"/>
    </row>
    <row r="2613" spans="21:21" ht="12.5">
      <c r="U2613" s="32"/>
    </row>
    <row r="2614" spans="21:21" ht="12.5">
      <c r="U2614" s="32"/>
    </row>
    <row r="2615" spans="21:21" ht="12.5">
      <c r="U2615" s="32"/>
    </row>
    <row r="2616" spans="21:21" ht="12.5">
      <c r="U2616" s="32"/>
    </row>
    <row r="2617" spans="21:21" ht="12.5">
      <c r="U2617" s="32"/>
    </row>
    <row r="2618" spans="21:21" ht="12.5">
      <c r="U2618" s="32"/>
    </row>
    <row r="2619" spans="21:21" ht="12.5">
      <c r="U2619" s="32"/>
    </row>
    <row r="2620" spans="21:21" ht="12.5">
      <c r="U2620" s="32"/>
    </row>
    <row r="2621" spans="21:21" ht="12.5">
      <c r="U2621" s="32"/>
    </row>
    <row r="2622" spans="21:21" ht="12.5">
      <c r="U2622" s="32"/>
    </row>
    <row r="2623" spans="21:21" ht="12.5">
      <c r="U2623" s="32"/>
    </row>
    <row r="2624" spans="21:21" ht="12.5">
      <c r="U2624" s="32"/>
    </row>
    <row r="2625" spans="21:21" ht="12.5">
      <c r="U2625" s="32"/>
    </row>
    <row r="2626" spans="21:21" ht="12.5">
      <c r="U2626" s="32"/>
    </row>
    <row r="2627" spans="21:21" ht="12.5">
      <c r="U2627" s="32"/>
    </row>
    <row r="2628" spans="21:21" ht="12.5">
      <c r="U2628" s="32"/>
    </row>
    <row r="2629" spans="21:21" ht="12.5">
      <c r="U2629" s="32"/>
    </row>
    <row r="2630" spans="21:21" ht="12.5">
      <c r="U2630" s="32"/>
    </row>
    <row r="2631" spans="21:21" ht="12.5">
      <c r="U2631" s="32"/>
    </row>
    <row r="2632" spans="21:21" ht="12.5">
      <c r="U2632" s="32"/>
    </row>
    <row r="2633" spans="21:21" ht="12.5">
      <c r="U2633" s="32"/>
    </row>
    <row r="2634" spans="21:21" ht="12.5">
      <c r="U2634" s="32"/>
    </row>
    <row r="2635" spans="21:21" ht="12.5">
      <c r="U2635" s="32"/>
    </row>
    <row r="2636" spans="21:21" ht="12.5">
      <c r="U2636" s="32"/>
    </row>
    <row r="2637" spans="21:21" ht="12.5">
      <c r="U2637" s="32"/>
    </row>
    <row r="2638" spans="21:21" ht="12.5">
      <c r="U2638" s="32"/>
    </row>
    <row r="2639" spans="21:21" ht="12.5">
      <c r="U2639" s="32"/>
    </row>
    <row r="2640" spans="21:21" ht="12.5">
      <c r="U2640" s="32"/>
    </row>
    <row r="2641" spans="21:21" ht="12.5">
      <c r="U2641" s="32"/>
    </row>
    <row r="2642" spans="21:21" ht="12.5">
      <c r="U2642" s="32"/>
    </row>
    <row r="2643" spans="21:21" ht="12.5">
      <c r="U2643" s="32"/>
    </row>
    <row r="2644" spans="21:21" ht="12.5">
      <c r="U2644" s="32"/>
    </row>
    <row r="2645" spans="21:21" ht="12.5">
      <c r="U2645" s="32"/>
    </row>
    <row r="2646" spans="21:21" ht="12.5">
      <c r="U2646" s="32"/>
    </row>
    <row r="2647" spans="21:21" ht="12.5">
      <c r="U2647" s="32"/>
    </row>
    <row r="2648" spans="21:21" ht="12.5">
      <c r="U2648" s="32"/>
    </row>
    <row r="2649" spans="21:21" ht="12.5">
      <c r="U2649" s="32"/>
    </row>
    <row r="2650" spans="21:21" ht="12.5">
      <c r="U2650" s="32"/>
    </row>
    <row r="2651" spans="21:21" ht="12.5">
      <c r="U2651" s="32"/>
    </row>
    <row r="2652" spans="21:21" ht="12.5">
      <c r="U2652" s="32"/>
    </row>
    <row r="2653" spans="21:21" ht="12.5">
      <c r="U2653" s="32"/>
    </row>
    <row r="2654" spans="21:21" ht="12.5">
      <c r="U2654" s="32"/>
    </row>
    <row r="2655" spans="21:21" ht="12.5">
      <c r="U2655" s="32"/>
    </row>
    <row r="2656" spans="21:21" ht="12.5">
      <c r="U2656" s="32"/>
    </row>
    <row r="2657" spans="21:21" ht="12.5">
      <c r="U2657" s="32"/>
    </row>
    <row r="2658" spans="21:21" ht="12.5">
      <c r="U2658" s="32"/>
    </row>
    <row r="2659" spans="21:21" ht="12.5">
      <c r="U2659" s="32"/>
    </row>
    <row r="2660" spans="21:21" ht="12.5">
      <c r="U2660" s="32"/>
    </row>
    <row r="2661" spans="21:21" ht="12.5">
      <c r="U2661" s="32"/>
    </row>
    <row r="2662" spans="21:21" ht="12.5">
      <c r="U2662" s="32"/>
    </row>
    <row r="2663" spans="21:21" ht="12.5">
      <c r="U2663" s="32"/>
    </row>
    <row r="2664" spans="21:21" ht="12.5">
      <c r="U2664" s="32"/>
    </row>
    <row r="2665" spans="21:21" ht="12.5">
      <c r="U2665" s="32"/>
    </row>
    <row r="2666" spans="21:21" ht="12.5">
      <c r="U2666" s="32"/>
    </row>
    <row r="2667" spans="21:21" ht="12.5">
      <c r="U2667" s="32"/>
    </row>
    <row r="2668" spans="21:21" ht="12.5">
      <c r="U2668" s="32"/>
    </row>
    <row r="2669" spans="21:21" ht="12.5">
      <c r="U2669" s="32"/>
    </row>
    <row r="2670" spans="21:21" ht="12.5">
      <c r="U2670" s="32"/>
    </row>
    <row r="2671" spans="21:21" ht="12.5">
      <c r="U2671" s="32"/>
    </row>
    <row r="2672" spans="21:21" ht="12.5">
      <c r="U2672" s="32"/>
    </row>
    <row r="2673" spans="21:21" ht="12.5">
      <c r="U2673" s="32"/>
    </row>
    <row r="2674" spans="21:21" ht="12.5">
      <c r="U2674" s="32"/>
    </row>
    <row r="2675" spans="21:21" ht="12.5">
      <c r="U2675" s="32"/>
    </row>
    <row r="2676" spans="21:21" ht="12.5">
      <c r="U2676" s="32"/>
    </row>
    <row r="2677" spans="21:21" ht="12.5">
      <c r="U2677" s="32"/>
    </row>
    <row r="2678" spans="21:21" ht="12.5">
      <c r="U2678" s="32"/>
    </row>
    <row r="2679" spans="21:21" ht="12.5">
      <c r="U2679" s="32"/>
    </row>
    <row r="2680" spans="21:21" ht="12.5">
      <c r="U2680" s="32"/>
    </row>
    <row r="2681" spans="21:21" ht="12.5">
      <c r="U2681" s="32"/>
    </row>
    <row r="2682" spans="21:21" ht="12.5">
      <c r="U2682" s="32"/>
    </row>
    <row r="2683" spans="21:21" ht="12.5">
      <c r="U2683" s="32"/>
    </row>
    <row r="2684" spans="21:21" ht="12.5">
      <c r="U2684" s="32"/>
    </row>
    <row r="2685" spans="21:21" ht="12.5">
      <c r="U2685" s="32"/>
    </row>
    <row r="2686" spans="21:21" ht="12.5">
      <c r="U2686" s="32"/>
    </row>
    <row r="2687" spans="21:21" ht="12.5">
      <c r="U2687" s="32"/>
    </row>
    <row r="2688" spans="21:21" ht="12.5">
      <c r="U2688" s="32"/>
    </row>
    <row r="2689" spans="21:21" ht="12.5">
      <c r="U2689" s="32"/>
    </row>
    <row r="2690" spans="21:21" ht="12.5">
      <c r="U2690" s="32"/>
    </row>
    <row r="2691" spans="21:21" ht="12.5">
      <c r="U2691" s="32"/>
    </row>
    <row r="2692" spans="21:21" ht="12.5">
      <c r="U2692" s="32"/>
    </row>
    <row r="2693" spans="21:21" ht="12.5">
      <c r="U2693" s="32"/>
    </row>
    <row r="2694" spans="21:21" ht="12.5">
      <c r="U2694" s="32"/>
    </row>
    <row r="2695" spans="21:21" ht="12.5">
      <c r="U2695" s="32"/>
    </row>
    <row r="2696" spans="21:21" ht="12.5">
      <c r="U2696" s="32"/>
    </row>
    <row r="2697" spans="21:21" ht="12.5">
      <c r="U2697" s="32"/>
    </row>
    <row r="2698" spans="21:21" ht="12.5">
      <c r="U2698" s="32"/>
    </row>
    <row r="2699" spans="21:21" ht="12.5">
      <c r="U2699" s="32"/>
    </row>
    <row r="2700" spans="21:21" ht="12.5">
      <c r="U2700" s="32"/>
    </row>
    <row r="2701" spans="21:21" ht="12.5">
      <c r="U2701" s="32"/>
    </row>
    <row r="2702" spans="21:21" ht="12.5">
      <c r="U2702" s="32"/>
    </row>
    <row r="2703" spans="21:21" ht="12.5">
      <c r="U2703" s="32"/>
    </row>
    <row r="2704" spans="21:21" ht="12.5">
      <c r="U2704" s="32"/>
    </row>
    <row r="2705" spans="21:21" ht="12.5">
      <c r="U2705" s="32"/>
    </row>
    <row r="2706" spans="21:21" ht="12.5">
      <c r="U2706" s="32"/>
    </row>
    <row r="2707" spans="21:21" ht="12.5">
      <c r="U2707" s="32"/>
    </row>
    <row r="2708" spans="21:21" ht="12.5">
      <c r="U2708" s="32"/>
    </row>
    <row r="2709" spans="21:21" ht="12.5">
      <c r="U2709" s="32"/>
    </row>
    <row r="2710" spans="21:21" ht="12.5">
      <c r="U2710" s="32"/>
    </row>
    <row r="2711" spans="21:21" ht="12.5">
      <c r="U2711" s="32"/>
    </row>
    <row r="2712" spans="21:21" ht="12.5">
      <c r="U2712" s="32"/>
    </row>
    <row r="2713" spans="21:21" ht="12.5">
      <c r="U2713" s="32"/>
    </row>
    <row r="2714" spans="21:21" ht="12.5">
      <c r="U2714" s="32"/>
    </row>
    <row r="2715" spans="21:21" ht="12.5">
      <c r="U2715" s="32"/>
    </row>
    <row r="2716" spans="21:21" ht="12.5">
      <c r="U2716" s="32"/>
    </row>
    <row r="2717" spans="21:21" ht="12.5">
      <c r="U2717" s="32"/>
    </row>
    <row r="2718" spans="21:21" ht="12.5">
      <c r="U2718" s="32"/>
    </row>
    <row r="2719" spans="21:21" ht="12.5">
      <c r="U2719" s="32"/>
    </row>
    <row r="2720" spans="21:21" ht="12.5">
      <c r="U2720" s="32"/>
    </row>
    <row r="2721" spans="21:21" ht="12.5">
      <c r="U2721" s="32"/>
    </row>
    <row r="2722" spans="21:21" ht="12.5">
      <c r="U2722" s="32"/>
    </row>
    <row r="2723" spans="21:21" ht="12.5">
      <c r="U2723" s="32"/>
    </row>
    <row r="2724" spans="21:21" ht="12.5">
      <c r="U2724" s="32"/>
    </row>
    <row r="2725" spans="21:21" ht="12.5">
      <c r="U2725" s="32"/>
    </row>
    <row r="2726" spans="21:21" ht="12.5">
      <c r="U2726" s="32"/>
    </row>
    <row r="2727" spans="21:21" ht="12.5">
      <c r="U2727" s="32"/>
    </row>
    <row r="2728" spans="21:21" ht="12.5">
      <c r="U2728" s="32"/>
    </row>
    <row r="2729" spans="21:21" ht="12.5">
      <c r="U2729" s="32"/>
    </row>
    <row r="2730" spans="21:21" ht="12.5">
      <c r="U2730" s="32"/>
    </row>
    <row r="2731" spans="21:21" ht="12.5">
      <c r="U2731" s="32"/>
    </row>
    <row r="2732" spans="21:21" ht="12.5">
      <c r="U2732" s="32"/>
    </row>
    <row r="2733" spans="21:21" ht="12.5">
      <c r="U2733" s="32"/>
    </row>
    <row r="2734" spans="21:21" ht="12.5">
      <c r="U2734" s="32"/>
    </row>
    <row r="2735" spans="21:21" ht="12.5">
      <c r="U2735" s="32"/>
    </row>
    <row r="2736" spans="21:21" ht="12.5">
      <c r="U2736" s="32"/>
    </row>
    <row r="2737" spans="21:21" ht="12.5">
      <c r="U2737" s="32"/>
    </row>
    <row r="2738" spans="21:21" ht="12.5">
      <c r="U2738" s="32"/>
    </row>
    <row r="2739" spans="21:21" ht="12.5">
      <c r="U2739" s="32"/>
    </row>
    <row r="2740" spans="21:21" ht="12.5">
      <c r="U2740" s="32"/>
    </row>
    <row r="2741" spans="21:21" ht="12.5">
      <c r="U2741" s="32"/>
    </row>
    <row r="2742" spans="21:21" ht="12.5">
      <c r="U2742" s="32"/>
    </row>
    <row r="2743" spans="21:21" ht="12.5">
      <c r="U2743" s="32"/>
    </row>
    <row r="2744" spans="21:21" ht="12.5">
      <c r="U2744" s="32"/>
    </row>
    <row r="2745" spans="21:21" ht="12.5">
      <c r="U2745" s="32"/>
    </row>
    <row r="2746" spans="21:21" ht="12.5">
      <c r="U2746" s="32"/>
    </row>
    <row r="2747" spans="21:21" ht="12.5">
      <c r="U2747" s="32"/>
    </row>
    <row r="2748" spans="21:21" ht="12.5">
      <c r="U2748" s="32"/>
    </row>
    <row r="2749" spans="21:21" ht="12.5">
      <c r="U2749" s="32"/>
    </row>
    <row r="2750" spans="21:21" ht="12.5">
      <c r="U2750" s="32"/>
    </row>
    <row r="2751" spans="21:21" ht="12.5">
      <c r="U2751" s="32"/>
    </row>
    <row r="2752" spans="21:21" ht="12.5">
      <c r="U2752" s="32"/>
    </row>
    <row r="2753" spans="21:21" ht="12.5">
      <c r="U2753" s="32"/>
    </row>
    <row r="2754" spans="21:21" ht="12.5">
      <c r="U2754" s="32"/>
    </row>
    <row r="2755" spans="21:21" ht="12.5">
      <c r="U2755" s="32"/>
    </row>
    <row r="2756" spans="21:21" ht="12.5">
      <c r="U2756" s="32"/>
    </row>
    <row r="2757" spans="21:21" ht="12.5">
      <c r="U2757" s="32"/>
    </row>
    <row r="2758" spans="21:21" ht="12.5">
      <c r="U2758" s="32"/>
    </row>
    <row r="2759" spans="21:21" ht="12.5">
      <c r="U2759" s="32"/>
    </row>
    <row r="2760" spans="21:21" ht="12.5">
      <c r="U2760" s="32"/>
    </row>
    <row r="2761" spans="21:21" ht="12.5">
      <c r="U2761" s="32"/>
    </row>
    <row r="2762" spans="21:21" ht="12.5">
      <c r="U2762" s="32"/>
    </row>
    <row r="2763" spans="21:21" ht="12.5">
      <c r="U2763" s="32"/>
    </row>
    <row r="2764" spans="21:21" ht="12.5">
      <c r="U2764" s="32"/>
    </row>
    <row r="2765" spans="21:21" ht="12.5">
      <c r="U2765" s="32"/>
    </row>
    <row r="2766" spans="21:21" ht="12.5">
      <c r="U2766" s="32"/>
    </row>
    <row r="2767" spans="21:21" ht="12.5">
      <c r="U2767" s="32"/>
    </row>
    <row r="2768" spans="21:21" ht="12.5">
      <c r="U2768" s="32"/>
    </row>
    <row r="2769" spans="21:21" ht="12.5">
      <c r="U2769" s="32"/>
    </row>
    <row r="2770" spans="21:21" ht="12.5">
      <c r="U2770" s="32"/>
    </row>
    <row r="2771" spans="21:21" ht="12.5">
      <c r="U2771" s="32"/>
    </row>
    <row r="2772" spans="21:21" ht="12.5">
      <c r="U2772" s="32"/>
    </row>
    <row r="2773" spans="21:21" ht="12.5">
      <c r="U2773" s="32"/>
    </row>
    <row r="2774" spans="21:21" ht="12.5">
      <c r="U2774" s="32"/>
    </row>
    <row r="2775" spans="21:21" ht="12.5">
      <c r="U2775" s="32"/>
    </row>
    <row r="2776" spans="21:21" ht="12.5">
      <c r="U2776" s="32"/>
    </row>
    <row r="2777" spans="21:21" ht="12.5">
      <c r="U2777" s="32"/>
    </row>
    <row r="2778" spans="21:21" ht="12.5">
      <c r="U2778" s="32"/>
    </row>
    <row r="2779" spans="21:21" ht="12.5">
      <c r="U2779" s="32"/>
    </row>
    <row r="2780" spans="21:21" ht="12.5">
      <c r="U2780" s="32"/>
    </row>
    <row r="2781" spans="21:21" ht="12.5">
      <c r="U2781" s="32"/>
    </row>
    <row r="2782" spans="21:21" ht="12.5">
      <c r="U2782" s="32"/>
    </row>
    <row r="2783" spans="21:21" ht="12.5">
      <c r="U2783" s="32"/>
    </row>
    <row r="2784" spans="21:21" ht="12.5">
      <c r="U2784" s="32"/>
    </row>
    <row r="2785" spans="21:21" ht="12.5">
      <c r="U2785" s="32"/>
    </row>
    <row r="2786" spans="21:21" ht="12.5">
      <c r="U2786" s="32"/>
    </row>
    <row r="2787" spans="21:21" ht="12.5">
      <c r="U2787" s="32"/>
    </row>
    <row r="2788" spans="21:21" ht="12.5">
      <c r="U2788" s="32"/>
    </row>
    <row r="2789" spans="21:21" ht="12.5">
      <c r="U2789" s="32"/>
    </row>
    <row r="2790" spans="21:21" ht="12.5">
      <c r="U2790" s="32"/>
    </row>
    <row r="2791" spans="21:21" ht="12.5">
      <c r="U2791" s="32"/>
    </row>
    <row r="2792" spans="21:21" ht="12.5">
      <c r="U2792" s="32"/>
    </row>
    <row r="2793" spans="21:21" ht="12.5">
      <c r="U2793" s="32"/>
    </row>
    <row r="2794" spans="21:21" ht="12.5">
      <c r="U2794" s="32"/>
    </row>
    <row r="2795" spans="21:21" ht="12.5">
      <c r="U2795" s="32"/>
    </row>
    <row r="2796" spans="21:21" ht="12.5">
      <c r="U2796" s="32"/>
    </row>
    <row r="2797" spans="21:21" ht="12.5">
      <c r="U2797" s="32"/>
    </row>
    <row r="2798" spans="21:21" ht="12.5">
      <c r="U2798" s="32"/>
    </row>
    <row r="2799" spans="21:21" ht="12.5">
      <c r="U2799" s="32"/>
    </row>
    <row r="2800" spans="21:21" ht="12.5">
      <c r="U2800" s="32"/>
    </row>
    <row r="2801" spans="21:21" ht="12.5">
      <c r="U2801" s="32"/>
    </row>
    <row r="2802" spans="21:21" ht="12.5">
      <c r="U2802" s="32"/>
    </row>
    <row r="2803" spans="21:21" ht="12.5">
      <c r="U2803" s="32"/>
    </row>
    <row r="2804" spans="21:21" ht="12.5">
      <c r="U2804" s="32"/>
    </row>
    <row r="2805" spans="21:21" ht="12.5">
      <c r="U2805" s="32"/>
    </row>
    <row r="2806" spans="21:21" ht="12.5">
      <c r="U2806" s="32"/>
    </row>
    <row r="2807" spans="21:21" ht="12.5">
      <c r="U2807" s="32"/>
    </row>
    <row r="2808" spans="21:21" ht="12.5">
      <c r="U2808" s="32"/>
    </row>
    <row r="2809" spans="21:21" ht="12.5">
      <c r="U2809" s="32"/>
    </row>
    <row r="2810" spans="21:21" ht="12.5">
      <c r="U2810" s="32"/>
    </row>
    <row r="2811" spans="21:21" ht="12.5">
      <c r="U2811" s="32"/>
    </row>
    <row r="2812" spans="21:21" ht="12.5">
      <c r="U2812" s="32"/>
    </row>
    <row r="2813" spans="21:21" ht="12.5">
      <c r="U2813" s="32"/>
    </row>
    <row r="2814" spans="21:21" ht="12.5">
      <c r="U2814" s="32"/>
    </row>
    <row r="2815" spans="21:21" ht="12.5">
      <c r="U2815" s="32"/>
    </row>
    <row r="2816" spans="21:21" ht="12.5">
      <c r="U2816" s="32"/>
    </row>
    <row r="2817" spans="21:21" ht="12.5">
      <c r="U2817" s="32"/>
    </row>
    <row r="2818" spans="21:21" ht="12.5">
      <c r="U2818" s="32"/>
    </row>
    <row r="2819" spans="21:21" ht="12.5">
      <c r="U2819" s="32"/>
    </row>
    <row r="2820" spans="21:21" ht="12.5">
      <c r="U2820" s="32"/>
    </row>
    <row r="2821" spans="21:21" ht="12.5">
      <c r="U2821" s="32"/>
    </row>
    <row r="2822" spans="21:21" ht="12.5">
      <c r="U2822" s="32"/>
    </row>
    <row r="2823" spans="21:21" ht="12.5">
      <c r="U2823" s="32"/>
    </row>
    <row r="2824" spans="21:21" ht="12.5">
      <c r="U2824" s="32"/>
    </row>
    <row r="2825" spans="21:21" ht="12.5">
      <c r="U2825" s="32"/>
    </row>
    <row r="2826" spans="21:21" ht="12.5">
      <c r="U2826" s="32"/>
    </row>
    <row r="2827" spans="21:21" ht="12.5">
      <c r="U2827" s="32"/>
    </row>
    <row r="2828" spans="21:21" ht="12.5">
      <c r="U2828" s="32"/>
    </row>
    <row r="2829" spans="21:21" ht="12.5">
      <c r="U2829" s="32"/>
    </row>
    <row r="2830" spans="21:21" ht="12.5">
      <c r="U2830" s="32"/>
    </row>
    <row r="2831" spans="21:21" ht="12.5">
      <c r="U2831" s="32"/>
    </row>
    <row r="2832" spans="21:21" ht="12.5">
      <c r="U2832" s="32"/>
    </row>
    <row r="2833" spans="21:21" ht="12.5">
      <c r="U2833" s="32"/>
    </row>
    <row r="2834" spans="21:21" ht="12.5">
      <c r="U2834" s="32"/>
    </row>
    <row r="2835" spans="21:21" ht="12.5">
      <c r="U2835" s="32"/>
    </row>
    <row r="2836" spans="21:21" ht="12.5">
      <c r="U2836" s="32"/>
    </row>
    <row r="2837" spans="21:21" ht="12.5">
      <c r="U2837" s="32"/>
    </row>
    <row r="2838" spans="21:21" ht="12.5">
      <c r="U2838" s="32"/>
    </row>
    <row r="2839" spans="21:21" ht="12.5">
      <c r="U2839" s="32"/>
    </row>
    <row r="2840" spans="21:21" ht="12.5">
      <c r="U2840" s="32"/>
    </row>
    <row r="2841" spans="21:21" ht="12.5">
      <c r="U2841" s="32"/>
    </row>
    <row r="2842" spans="21:21" ht="12.5">
      <c r="U2842" s="32"/>
    </row>
    <row r="2843" spans="21:21" ht="12.5">
      <c r="U2843" s="32"/>
    </row>
    <row r="2844" spans="21:21" ht="12.5">
      <c r="U2844" s="32"/>
    </row>
    <row r="2845" spans="21:21" ht="12.5">
      <c r="U2845" s="32"/>
    </row>
    <row r="2846" spans="21:21" ht="12.5">
      <c r="U2846" s="32"/>
    </row>
    <row r="2847" spans="21:21" ht="12.5">
      <c r="U2847" s="32"/>
    </row>
    <row r="2848" spans="21:21" ht="12.5">
      <c r="U2848" s="32"/>
    </row>
    <row r="2849" spans="21:21" ht="12.5">
      <c r="U2849" s="32"/>
    </row>
    <row r="2850" spans="21:21" ht="12.5">
      <c r="U2850" s="32"/>
    </row>
    <row r="2851" spans="21:21" ht="12.5">
      <c r="U2851" s="32"/>
    </row>
    <row r="2852" spans="21:21" ht="12.5">
      <c r="U2852" s="32"/>
    </row>
    <row r="2853" spans="21:21" ht="12.5">
      <c r="U2853" s="32"/>
    </row>
    <row r="2854" spans="21:21" ht="12.5">
      <c r="U2854" s="32"/>
    </row>
    <row r="2855" spans="21:21" ht="12.5">
      <c r="U2855" s="32"/>
    </row>
    <row r="2856" spans="21:21" ht="12.5">
      <c r="U2856" s="32"/>
    </row>
    <row r="2857" spans="21:21" ht="12.5">
      <c r="U2857" s="32"/>
    </row>
    <row r="2858" spans="21:21" ht="12.5">
      <c r="U2858" s="32"/>
    </row>
    <row r="2859" spans="21:21" ht="12.5">
      <c r="U2859" s="32"/>
    </row>
    <row r="2860" spans="21:21" ht="12.5">
      <c r="U2860" s="32"/>
    </row>
    <row r="2861" spans="21:21" ht="12.5">
      <c r="U2861" s="32"/>
    </row>
    <row r="2862" spans="21:21" ht="12.5">
      <c r="U2862" s="32"/>
    </row>
    <row r="2863" spans="21:21" ht="12.5">
      <c r="U2863" s="32"/>
    </row>
    <row r="2864" spans="21:21" ht="12.5">
      <c r="U2864" s="32"/>
    </row>
    <row r="2865" spans="21:21" ht="12.5">
      <c r="U2865" s="32"/>
    </row>
    <row r="2866" spans="21:21" ht="12.5">
      <c r="U2866" s="32"/>
    </row>
    <row r="2867" spans="21:21" ht="12.5">
      <c r="U2867" s="32"/>
    </row>
    <row r="2868" spans="21:21" ht="12.5">
      <c r="U2868" s="32"/>
    </row>
    <row r="2869" spans="21:21" ht="12.5">
      <c r="U2869" s="32"/>
    </row>
    <row r="2870" spans="21:21" ht="12.5">
      <c r="U2870" s="32"/>
    </row>
    <row r="2871" spans="21:21" ht="12.5">
      <c r="U2871" s="32"/>
    </row>
    <row r="2872" spans="21:21" ht="12.5">
      <c r="U2872" s="32"/>
    </row>
    <row r="2873" spans="21:21" ht="12.5">
      <c r="U2873" s="32"/>
    </row>
    <row r="2874" spans="21:21" ht="12.5">
      <c r="U2874" s="32"/>
    </row>
    <row r="2875" spans="21:21" ht="12.5">
      <c r="U2875" s="32"/>
    </row>
    <row r="2876" spans="21:21" ht="12.5">
      <c r="U2876" s="32"/>
    </row>
    <row r="2877" spans="21:21" ht="12.5">
      <c r="U2877" s="32"/>
    </row>
    <row r="2878" spans="21:21" ht="12.5">
      <c r="U2878" s="32"/>
    </row>
    <row r="2879" spans="21:21" ht="12.5">
      <c r="U2879" s="32"/>
    </row>
    <row r="2880" spans="21:21" ht="12.5">
      <c r="U2880" s="32"/>
    </row>
    <row r="2881" spans="21:21" ht="12.5">
      <c r="U2881" s="32"/>
    </row>
    <row r="2882" spans="21:21" ht="12.5">
      <c r="U2882" s="32"/>
    </row>
    <row r="2883" spans="21:21" ht="12.5">
      <c r="U2883" s="32"/>
    </row>
    <row r="2884" spans="21:21" ht="12.5">
      <c r="U2884" s="32"/>
    </row>
    <row r="2885" spans="21:21" ht="12.5">
      <c r="U2885" s="32"/>
    </row>
    <row r="2886" spans="21:21" ht="12.5">
      <c r="U2886" s="32"/>
    </row>
    <row r="2887" spans="21:21" ht="12.5">
      <c r="U2887" s="32"/>
    </row>
    <row r="2888" spans="21:21" ht="12.5">
      <c r="U2888" s="32"/>
    </row>
    <row r="2889" spans="21:21" ht="12.5">
      <c r="U2889" s="32"/>
    </row>
    <row r="2890" spans="21:21" ht="12.5">
      <c r="U2890" s="32"/>
    </row>
    <row r="2891" spans="21:21" ht="12.5">
      <c r="U2891" s="32"/>
    </row>
    <row r="2892" spans="21:21" ht="12.5">
      <c r="U2892" s="32"/>
    </row>
    <row r="2893" spans="21:21" ht="12.5">
      <c r="U2893" s="32"/>
    </row>
    <row r="2894" spans="21:21" ht="12.5">
      <c r="U2894" s="32"/>
    </row>
    <row r="2895" spans="21:21" ht="12.5">
      <c r="U2895" s="32"/>
    </row>
    <row r="2896" spans="21:21" ht="12.5">
      <c r="U2896" s="32"/>
    </row>
    <row r="2897" spans="21:21" ht="12.5">
      <c r="U2897" s="32"/>
    </row>
    <row r="2898" spans="21:21" ht="12.5">
      <c r="U2898" s="32"/>
    </row>
    <row r="2899" spans="21:21" ht="12.5">
      <c r="U2899" s="32"/>
    </row>
    <row r="2900" spans="21:21" ht="12.5">
      <c r="U2900" s="32"/>
    </row>
    <row r="2901" spans="21:21" ht="12.5">
      <c r="U2901" s="32"/>
    </row>
    <row r="2902" spans="21:21" ht="12.5">
      <c r="U2902" s="32"/>
    </row>
    <row r="2903" spans="21:21" ht="12.5">
      <c r="U2903" s="32"/>
    </row>
    <row r="2904" spans="21:21" ht="12.5">
      <c r="U2904" s="32"/>
    </row>
    <row r="2905" spans="21:21" ht="12.5">
      <c r="U2905" s="32"/>
    </row>
    <row r="2906" spans="21:21" ht="12.5">
      <c r="U2906" s="32"/>
    </row>
    <row r="2907" spans="21:21" ht="12.5">
      <c r="U2907" s="32"/>
    </row>
    <row r="2908" spans="21:21" ht="12.5">
      <c r="U2908" s="32"/>
    </row>
    <row r="2909" spans="21:21" ht="12.5">
      <c r="U2909" s="32"/>
    </row>
    <row r="2910" spans="21:21" ht="12.5">
      <c r="U2910" s="32"/>
    </row>
    <row r="2911" spans="21:21" ht="12.5">
      <c r="U2911" s="32"/>
    </row>
    <row r="2912" spans="21:21" ht="12.5">
      <c r="U2912" s="32"/>
    </row>
    <row r="2913" spans="21:21" ht="12.5">
      <c r="U2913" s="32"/>
    </row>
    <row r="2914" spans="21:21" ht="12.5">
      <c r="U2914" s="32"/>
    </row>
    <row r="2915" spans="21:21" ht="12.5">
      <c r="U2915" s="32"/>
    </row>
    <row r="2916" spans="21:21" ht="12.5">
      <c r="U2916" s="32"/>
    </row>
    <row r="2917" spans="21:21" ht="12.5">
      <c r="U2917" s="32"/>
    </row>
    <row r="2918" spans="21:21" ht="12.5">
      <c r="U2918" s="32"/>
    </row>
    <row r="2919" spans="21:21" ht="12.5">
      <c r="U2919" s="32"/>
    </row>
    <row r="2920" spans="21:21" ht="12.5">
      <c r="U2920" s="32"/>
    </row>
    <row r="2921" spans="21:21" ht="12.5">
      <c r="U2921" s="32"/>
    </row>
    <row r="2922" spans="21:21" ht="12.5">
      <c r="U2922" s="32"/>
    </row>
    <row r="2923" spans="21:21" ht="12.5">
      <c r="U2923" s="32"/>
    </row>
    <row r="2924" spans="21:21" ht="12.5">
      <c r="U2924" s="32"/>
    </row>
    <row r="2925" spans="21:21" ht="12.5">
      <c r="U2925" s="32"/>
    </row>
    <row r="2926" spans="21:21" ht="12.5">
      <c r="U2926" s="32"/>
    </row>
    <row r="2927" spans="21:21" ht="12.5">
      <c r="U2927" s="32"/>
    </row>
    <row r="2928" spans="21:21" ht="12.5">
      <c r="U2928" s="32"/>
    </row>
    <row r="2929" spans="21:21" ht="12.5">
      <c r="U2929" s="32"/>
    </row>
    <row r="2930" spans="21:21" ht="12.5">
      <c r="U2930" s="32"/>
    </row>
    <row r="2931" spans="21:21" ht="12.5">
      <c r="U2931" s="32"/>
    </row>
    <row r="2932" spans="21:21" ht="12.5">
      <c r="U2932" s="32"/>
    </row>
    <row r="2933" spans="21:21" ht="12.5">
      <c r="U2933" s="32"/>
    </row>
    <row r="2934" spans="21:21" ht="12.5">
      <c r="U2934" s="32"/>
    </row>
    <row r="2935" spans="21:21" ht="12.5">
      <c r="U2935" s="32"/>
    </row>
    <row r="2936" spans="21:21" ht="12.5">
      <c r="U2936" s="32"/>
    </row>
    <row r="2937" spans="21:21" ht="12.5">
      <c r="U2937" s="32"/>
    </row>
    <row r="2938" spans="21:21" ht="12.5">
      <c r="U2938" s="32"/>
    </row>
    <row r="2939" spans="21:21" ht="12.5">
      <c r="U2939" s="32"/>
    </row>
    <row r="2940" spans="21:21" ht="12.5">
      <c r="U2940" s="32"/>
    </row>
    <row r="2941" spans="21:21" ht="12.5">
      <c r="U2941" s="32"/>
    </row>
    <row r="2942" spans="21:21" ht="12.5">
      <c r="U2942" s="32"/>
    </row>
    <row r="2943" spans="21:21" ht="12.5">
      <c r="U2943" s="32"/>
    </row>
    <row r="2944" spans="21:21" ht="12.5">
      <c r="U2944" s="32"/>
    </row>
    <row r="2945" spans="21:21" ht="12.5">
      <c r="U2945" s="32"/>
    </row>
    <row r="2946" spans="21:21" ht="12.5">
      <c r="U2946" s="32"/>
    </row>
    <row r="2947" spans="21:21" ht="12.5">
      <c r="U2947" s="32"/>
    </row>
    <row r="2948" spans="21:21" ht="12.5">
      <c r="U2948" s="32"/>
    </row>
    <row r="2949" spans="21:21" ht="12.5">
      <c r="U2949" s="32"/>
    </row>
    <row r="2950" spans="21:21" ht="12.5">
      <c r="U2950" s="32"/>
    </row>
    <row r="2951" spans="21:21" ht="12.5">
      <c r="U2951" s="32"/>
    </row>
    <row r="2952" spans="21:21" ht="12.5">
      <c r="U2952" s="32"/>
    </row>
    <row r="2953" spans="21:21" ht="12.5">
      <c r="U2953" s="32"/>
    </row>
    <row r="2954" spans="21:21" ht="12.5">
      <c r="U2954" s="32"/>
    </row>
    <row r="2955" spans="21:21" ht="12.5">
      <c r="U2955" s="32"/>
    </row>
    <row r="2956" spans="21:21" ht="12.5">
      <c r="U2956" s="32"/>
    </row>
    <row r="2957" spans="21:21" ht="12.5">
      <c r="U2957" s="32"/>
    </row>
    <row r="2958" spans="21:21" ht="12.5">
      <c r="U2958" s="32"/>
    </row>
    <row r="2959" spans="21:21" ht="12.5">
      <c r="U2959" s="32"/>
    </row>
    <row r="2960" spans="21:21" ht="12.5">
      <c r="U2960" s="32"/>
    </row>
    <row r="2961" spans="21:21" ht="12.5">
      <c r="U2961" s="32"/>
    </row>
    <row r="2962" spans="21:21" ht="12.5">
      <c r="U2962" s="32"/>
    </row>
    <row r="2963" spans="21:21" ht="12.5">
      <c r="U2963" s="32"/>
    </row>
    <row r="2964" spans="21:21" ht="12.5">
      <c r="U2964" s="32"/>
    </row>
    <row r="2965" spans="21:21" ht="12.5">
      <c r="U2965" s="32"/>
    </row>
    <row r="2966" spans="21:21" ht="12.5">
      <c r="U2966" s="32"/>
    </row>
    <row r="2967" spans="21:21" ht="12.5">
      <c r="U2967" s="32"/>
    </row>
    <row r="2968" spans="21:21" ht="12.5">
      <c r="U2968" s="32"/>
    </row>
    <row r="2969" spans="21:21" ht="12.5">
      <c r="U2969" s="32"/>
    </row>
    <row r="2970" spans="21:21" ht="12.5">
      <c r="U2970" s="32"/>
    </row>
    <row r="2971" spans="21:21" ht="12.5">
      <c r="U2971" s="32"/>
    </row>
    <row r="2972" spans="21:21" ht="12.5">
      <c r="U2972" s="32"/>
    </row>
    <row r="2973" spans="21:21" ht="12.5">
      <c r="U2973" s="32"/>
    </row>
    <row r="2974" spans="21:21" ht="12.5">
      <c r="U2974" s="32"/>
    </row>
    <row r="2975" spans="21:21" ht="12.5">
      <c r="U2975" s="32"/>
    </row>
    <row r="2976" spans="21:21" ht="12.5">
      <c r="U2976" s="32"/>
    </row>
    <row r="2977" spans="21:21" ht="12.5">
      <c r="U2977" s="32"/>
    </row>
    <row r="2978" spans="21:21" ht="12.5">
      <c r="U2978" s="32"/>
    </row>
    <row r="2979" spans="21:21" ht="12.5">
      <c r="U2979" s="32"/>
    </row>
    <row r="2980" spans="21:21" ht="12.5">
      <c r="U2980" s="32"/>
    </row>
    <row r="2981" spans="21:21" ht="12.5">
      <c r="U2981" s="32"/>
    </row>
    <row r="2982" spans="21:21" ht="12.5">
      <c r="U2982" s="32"/>
    </row>
    <row r="2983" spans="21:21" ht="12.5">
      <c r="U2983" s="32"/>
    </row>
    <row r="2984" spans="21:21" ht="12.5">
      <c r="U2984" s="32"/>
    </row>
    <row r="2985" spans="21:21" ht="12.5">
      <c r="U2985" s="32"/>
    </row>
    <row r="2986" spans="21:21" ht="12.5">
      <c r="U2986" s="32"/>
    </row>
    <row r="2987" spans="21:21" ht="12.5">
      <c r="U2987" s="32"/>
    </row>
    <row r="2988" spans="21:21" ht="12.5">
      <c r="U2988" s="32"/>
    </row>
    <row r="2989" spans="21:21" ht="12.5">
      <c r="U2989" s="32"/>
    </row>
    <row r="2990" spans="21:21" ht="12.5">
      <c r="U2990" s="32"/>
    </row>
    <row r="2991" spans="21:21" ht="12.5">
      <c r="U2991" s="32"/>
    </row>
    <row r="2992" spans="21:21" ht="12.5">
      <c r="U2992" s="32"/>
    </row>
    <row r="2993" spans="21:21" ht="12.5">
      <c r="U2993" s="32"/>
    </row>
    <row r="2994" spans="21:21" ht="12.5">
      <c r="U2994" s="32"/>
    </row>
    <row r="2995" spans="21:21" ht="12.5">
      <c r="U2995" s="32"/>
    </row>
    <row r="2996" spans="21:21" ht="12.5">
      <c r="U2996" s="32"/>
    </row>
    <row r="2997" spans="21:21" ht="12.5">
      <c r="U2997" s="32"/>
    </row>
    <row r="2998" spans="21:21" ht="12.5">
      <c r="U2998" s="32"/>
    </row>
    <row r="2999" spans="21:21" ht="12.5">
      <c r="U2999" s="32"/>
    </row>
    <row r="3000" spans="21:21" ht="12.5">
      <c r="U3000" s="32"/>
    </row>
    <row r="3001" spans="21:21" ht="12.5">
      <c r="U3001" s="32"/>
    </row>
    <row r="3002" spans="21:21" ht="12.5">
      <c r="U3002" s="32"/>
    </row>
    <row r="3003" spans="21:21" ht="12.5">
      <c r="U3003" s="32"/>
    </row>
    <row r="3004" spans="21:21" ht="12.5">
      <c r="U3004" s="32"/>
    </row>
    <row r="3005" spans="21:21" ht="12.5">
      <c r="U3005" s="32"/>
    </row>
    <row r="3006" spans="21:21" ht="12.5">
      <c r="U3006" s="32"/>
    </row>
    <row r="3007" spans="21:21" ht="12.5">
      <c r="U3007" s="32"/>
    </row>
    <row r="3008" spans="21:21" ht="12.5">
      <c r="U3008" s="32"/>
    </row>
    <row r="3009" spans="21:21" ht="12.5">
      <c r="U3009" s="32"/>
    </row>
    <row r="3010" spans="21:21" ht="12.5">
      <c r="U3010" s="32"/>
    </row>
    <row r="3011" spans="21:21" ht="12.5">
      <c r="U3011" s="32"/>
    </row>
    <row r="3012" spans="21:21" ht="12.5">
      <c r="U3012" s="32"/>
    </row>
    <row r="3013" spans="21:21" ht="12.5">
      <c r="U3013" s="32"/>
    </row>
    <row r="3014" spans="21:21" ht="12.5">
      <c r="U3014" s="32"/>
    </row>
    <row r="3015" spans="21:21" ht="12.5">
      <c r="U3015" s="32"/>
    </row>
    <row r="3016" spans="21:21" ht="12.5">
      <c r="U3016" s="32"/>
    </row>
    <row r="3017" spans="21:21" ht="12.5">
      <c r="U3017" s="32"/>
    </row>
    <row r="3018" spans="21:21" ht="12.5">
      <c r="U3018" s="32"/>
    </row>
    <row r="3019" spans="21:21" ht="12.5">
      <c r="U3019" s="32"/>
    </row>
    <row r="3020" spans="21:21" ht="12.5">
      <c r="U3020" s="32"/>
    </row>
    <row r="3021" spans="21:21" ht="12.5">
      <c r="U3021" s="32"/>
    </row>
    <row r="3022" spans="21:21" ht="12.5">
      <c r="U3022" s="32"/>
    </row>
    <row r="3023" spans="21:21" ht="12.5">
      <c r="U3023" s="32"/>
    </row>
    <row r="3024" spans="21:21" ht="12.5">
      <c r="U3024" s="32"/>
    </row>
    <row r="3025" spans="21:21" ht="12.5">
      <c r="U3025" s="32"/>
    </row>
    <row r="3026" spans="21:21" ht="12.5">
      <c r="U3026" s="32"/>
    </row>
    <row r="3027" spans="21:21" ht="12.5">
      <c r="U3027" s="32"/>
    </row>
    <row r="3028" spans="21:21" ht="12.5">
      <c r="U3028" s="32"/>
    </row>
    <row r="3029" spans="21:21" ht="12.5">
      <c r="U3029" s="32"/>
    </row>
    <row r="3030" spans="21:21" ht="12.5">
      <c r="U3030" s="32"/>
    </row>
    <row r="3031" spans="21:21" ht="12.5">
      <c r="U3031" s="32"/>
    </row>
    <row r="3032" spans="21:21" ht="12.5">
      <c r="U3032" s="32"/>
    </row>
    <row r="3033" spans="21:21" ht="12.5">
      <c r="U3033" s="32"/>
    </row>
    <row r="3034" spans="21:21" ht="12.5">
      <c r="U3034" s="32"/>
    </row>
    <row r="3035" spans="21:21" ht="12.5">
      <c r="U3035" s="32"/>
    </row>
    <row r="3036" spans="21:21" ht="12.5">
      <c r="U3036" s="32"/>
    </row>
    <row r="3037" spans="21:21" ht="12.5">
      <c r="U3037" s="32"/>
    </row>
    <row r="3038" spans="21:21" ht="12.5">
      <c r="U3038" s="32"/>
    </row>
    <row r="3039" spans="21:21" ht="12.5">
      <c r="U3039" s="32"/>
    </row>
    <row r="3040" spans="21:21" ht="12.5">
      <c r="U3040" s="32"/>
    </row>
    <row r="3041" spans="21:21" ht="12.5">
      <c r="U3041" s="32"/>
    </row>
    <row r="3042" spans="21:21" ht="12.5">
      <c r="U3042" s="32"/>
    </row>
    <row r="3043" spans="21:21" ht="12.5">
      <c r="U3043" s="32"/>
    </row>
    <row r="3044" spans="21:21" ht="12.5">
      <c r="U3044" s="32"/>
    </row>
    <row r="3045" spans="21:21" ht="12.5">
      <c r="U3045" s="32"/>
    </row>
    <row r="3046" spans="21:21" ht="12.5">
      <c r="U3046" s="32"/>
    </row>
    <row r="3047" spans="21:21" ht="12.5">
      <c r="U3047" s="32"/>
    </row>
    <row r="3048" spans="21:21" ht="12.5">
      <c r="U3048" s="32"/>
    </row>
    <row r="3049" spans="21:21" ht="12.5">
      <c r="U3049" s="32"/>
    </row>
    <row r="3050" spans="21:21" ht="12.5">
      <c r="U3050" s="32"/>
    </row>
    <row r="3051" spans="21:21" ht="12.5">
      <c r="U3051" s="32"/>
    </row>
    <row r="3052" spans="21:21" ht="12.5">
      <c r="U3052" s="32"/>
    </row>
    <row r="3053" spans="21:21" ht="12.5">
      <c r="U3053" s="32"/>
    </row>
    <row r="3054" spans="21:21" ht="12.5">
      <c r="U3054" s="32"/>
    </row>
    <row r="3055" spans="21:21" ht="12.5">
      <c r="U3055" s="32"/>
    </row>
    <row r="3056" spans="21:21" ht="12.5">
      <c r="U3056" s="32"/>
    </row>
    <row r="3057" spans="21:21" ht="12.5">
      <c r="U3057" s="32"/>
    </row>
    <row r="3058" spans="21:21" ht="12.5">
      <c r="U3058" s="32"/>
    </row>
    <row r="3059" spans="21:21" ht="12.5">
      <c r="U3059" s="32"/>
    </row>
    <row r="3060" spans="21:21" ht="12.5">
      <c r="U3060" s="32"/>
    </row>
    <row r="3061" spans="21:21" ht="12.5">
      <c r="U3061" s="32"/>
    </row>
    <row r="3062" spans="21:21" ht="12.5">
      <c r="U3062" s="32"/>
    </row>
    <row r="3063" spans="21:21" ht="12.5">
      <c r="U3063" s="32"/>
    </row>
    <row r="3064" spans="21:21" ht="12.5">
      <c r="U3064" s="32"/>
    </row>
    <row r="3065" spans="21:21" ht="12.5">
      <c r="U3065" s="32"/>
    </row>
    <row r="3066" spans="21:21" ht="12.5">
      <c r="U3066" s="32"/>
    </row>
    <row r="3067" spans="21:21" ht="12.5">
      <c r="U3067" s="32"/>
    </row>
    <row r="3068" spans="21:21" ht="12.5">
      <c r="U3068" s="32"/>
    </row>
    <row r="3069" spans="21:21" ht="12.5">
      <c r="U3069" s="32"/>
    </row>
    <row r="3070" spans="21:21" ht="12.5">
      <c r="U3070" s="32"/>
    </row>
    <row r="3071" spans="21:21" ht="12.5">
      <c r="U3071" s="32"/>
    </row>
    <row r="3072" spans="21:21" ht="12.5">
      <c r="U3072" s="32"/>
    </row>
    <row r="3073" spans="21:21" ht="12.5">
      <c r="U3073" s="32"/>
    </row>
    <row r="3074" spans="21:21" ht="12.5">
      <c r="U3074" s="32"/>
    </row>
    <row r="3075" spans="21:21" ht="12.5">
      <c r="U3075" s="32"/>
    </row>
    <row r="3076" spans="21:21" ht="12.5">
      <c r="U3076" s="32"/>
    </row>
    <row r="3077" spans="21:21" ht="12.5">
      <c r="U3077" s="32"/>
    </row>
    <row r="3078" spans="21:21" ht="12.5">
      <c r="U3078" s="32"/>
    </row>
    <row r="3079" spans="21:21" ht="12.5">
      <c r="U3079" s="32"/>
    </row>
    <row r="3080" spans="21:21" ht="12.5">
      <c r="U3080" s="32"/>
    </row>
    <row r="3081" spans="21:21" ht="12.5">
      <c r="U3081" s="32"/>
    </row>
    <row r="3082" spans="21:21" ht="12.5">
      <c r="U3082" s="32"/>
    </row>
    <row r="3083" spans="21:21" ht="12.5">
      <c r="U3083" s="32"/>
    </row>
    <row r="3084" spans="21:21" ht="12.5">
      <c r="U3084" s="32"/>
    </row>
    <row r="3085" spans="21:21" ht="12.5">
      <c r="U3085" s="32"/>
    </row>
    <row r="3086" spans="21:21" ht="12.5">
      <c r="U3086" s="32"/>
    </row>
    <row r="3087" spans="21:21" ht="12.5">
      <c r="U3087" s="32"/>
    </row>
    <row r="3088" spans="21:21" ht="12.5">
      <c r="U3088" s="32"/>
    </row>
    <row r="3089" spans="21:21" ht="12.5">
      <c r="U3089" s="32"/>
    </row>
    <row r="3090" spans="21:21" ht="12.5">
      <c r="U3090" s="32"/>
    </row>
    <row r="3091" spans="21:21" ht="12.5">
      <c r="U3091" s="32"/>
    </row>
    <row r="3092" spans="21:21" ht="12.5">
      <c r="U3092" s="32"/>
    </row>
    <row r="3093" spans="21:21" ht="12.5">
      <c r="U3093" s="32"/>
    </row>
    <row r="3094" spans="21:21" ht="12.5">
      <c r="U3094" s="32"/>
    </row>
    <row r="3095" spans="21:21" ht="12.5">
      <c r="U3095" s="32"/>
    </row>
    <row r="3096" spans="21:21" ht="12.5">
      <c r="U3096" s="32"/>
    </row>
    <row r="3097" spans="21:21" ht="12.5">
      <c r="U3097" s="32"/>
    </row>
    <row r="3098" spans="21:21" ht="12.5">
      <c r="U3098" s="32"/>
    </row>
    <row r="3099" spans="21:21" ht="12.5">
      <c r="U3099" s="32"/>
    </row>
    <row r="3100" spans="21:21" ht="12.5">
      <c r="U3100" s="32"/>
    </row>
    <row r="3101" spans="21:21" ht="12.5">
      <c r="U3101" s="32"/>
    </row>
    <row r="3102" spans="21:21" ht="12.5">
      <c r="U3102" s="32"/>
    </row>
    <row r="3103" spans="21:21" ht="12.5">
      <c r="U3103" s="32"/>
    </row>
    <row r="3104" spans="21:21" ht="12.5">
      <c r="U3104" s="32"/>
    </row>
    <row r="3105" spans="21:21" ht="12.5">
      <c r="U3105" s="32"/>
    </row>
    <row r="3106" spans="21:21" ht="12.5">
      <c r="U3106" s="32"/>
    </row>
    <row r="3107" spans="21:21" ht="12.5">
      <c r="U3107" s="32"/>
    </row>
    <row r="3108" spans="21:21" ht="12.5">
      <c r="U3108" s="32"/>
    </row>
    <row r="3109" spans="21:21" ht="12.5">
      <c r="U3109" s="32"/>
    </row>
    <row r="3110" spans="21:21" ht="12.5">
      <c r="U3110" s="32"/>
    </row>
    <row r="3111" spans="21:21" ht="12.5">
      <c r="U3111" s="32"/>
    </row>
    <row r="3112" spans="21:21" ht="12.5">
      <c r="U3112" s="32"/>
    </row>
    <row r="3113" spans="21:21" ht="12.5">
      <c r="U3113" s="32"/>
    </row>
    <row r="3114" spans="21:21" ht="12.5">
      <c r="U3114" s="32"/>
    </row>
    <row r="3115" spans="21:21" ht="12.5">
      <c r="U3115" s="32"/>
    </row>
    <row r="3116" spans="21:21" ht="12.5">
      <c r="U3116" s="32"/>
    </row>
    <row r="3117" spans="21:21" ht="12.5">
      <c r="U3117" s="32"/>
    </row>
    <row r="3118" spans="21:21" ht="12.5">
      <c r="U3118" s="32"/>
    </row>
    <row r="3119" spans="21:21" ht="12.5">
      <c r="U3119" s="32"/>
    </row>
    <row r="3120" spans="21:21" ht="12.5">
      <c r="U3120" s="32"/>
    </row>
    <row r="3121" spans="21:21" ht="12.5">
      <c r="U3121" s="32"/>
    </row>
    <row r="3122" spans="21:21" ht="12.5">
      <c r="U3122" s="32"/>
    </row>
    <row r="3123" spans="21:21" ht="12.5">
      <c r="U3123" s="32"/>
    </row>
    <row r="3124" spans="21:21" ht="12.5">
      <c r="U3124" s="32"/>
    </row>
    <row r="3125" spans="21:21" ht="12.5">
      <c r="U3125" s="32"/>
    </row>
    <row r="3126" spans="21:21" ht="12.5">
      <c r="U3126" s="32"/>
    </row>
    <row r="3127" spans="21:21" ht="12.5">
      <c r="U3127" s="32"/>
    </row>
    <row r="3128" spans="21:21" ht="12.5">
      <c r="U3128" s="32"/>
    </row>
    <row r="3129" spans="21:21" ht="12.5">
      <c r="U3129" s="32"/>
    </row>
    <row r="3130" spans="21:21" ht="12.5">
      <c r="U3130" s="32"/>
    </row>
    <row r="3131" spans="21:21" ht="12.5">
      <c r="U3131" s="32"/>
    </row>
    <row r="3132" spans="21:21" ht="12.5">
      <c r="U3132" s="32"/>
    </row>
    <row r="3133" spans="21:21" ht="12.5">
      <c r="U3133" s="32"/>
    </row>
    <row r="3134" spans="21:21" ht="12.5">
      <c r="U3134" s="32"/>
    </row>
    <row r="3135" spans="21:21" ht="12.5">
      <c r="U3135" s="32"/>
    </row>
    <row r="3136" spans="21:21" ht="12.5">
      <c r="U3136" s="32"/>
    </row>
    <row r="3137" spans="21:21" ht="12.5">
      <c r="U3137" s="32"/>
    </row>
    <row r="3138" spans="21:21" ht="12.5">
      <c r="U3138" s="32"/>
    </row>
    <row r="3139" spans="21:21" ht="12.5">
      <c r="U3139" s="32"/>
    </row>
    <row r="3140" spans="21:21" ht="12.5">
      <c r="U3140" s="32"/>
    </row>
    <row r="3141" spans="21:21" ht="12.5">
      <c r="U3141" s="32"/>
    </row>
    <row r="3142" spans="21:21" ht="12.5">
      <c r="U3142" s="32"/>
    </row>
    <row r="3143" spans="21:21" ht="12.5">
      <c r="U3143" s="32"/>
    </row>
    <row r="3144" spans="21:21" ht="12.5">
      <c r="U3144" s="32"/>
    </row>
    <row r="3145" spans="21:21" ht="12.5">
      <c r="U3145" s="32"/>
    </row>
    <row r="3146" spans="21:21" ht="12.5">
      <c r="U3146" s="32"/>
    </row>
    <row r="3147" spans="21:21" ht="12.5">
      <c r="U3147" s="32"/>
    </row>
    <row r="3148" spans="21:21" ht="12.5">
      <c r="U3148" s="32"/>
    </row>
    <row r="3149" spans="21:21" ht="12.5">
      <c r="U3149" s="32"/>
    </row>
    <row r="3150" spans="21:21" ht="12.5">
      <c r="U3150" s="32"/>
    </row>
    <row r="3151" spans="21:21" ht="12.5">
      <c r="U3151" s="32"/>
    </row>
    <row r="3152" spans="21:21" ht="12.5">
      <c r="U3152" s="32"/>
    </row>
    <row r="3153" spans="21:21" ht="12.5">
      <c r="U3153" s="32"/>
    </row>
    <row r="3154" spans="21:21" ht="12.5">
      <c r="U3154" s="32"/>
    </row>
    <row r="3155" spans="21:21" ht="12.5">
      <c r="U3155" s="32"/>
    </row>
    <row r="3156" spans="21:21" ht="12.5">
      <c r="U3156" s="32"/>
    </row>
    <row r="3157" spans="21:21" ht="12.5">
      <c r="U3157" s="32"/>
    </row>
    <row r="3158" spans="21:21" ht="12.5">
      <c r="U3158" s="32"/>
    </row>
    <row r="3159" spans="21:21" ht="12.5">
      <c r="U3159" s="32"/>
    </row>
    <row r="3160" spans="21:21" ht="12.5">
      <c r="U3160" s="32"/>
    </row>
    <row r="3161" spans="21:21" ht="12.5">
      <c r="U3161" s="32"/>
    </row>
    <row r="3162" spans="21:21" ht="12.5">
      <c r="U3162" s="32"/>
    </row>
    <row r="3163" spans="21:21" ht="12.5">
      <c r="U3163" s="32"/>
    </row>
    <row r="3164" spans="21:21" ht="12.5">
      <c r="U3164" s="32"/>
    </row>
    <row r="3165" spans="21:21" ht="12.5">
      <c r="U3165" s="32"/>
    </row>
    <row r="3166" spans="21:21" ht="12.5">
      <c r="U3166" s="32"/>
    </row>
    <row r="3167" spans="21:21" ht="12.5">
      <c r="U3167" s="32"/>
    </row>
    <row r="3168" spans="21:21" ht="12.5">
      <c r="U3168" s="32"/>
    </row>
    <row r="3169" spans="21:21" ht="12.5">
      <c r="U3169" s="32"/>
    </row>
    <row r="3170" spans="21:21" ht="12.5">
      <c r="U3170" s="32"/>
    </row>
    <row r="3171" spans="21:21" ht="12.5">
      <c r="U3171" s="32"/>
    </row>
    <row r="3172" spans="21:21" ht="12.5">
      <c r="U3172" s="32"/>
    </row>
    <row r="3173" spans="21:21" ht="12.5">
      <c r="U3173" s="32"/>
    </row>
    <row r="3174" spans="21:21" ht="12.5">
      <c r="U3174" s="32"/>
    </row>
    <row r="3175" spans="21:21" ht="12.5">
      <c r="U3175" s="32"/>
    </row>
    <row r="3176" spans="21:21" ht="12.5">
      <c r="U3176" s="32"/>
    </row>
    <row r="3177" spans="21:21" ht="12.5">
      <c r="U3177" s="32"/>
    </row>
    <row r="3178" spans="21:21" ht="12.5">
      <c r="U3178" s="32"/>
    </row>
    <row r="3179" spans="21:21" ht="12.5">
      <c r="U3179" s="32"/>
    </row>
    <row r="3180" spans="21:21" ht="12.5">
      <c r="U3180" s="32"/>
    </row>
    <row r="3181" spans="21:21" ht="12.5">
      <c r="U3181" s="32"/>
    </row>
    <row r="3182" spans="21:21" ht="12.5">
      <c r="U3182" s="32"/>
    </row>
    <row r="3183" spans="21:21" ht="12.5">
      <c r="U3183" s="32"/>
    </row>
    <row r="3184" spans="21:21" ht="12.5">
      <c r="U3184" s="32"/>
    </row>
    <row r="3185" spans="21:21" ht="12.5">
      <c r="U3185" s="32"/>
    </row>
    <row r="3186" spans="21:21" ht="12.5">
      <c r="U3186" s="32"/>
    </row>
    <row r="3187" spans="21:21" ht="12.5">
      <c r="U3187" s="32"/>
    </row>
    <row r="3188" spans="21:21" ht="12.5">
      <c r="U3188" s="32"/>
    </row>
    <row r="3189" spans="21:21" ht="12.5">
      <c r="U3189" s="32"/>
    </row>
    <row r="3190" spans="21:21" ht="12.5">
      <c r="U3190" s="32"/>
    </row>
    <row r="3191" spans="21:21" ht="12.5">
      <c r="U3191" s="32"/>
    </row>
    <row r="3192" spans="21:21" ht="12.5">
      <c r="U3192" s="32"/>
    </row>
    <row r="3193" spans="21:21" ht="12.5">
      <c r="U3193" s="32"/>
    </row>
    <row r="3194" spans="21:21" ht="12.5">
      <c r="U3194" s="32"/>
    </row>
    <row r="3195" spans="21:21" ht="12.5">
      <c r="U3195" s="32"/>
    </row>
    <row r="3196" spans="21:21" ht="12.5">
      <c r="U3196" s="32"/>
    </row>
    <row r="3197" spans="21:21" ht="12.5">
      <c r="U3197" s="32"/>
    </row>
    <row r="3198" spans="21:21" ht="12.5">
      <c r="U3198" s="32"/>
    </row>
    <row r="3199" spans="21:21" ht="12.5">
      <c r="U3199" s="32"/>
    </row>
    <row r="3200" spans="21:21" ht="12.5">
      <c r="U3200" s="32"/>
    </row>
    <row r="3201" spans="21:21" ht="12.5">
      <c r="U3201" s="32"/>
    </row>
    <row r="3202" spans="21:21" ht="12.5">
      <c r="U3202" s="32"/>
    </row>
    <row r="3203" spans="21:21" ht="12.5">
      <c r="U3203" s="32"/>
    </row>
    <row r="3204" spans="21:21" ht="12.5">
      <c r="U3204" s="32"/>
    </row>
    <row r="3205" spans="21:21" ht="12.5">
      <c r="U3205" s="32"/>
    </row>
    <row r="3206" spans="21:21" ht="12.5">
      <c r="U3206" s="32"/>
    </row>
    <row r="3207" spans="21:21" ht="12.5">
      <c r="U3207" s="32"/>
    </row>
    <row r="3208" spans="21:21" ht="12.5">
      <c r="U3208" s="32"/>
    </row>
    <row r="3209" spans="21:21" ht="12.5">
      <c r="U3209" s="32"/>
    </row>
    <row r="3210" spans="21:21" ht="12.5">
      <c r="U3210" s="32"/>
    </row>
    <row r="3211" spans="21:21" ht="12.5">
      <c r="U3211" s="32"/>
    </row>
    <row r="3212" spans="21:21" ht="12.5">
      <c r="U3212" s="32"/>
    </row>
    <row r="3213" spans="21:21" ht="12.5">
      <c r="U3213" s="32"/>
    </row>
    <row r="3214" spans="21:21" ht="12.5">
      <c r="U3214" s="32"/>
    </row>
    <row r="3215" spans="21:21" ht="12.5">
      <c r="U3215" s="32"/>
    </row>
    <row r="3216" spans="21:21" ht="12.5">
      <c r="U3216" s="32"/>
    </row>
    <row r="3217" spans="21:21" ht="12.5">
      <c r="U3217" s="32"/>
    </row>
    <row r="3218" spans="21:21" ht="12.5">
      <c r="U3218" s="32"/>
    </row>
    <row r="3219" spans="21:21" ht="12.5">
      <c r="U3219" s="32"/>
    </row>
    <row r="3220" spans="21:21" ht="12.5">
      <c r="U3220" s="32"/>
    </row>
    <row r="3221" spans="21:21" ht="12.5">
      <c r="U3221" s="32"/>
    </row>
    <row r="3222" spans="21:21" ht="12.5">
      <c r="U3222" s="32"/>
    </row>
    <row r="3223" spans="21:21" ht="12.5">
      <c r="U3223" s="32"/>
    </row>
    <row r="3224" spans="21:21" ht="12.5">
      <c r="U3224" s="32"/>
    </row>
    <row r="3225" spans="21:21" ht="12.5">
      <c r="U3225" s="32"/>
    </row>
    <row r="3226" spans="21:21" ht="12.5">
      <c r="U3226" s="32"/>
    </row>
    <row r="3227" spans="21:21" ht="12.5">
      <c r="U3227" s="32"/>
    </row>
    <row r="3228" spans="21:21" ht="12.5">
      <c r="U3228" s="32"/>
    </row>
    <row r="3229" spans="21:21" ht="12.5">
      <c r="U3229" s="32"/>
    </row>
    <row r="3230" spans="21:21" ht="12.5">
      <c r="U3230" s="32"/>
    </row>
    <row r="3231" spans="21:21" ht="12.5">
      <c r="U3231" s="32"/>
    </row>
    <row r="3232" spans="21:21" ht="12.5">
      <c r="U3232" s="32"/>
    </row>
    <row r="3233" spans="21:21" ht="12.5">
      <c r="U3233" s="32"/>
    </row>
    <row r="3234" spans="21:21" ht="12.5">
      <c r="U3234" s="32"/>
    </row>
    <row r="3235" spans="21:21" ht="12.5">
      <c r="U3235" s="32"/>
    </row>
    <row r="3236" spans="21:21" ht="12.5">
      <c r="U3236" s="32"/>
    </row>
    <row r="3237" spans="21:21" ht="12.5">
      <c r="U3237" s="32"/>
    </row>
    <row r="3238" spans="21:21" ht="12.5">
      <c r="U3238" s="32"/>
    </row>
    <row r="3239" spans="21:21" ht="12.5">
      <c r="U3239" s="32"/>
    </row>
    <row r="3240" spans="21:21" ht="12.5">
      <c r="U3240" s="32"/>
    </row>
    <row r="3241" spans="21:21" ht="12.5">
      <c r="U3241" s="32"/>
    </row>
    <row r="3242" spans="21:21" ht="12.5">
      <c r="U3242" s="32"/>
    </row>
    <row r="3243" spans="21:21" ht="12.5">
      <c r="U3243" s="32"/>
    </row>
    <row r="3244" spans="21:21" ht="12.5">
      <c r="U3244" s="32"/>
    </row>
    <row r="3245" spans="21:21" ht="12.5">
      <c r="U3245" s="32"/>
    </row>
    <row r="3246" spans="21:21" ht="12.5">
      <c r="U3246" s="32"/>
    </row>
    <row r="3247" spans="21:21" ht="12.5">
      <c r="U3247" s="32"/>
    </row>
    <row r="3248" spans="21:21" ht="12.5">
      <c r="U3248" s="32"/>
    </row>
    <row r="3249" spans="21:21" ht="12.5">
      <c r="U3249" s="32"/>
    </row>
    <row r="3250" spans="21:21" ht="12.5">
      <c r="U3250" s="32"/>
    </row>
    <row r="3251" spans="21:21" ht="12.5">
      <c r="U3251" s="32"/>
    </row>
    <row r="3252" spans="21:21" ht="12.5">
      <c r="U3252" s="32"/>
    </row>
    <row r="3253" spans="21:21" ht="12.5">
      <c r="U3253" s="32"/>
    </row>
    <row r="3254" spans="21:21" ht="12.5">
      <c r="U3254" s="32"/>
    </row>
    <row r="3255" spans="21:21" ht="12.5">
      <c r="U3255" s="32"/>
    </row>
    <row r="3256" spans="21:21" ht="12.5">
      <c r="U3256" s="32"/>
    </row>
    <row r="3257" spans="21:21" ht="12.5">
      <c r="U3257" s="32"/>
    </row>
    <row r="3258" spans="21:21" ht="12.5">
      <c r="U3258" s="32"/>
    </row>
    <row r="3259" spans="21:21" ht="12.5">
      <c r="U3259" s="32"/>
    </row>
    <row r="3260" spans="21:21" ht="12.5">
      <c r="U3260" s="32"/>
    </row>
    <row r="3261" spans="21:21" ht="12.5">
      <c r="U3261" s="32"/>
    </row>
    <row r="3262" spans="21:21" ht="12.5">
      <c r="U3262" s="32"/>
    </row>
    <row r="3263" spans="21:21" ht="12.5">
      <c r="U3263" s="32"/>
    </row>
    <row r="3264" spans="21:21" ht="12.5">
      <c r="U3264" s="32"/>
    </row>
    <row r="3265" spans="21:21" ht="12.5">
      <c r="U3265" s="32"/>
    </row>
    <row r="3266" spans="21:21" ht="12.5">
      <c r="U3266" s="32"/>
    </row>
    <row r="3267" spans="21:21" ht="12.5">
      <c r="U3267" s="32"/>
    </row>
    <row r="3268" spans="21:21" ht="12.5">
      <c r="U3268" s="32"/>
    </row>
    <row r="3269" spans="21:21" ht="12.5">
      <c r="U3269" s="32"/>
    </row>
    <row r="3270" spans="21:21" ht="12.5">
      <c r="U3270" s="32"/>
    </row>
    <row r="3271" spans="21:21" ht="12.5">
      <c r="U3271" s="32"/>
    </row>
    <row r="3272" spans="21:21" ht="12.5">
      <c r="U3272" s="32"/>
    </row>
    <row r="3273" spans="21:21" ht="12.5">
      <c r="U3273" s="32"/>
    </row>
    <row r="3274" spans="21:21" ht="12.5">
      <c r="U3274" s="32"/>
    </row>
    <row r="3275" spans="21:21" ht="12.5">
      <c r="U3275" s="32"/>
    </row>
    <row r="3276" spans="21:21" ht="12.5">
      <c r="U3276" s="32"/>
    </row>
    <row r="3277" spans="21:21" ht="12.5">
      <c r="U3277" s="32"/>
    </row>
    <row r="3278" spans="21:21" ht="12.5">
      <c r="U3278" s="32"/>
    </row>
    <row r="3279" spans="21:21" ht="12.5">
      <c r="U3279" s="32"/>
    </row>
    <row r="3280" spans="21:21" ht="12.5">
      <c r="U3280" s="32"/>
    </row>
    <row r="3281" spans="21:21" ht="12.5">
      <c r="U3281" s="32"/>
    </row>
    <row r="3282" spans="21:21" ht="12.5">
      <c r="U3282" s="32"/>
    </row>
    <row r="3283" spans="21:21" ht="12.5">
      <c r="U3283" s="32"/>
    </row>
    <row r="3284" spans="21:21" ht="12.5">
      <c r="U3284" s="32"/>
    </row>
    <row r="3285" spans="21:21" ht="12.5">
      <c r="U3285" s="32"/>
    </row>
    <row r="3286" spans="21:21" ht="12.5">
      <c r="U3286" s="32"/>
    </row>
    <row r="3287" spans="21:21" ht="12.5">
      <c r="U3287" s="32"/>
    </row>
    <row r="3288" spans="21:21" ht="12.5">
      <c r="U3288" s="32"/>
    </row>
    <row r="3289" spans="21:21" ht="12.5">
      <c r="U3289" s="32"/>
    </row>
    <row r="3290" spans="21:21" ht="12.5">
      <c r="U3290" s="32"/>
    </row>
    <row r="3291" spans="21:21" ht="12.5">
      <c r="U3291" s="32"/>
    </row>
    <row r="3292" spans="21:21" ht="12.5">
      <c r="U3292" s="32"/>
    </row>
    <row r="3293" spans="21:21" ht="12.5">
      <c r="U3293" s="32"/>
    </row>
    <row r="3294" spans="21:21" ht="12.5">
      <c r="U3294" s="32"/>
    </row>
    <row r="3295" spans="21:21" ht="12.5">
      <c r="U3295" s="32"/>
    </row>
    <row r="3296" spans="21:21" ht="12.5">
      <c r="U3296" s="32"/>
    </row>
    <row r="3297" spans="21:21" ht="12.5">
      <c r="U3297" s="32"/>
    </row>
    <row r="3298" spans="21:21" ht="12.5">
      <c r="U3298" s="32"/>
    </row>
    <row r="3299" spans="21:21" ht="12.5">
      <c r="U3299" s="32"/>
    </row>
    <row r="3300" spans="21:21" ht="12.5">
      <c r="U3300" s="32"/>
    </row>
    <row r="3301" spans="21:21" ht="12.5">
      <c r="U3301" s="32"/>
    </row>
    <row r="3302" spans="21:21" ht="12.5">
      <c r="U3302" s="32"/>
    </row>
    <row r="3303" spans="21:21" ht="12.5">
      <c r="U3303" s="32"/>
    </row>
    <row r="3304" spans="21:21" ht="12.5">
      <c r="U3304" s="32"/>
    </row>
    <row r="3305" spans="21:21" ht="12.5">
      <c r="U3305" s="32"/>
    </row>
    <row r="3306" spans="21:21" ht="12.5">
      <c r="U3306" s="32"/>
    </row>
    <row r="3307" spans="21:21" ht="12.5">
      <c r="U3307" s="32"/>
    </row>
    <row r="3308" spans="21:21" ht="12.5">
      <c r="U3308" s="32"/>
    </row>
    <row r="3309" spans="21:21" ht="12.5">
      <c r="U3309" s="32"/>
    </row>
    <row r="3310" spans="21:21" ht="12.5">
      <c r="U3310" s="32"/>
    </row>
    <row r="3311" spans="21:21" ht="12.5">
      <c r="U3311" s="32"/>
    </row>
    <row r="3312" spans="21:21" ht="12.5">
      <c r="U3312" s="32"/>
    </row>
    <row r="3313" spans="21:21" ht="12.5">
      <c r="U3313" s="32"/>
    </row>
    <row r="3314" spans="21:21" ht="12.5">
      <c r="U3314" s="32"/>
    </row>
    <row r="3315" spans="21:21" ht="12.5">
      <c r="U3315" s="32"/>
    </row>
    <row r="3316" spans="21:21" ht="12.5">
      <c r="U3316" s="32"/>
    </row>
    <row r="3317" spans="21:21" ht="12.5">
      <c r="U3317" s="32"/>
    </row>
    <row r="3318" spans="21:21" ht="12.5">
      <c r="U3318" s="32"/>
    </row>
    <row r="3319" spans="21:21" ht="12.5">
      <c r="U3319" s="32"/>
    </row>
    <row r="3320" spans="21:21" ht="12.5">
      <c r="U3320" s="32"/>
    </row>
    <row r="3321" spans="21:21" ht="12.5">
      <c r="U3321" s="32"/>
    </row>
    <row r="3322" spans="21:21" ht="12.5">
      <c r="U3322" s="32"/>
    </row>
    <row r="3323" spans="21:21" ht="12.5">
      <c r="U3323" s="32"/>
    </row>
    <row r="3324" spans="21:21" ht="12.5">
      <c r="U3324" s="32"/>
    </row>
    <row r="3325" spans="21:21" ht="12.5">
      <c r="U3325" s="32"/>
    </row>
    <row r="3326" spans="21:21" ht="12.5">
      <c r="U3326" s="32"/>
    </row>
    <row r="3327" spans="21:21" ht="12.5">
      <c r="U3327" s="32"/>
    </row>
    <row r="3328" spans="21:21" ht="12.5">
      <c r="U3328" s="32"/>
    </row>
    <row r="3329" spans="21:21" ht="12.5">
      <c r="U3329" s="32"/>
    </row>
    <row r="3330" spans="21:21" ht="12.5">
      <c r="U3330" s="32"/>
    </row>
    <row r="3331" spans="21:21" ht="12.5">
      <c r="U3331" s="32"/>
    </row>
    <row r="3332" spans="21:21" ht="12.5">
      <c r="U3332" s="32"/>
    </row>
    <row r="3333" spans="21:21" ht="12.5">
      <c r="U3333" s="32"/>
    </row>
    <row r="3334" spans="21:21" ht="12.5">
      <c r="U3334" s="32"/>
    </row>
    <row r="3335" spans="21:21" ht="12.5">
      <c r="U3335" s="32"/>
    </row>
    <row r="3336" spans="21:21" ht="12.5">
      <c r="U3336" s="32"/>
    </row>
    <row r="3337" spans="21:21" ht="12.5">
      <c r="U3337" s="32"/>
    </row>
    <row r="3338" spans="21:21" ht="12.5">
      <c r="U3338" s="32"/>
    </row>
    <row r="3339" spans="21:21" ht="12.5">
      <c r="U3339" s="32"/>
    </row>
    <row r="3340" spans="21:21" ht="12.5">
      <c r="U3340" s="32"/>
    </row>
    <row r="3341" spans="21:21" ht="12.5">
      <c r="U3341" s="32"/>
    </row>
    <row r="3342" spans="21:21" ht="12.5">
      <c r="U3342" s="32"/>
    </row>
    <row r="3343" spans="21:21" ht="12.5">
      <c r="U3343" s="32"/>
    </row>
    <row r="3344" spans="21:21" ht="12.5">
      <c r="U3344" s="32"/>
    </row>
    <row r="3345" spans="21:21" ht="12.5">
      <c r="U3345" s="32"/>
    </row>
    <row r="3346" spans="21:21" ht="12.5">
      <c r="U3346" s="32"/>
    </row>
    <row r="3347" spans="21:21" ht="12.5">
      <c r="U3347" s="32"/>
    </row>
    <row r="3348" spans="21:21" ht="12.5">
      <c r="U3348" s="32"/>
    </row>
    <row r="3349" spans="21:21" ht="12.5">
      <c r="U3349" s="32"/>
    </row>
    <row r="3350" spans="21:21" ht="12.5">
      <c r="U3350" s="32"/>
    </row>
    <row r="3351" spans="21:21" ht="12.5">
      <c r="U3351" s="32"/>
    </row>
    <row r="3352" spans="21:21" ht="12.5">
      <c r="U3352" s="32"/>
    </row>
    <row r="3353" spans="21:21" ht="12.5">
      <c r="U3353" s="32"/>
    </row>
    <row r="3354" spans="21:21" ht="12.5">
      <c r="U3354" s="32"/>
    </row>
    <row r="3355" spans="21:21" ht="12.5">
      <c r="U3355" s="32"/>
    </row>
    <row r="3356" spans="21:21" ht="12.5">
      <c r="U3356" s="32"/>
    </row>
    <row r="3357" spans="21:21" ht="12.5">
      <c r="U3357" s="32"/>
    </row>
    <row r="3358" spans="21:21" ht="12.5">
      <c r="U3358" s="32"/>
    </row>
    <row r="3359" spans="21:21" ht="12.5">
      <c r="U3359" s="32"/>
    </row>
    <row r="3360" spans="21:21" ht="12.5">
      <c r="U3360" s="32"/>
    </row>
    <row r="3361" spans="21:21" ht="12.5">
      <c r="U3361" s="32"/>
    </row>
    <row r="3362" spans="21:21" ht="12.5">
      <c r="U3362" s="32"/>
    </row>
    <row r="3363" spans="21:21" ht="12.5">
      <c r="U3363" s="32"/>
    </row>
    <row r="3364" spans="21:21" ht="12.5">
      <c r="U3364" s="32"/>
    </row>
    <row r="3365" spans="21:21" ht="12.5">
      <c r="U3365" s="32"/>
    </row>
    <row r="3366" spans="21:21" ht="12.5">
      <c r="U3366" s="32"/>
    </row>
    <row r="3367" spans="21:21" ht="12.5">
      <c r="U3367" s="32"/>
    </row>
    <row r="3368" spans="21:21" ht="12.5">
      <c r="U3368" s="32"/>
    </row>
    <row r="3369" spans="21:21" ht="12.5">
      <c r="U3369" s="32"/>
    </row>
    <row r="3370" spans="21:21" ht="12.5">
      <c r="U3370" s="32"/>
    </row>
    <row r="3371" spans="21:21" ht="12.5">
      <c r="U3371" s="32"/>
    </row>
    <row r="3372" spans="21:21" ht="12.5">
      <c r="U3372" s="32"/>
    </row>
    <row r="3373" spans="21:21" ht="12.5">
      <c r="U3373" s="32"/>
    </row>
    <row r="3374" spans="21:21" ht="12.5">
      <c r="U3374" s="32"/>
    </row>
    <row r="3375" spans="21:21" ht="12.5">
      <c r="U3375" s="32"/>
    </row>
    <row r="3376" spans="21:21" ht="12.5">
      <c r="U3376" s="32"/>
    </row>
    <row r="3377" spans="21:21" ht="12.5">
      <c r="U3377" s="32"/>
    </row>
    <row r="3378" spans="21:21" ht="12.5">
      <c r="U3378" s="32"/>
    </row>
    <row r="3379" spans="21:21" ht="12.5">
      <c r="U3379" s="32"/>
    </row>
    <row r="3380" spans="21:21" ht="12.5">
      <c r="U3380" s="32"/>
    </row>
    <row r="3381" spans="21:21" ht="12.5">
      <c r="U3381" s="32"/>
    </row>
    <row r="3382" spans="21:21" ht="12.5">
      <c r="U3382" s="32"/>
    </row>
    <row r="3383" spans="21:21" ht="12.5">
      <c r="U3383" s="32"/>
    </row>
    <row r="3384" spans="21:21" ht="12.5">
      <c r="U3384" s="32"/>
    </row>
    <row r="3385" spans="21:21" ht="12.5">
      <c r="U3385" s="32"/>
    </row>
    <row r="3386" spans="21:21" ht="12.5">
      <c r="U3386" s="32"/>
    </row>
    <row r="3387" spans="21:21" ht="12.5">
      <c r="U3387" s="32"/>
    </row>
    <row r="3388" spans="21:21" ht="12.5">
      <c r="U3388" s="32"/>
    </row>
    <row r="3389" spans="21:21" ht="12.5">
      <c r="U3389" s="32"/>
    </row>
    <row r="3390" spans="21:21" ht="12.5">
      <c r="U3390" s="32"/>
    </row>
    <row r="3391" spans="21:21" ht="12.5">
      <c r="U3391" s="32"/>
    </row>
    <row r="3392" spans="21:21" ht="12.5">
      <c r="U3392" s="32"/>
    </row>
    <row r="3393" spans="21:21" ht="12.5">
      <c r="U3393" s="32"/>
    </row>
    <row r="3394" spans="21:21" ht="12.5">
      <c r="U3394" s="32"/>
    </row>
    <row r="3395" spans="21:21" ht="12.5">
      <c r="U3395" s="32"/>
    </row>
    <row r="3396" spans="21:21" ht="12.5">
      <c r="U3396" s="32"/>
    </row>
    <row r="3397" spans="21:21" ht="12.5">
      <c r="U3397" s="32"/>
    </row>
    <row r="3398" spans="21:21" ht="12.5">
      <c r="U3398" s="32"/>
    </row>
    <row r="3399" spans="21:21" ht="12.5">
      <c r="U3399" s="32"/>
    </row>
    <row r="3400" spans="21:21" ht="12.5">
      <c r="U3400" s="32"/>
    </row>
    <row r="3401" spans="21:21" ht="12.5">
      <c r="U3401" s="32"/>
    </row>
    <row r="3402" spans="21:21" ht="12.5">
      <c r="U3402" s="32"/>
    </row>
    <row r="3403" spans="21:21" ht="12.5">
      <c r="U3403" s="32"/>
    </row>
    <row r="3404" spans="21:21" ht="12.5">
      <c r="U3404" s="32"/>
    </row>
    <row r="3405" spans="21:21" ht="12.5">
      <c r="U3405" s="32"/>
    </row>
    <row r="3406" spans="21:21" ht="12.5">
      <c r="U3406" s="32"/>
    </row>
    <row r="3407" spans="21:21" ht="12.5">
      <c r="U3407" s="32"/>
    </row>
    <row r="3408" spans="21:21" ht="12.5">
      <c r="U3408" s="32"/>
    </row>
    <row r="3409" spans="21:21" ht="12.5">
      <c r="U3409" s="32"/>
    </row>
    <row r="3410" spans="21:21" ht="12.5">
      <c r="U3410" s="32"/>
    </row>
    <row r="3411" spans="21:21" ht="12.5">
      <c r="U3411" s="32"/>
    </row>
    <row r="3412" spans="21:21" ht="12.5">
      <c r="U3412" s="32"/>
    </row>
    <row r="3413" spans="21:21" ht="12.5">
      <c r="U3413" s="32"/>
    </row>
    <row r="3414" spans="21:21" ht="12.5">
      <c r="U3414" s="32"/>
    </row>
    <row r="3415" spans="21:21" ht="12.5">
      <c r="U3415" s="32"/>
    </row>
    <row r="3416" spans="21:21" ht="12.5">
      <c r="U3416" s="32"/>
    </row>
    <row r="3417" spans="21:21" ht="12.5">
      <c r="U3417" s="32"/>
    </row>
    <row r="3418" spans="21:21" ht="12.5">
      <c r="U3418" s="32"/>
    </row>
    <row r="3419" spans="21:21" ht="12.5">
      <c r="U3419" s="32"/>
    </row>
    <row r="3420" spans="21:21" ht="12.5">
      <c r="U3420" s="32"/>
    </row>
    <row r="3421" spans="21:21" ht="12.5">
      <c r="U3421" s="32"/>
    </row>
    <row r="3422" spans="21:21" ht="12.5">
      <c r="U3422" s="32"/>
    </row>
    <row r="3423" spans="21:21" ht="12.5">
      <c r="U3423" s="32"/>
    </row>
    <row r="3424" spans="21:21" ht="12.5">
      <c r="U3424" s="32"/>
    </row>
    <row r="3425" spans="21:21" ht="12.5">
      <c r="U3425" s="32"/>
    </row>
    <row r="3426" spans="21:21" ht="12.5">
      <c r="U3426" s="32"/>
    </row>
    <row r="3427" spans="21:21" ht="12.5">
      <c r="U3427" s="32"/>
    </row>
    <row r="3428" spans="21:21" ht="12.5">
      <c r="U3428" s="32"/>
    </row>
    <row r="3429" spans="21:21" ht="12.5">
      <c r="U3429" s="32"/>
    </row>
    <row r="3430" spans="21:21" ht="12.5">
      <c r="U3430" s="32"/>
    </row>
    <row r="3431" spans="21:21" ht="12.5">
      <c r="U3431" s="32"/>
    </row>
    <row r="3432" spans="21:21" ht="12.5">
      <c r="U3432" s="32"/>
    </row>
    <row r="3433" spans="21:21" ht="12.5">
      <c r="U3433" s="32"/>
    </row>
    <row r="3434" spans="21:21" ht="12.5">
      <c r="U3434" s="32"/>
    </row>
    <row r="3435" spans="21:21" ht="12.5">
      <c r="U3435" s="32"/>
    </row>
    <row r="3436" spans="21:21" ht="12.5">
      <c r="U3436" s="32"/>
    </row>
    <row r="3437" spans="21:21" ht="12.5">
      <c r="U3437" s="32"/>
    </row>
    <row r="3438" spans="21:21" ht="12.5">
      <c r="U3438" s="32"/>
    </row>
    <row r="3439" spans="21:21" ht="12.5">
      <c r="U3439" s="32"/>
    </row>
    <row r="3440" spans="21:21" ht="12.5">
      <c r="U3440" s="32"/>
    </row>
    <row r="3441" spans="21:21" ht="12.5">
      <c r="U3441" s="32"/>
    </row>
    <row r="3442" spans="21:21" ht="12.5">
      <c r="U3442" s="32"/>
    </row>
    <row r="3443" spans="21:21" ht="12.5">
      <c r="U3443" s="32"/>
    </row>
    <row r="3444" spans="21:21" ht="12.5">
      <c r="U3444" s="32"/>
    </row>
    <row r="3445" spans="21:21" ht="12.5">
      <c r="U3445" s="32"/>
    </row>
    <row r="3446" spans="21:21" ht="12.5">
      <c r="U3446" s="32"/>
    </row>
    <row r="3447" spans="21:21" ht="12.5">
      <c r="U3447" s="32"/>
    </row>
    <row r="3448" spans="21:21" ht="12.5">
      <c r="U3448" s="32"/>
    </row>
    <row r="3449" spans="21:21" ht="12.5">
      <c r="U3449" s="32"/>
    </row>
    <row r="3450" spans="21:21" ht="12.5">
      <c r="U3450" s="32"/>
    </row>
    <row r="3451" spans="21:21" ht="12.5">
      <c r="U3451" s="32"/>
    </row>
    <row r="3452" spans="21:21" ht="12.5">
      <c r="U3452" s="32"/>
    </row>
    <row r="3453" spans="21:21" ht="12.5">
      <c r="U3453" s="32"/>
    </row>
    <row r="3454" spans="21:21" ht="12.5">
      <c r="U3454" s="32"/>
    </row>
    <row r="3455" spans="21:21" ht="12.5">
      <c r="U3455" s="32"/>
    </row>
    <row r="3456" spans="21:21" ht="12.5">
      <c r="U3456" s="32"/>
    </row>
    <row r="3457" spans="21:21" ht="12.5">
      <c r="U3457" s="32"/>
    </row>
    <row r="3458" spans="21:21" ht="12.5">
      <c r="U3458" s="32"/>
    </row>
    <row r="3459" spans="21:21" ht="12.5">
      <c r="U3459" s="32"/>
    </row>
    <row r="3460" spans="21:21" ht="12.5">
      <c r="U3460" s="32"/>
    </row>
    <row r="3461" spans="21:21" ht="12.5">
      <c r="U3461" s="32"/>
    </row>
    <row r="3462" spans="21:21" ht="12.5">
      <c r="U3462" s="32"/>
    </row>
    <row r="3463" spans="21:21" ht="12.5">
      <c r="U3463" s="32"/>
    </row>
    <row r="3464" spans="21:21" ht="12.5">
      <c r="U3464" s="32"/>
    </row>
    <row r="3465" spans="21:21" ht="12.5">
      <c r="U3465" s="32"/>
    </row>
    <row r="3466" spans="21:21" ht="12.5">
      <c r="U3466" s="32"/>
    </row>
    <row r="3467" spans="21:21" ht="12.5">
      <c r="U3467" s="32"/>
    </row>
    <row r="3468" spans="21:21" ht="12.5">
      <c r="U3468" s="32"/>
    </row>
    <row r="3469" spans="21:21" ht="12.5">
      <c r="U3469" s="32"/>
    </row>
    <row r="3470" spans="21:21" ht="12.5">
      <c r="U3470" s="32"/>
    </row>
    <row r="3471" spans="21:21" ht="12.5">
      <c r="U3471" s="32"/>
    </row>
    <row r="3472" spans="21:21" ht="12.5">
      <c r="U3472" s="32"/>
    </row>
    <row r="3473" spans="21:21" ht="12.5">
      <c r="U3473" s="32"/>
    </row>
    <row r="3474" spans="21:21" ht="12.5">
      <c r="U3474" s="32"/>
    </row>
    <row r="3475" spans="21:21" ht="12.5">
      <c r="U3475" s="32"/>
    </row>
    <row r="3476" spans="21:21" ht="12.5">
      <c r="U3476" s="32"/>
    </row>
    <row r="3477" spans="21:21" ht="12.5">
      <c r="U3477" s="32"/>
    </row>
    <row r="3478" spans="21:21" ht="12.5">
      <c r="U3478" s="32"/>
    </row>
    <row r="3479" spans="21:21" ht="12.5">
      <c r="U3479" s="32"/>
    </row>
    <row r="3480" spans="21:21" ht="12.5">
      <c r="U3480" s="32"/>
    </row>
    <row r="3481" spans="21:21" ht="12.5">
      <c r="U3481" s="32"/>
    </row>
    <row r="3482" spans="21:21" ht="12.5">
      <c r="U3482" s="32"/>
    </row>
    <row r="3483" spans="21:21" ht="12.5">
      <c r="U3483" s="32"/>
    </row>
    <row r="3484" spans="21:21" ht="12.5">
      <c r="U3484" s="32"/>
    </row>
    <row r="3485" spans="21:21" ht="12.5">
      <c r="U3485" s="32"/>
    </row>
    <row r="3486" spans="21:21" ht="12.5">
      <c r="U3486" s="32"/>
    </row>
    <row r="3487" spans="21:21" ht="12.5">
      <c r="U3487" s="32"/>
    </row>
    <row r="3488" spans="21:21" ht="12.5">
      <c r="U3488" s="32"/>
    </row>
    <row r="3489" spans="21:21" ht="12.5">
      <c r="U3489" s="32"/>
    </row>
    <row r="3490" spans="21:21" ht="12.5">
      <c r="U3490" s="32"/>
    </row>
    <row r="3491" spans="21:21" ht="12.5">
      <c r="U3491" s="32"/>
    </row>
    <row r="3492" spans="21:21" ht="12.5">
      <c r="U3492" s="32"/>
    </row>
    <row r="3493" spans="21:21" ht="12.5">
      <c r="U3493" s="32"/>
    </row>
    <row r="3494" spans="21:21" ht="12.5">
      <c r="U3494" s="32"/>
    </row>
    <row r="3495" spans="21:21" ht="12.5">
      <c r="U3495" s="32"/>
    </row>
    <row r="3496" spans="21:21" ht="12.5">
      <c r="U3496" s="32"/>
    </row>
    <row r="3497" spans="21:21" ht="12.5">
      <c r="U3497" s="32"/>
    </row>
    <row r="3498" spans="21:21" ht="12.5">
      <c r="U3498" s="32"/>
    </row>
    <row r="3499" spans="21:21" ht="12.5">
      <c r="U3499" s="32"/>
    </row>
    <row r="3500" spans="21:21" ht="12.5">
      <c r="U3500" s="32"/>
    </row>
    <row r="3501" spans="21:21" ht="12.5">
      <c r="U3501" s="32"/>
    </row>
    <row r="3502" spans="21:21" ht="12.5">
      <c r="U3502" s="32"/>
    </row>
    <row r="3503" spans="21:21" ht="12.5">
      <c r="U3503" s="32"/>
    </row>
    <row r="3504" spans="21:21" ht="12.5">
      <c r="U3504" s="32"/>
    </row>
    <row r="3505" spans="21:21" ht="12.5">
      <c r="U3505" s="32"/>
    </row>
    <row r="3506" spans="21:21" ht="12.5">
      <c r="U3506" s="32"/>
    </row>
    <row r="3507" spans="21:21" ht="12.5">
      <c r="U3507" s="32"/>
    </row>
    <row r="3508" spans="21:21" ht="12.5">
      <c r="U3508" s="32"/>
    </row>
    <row r="3509" spans="21:21" ht="12.5">
      <c r="U3509" s="32"/>
    </row>
    <row r="3510" spans="21:21" ht="12.5">
      <c r="U3510" s="32"/>
    </row>
    <row r="3511" spans="21:21" ht="12.5">
      <c r="U3511" s="32"/>
    </row>
    <row r="3512" spans="21:21" ht="12.5">
      <c r="U3512" s="32"/>
    </row>
    <row r="3513" spans="21:21" ht="12.5">
      <c r="U3513" s="32"/>
    </row>
    <row r="3514" spans="21:21" ht="12.5">
      <c r="U3514" s="32"/>
    </row>
    <row r="3515" spans="21:21" ht="12.5">
      <c r="U3515" s="32"/>
    </row>
    <row r="3516" spans="21:21" ht="12.5">
      <c r="U3516" s="32"/>
    </row>
    <row r="3517" spans="21:21" ht="12.5">
      <c r="U3517" s="32"/>
    </row>
    <row r="3518" spans="21:21" ht="12.5">
      <c r="U3518" s="32"/>
    </row>
    <row r="3519" spans="21:21" ht="12.5">
      <c r="U3519" s="32"/>
    </row>
    <row r="3520" spans="21:21" ht="12.5">
      <c r="U3520" s="32"/>
    </row>
    <row r="3521" spans="21:21" ht="12.5">
      <c r="U3521" s="32"/>
    </row>
    <row r="3522" spans="21:21" ht="12.5">
      <c r="U3522" s="32"/>
    </row>
    <row r="3523" spans="21:21" ht="12.5">
      <c r="U3523" s="32"/>
    </row>
    <row r="3524" spans="21:21" ht="12.5">
      <c r="U3524" s="32"/>
    </row>
    <row r="3525" spans="21:21" ht="12.5">
      <c r="U3525" s="32"/>
    </row>
    <row r="3526" spans="21:21" ht="12.5">
      <c r="U3526" s="32"/>
    </row>
    <row r="3527" spans="21:21" ht="12.5">
      <c r="U3527" s="32"/>
    </row>
    <row r="3528" spans="21:21" ht="12.5">
      <c r="U3528" s="32"/>
    </row>
    <row r="3529" spans="21:21" ht="12.5">
      <c r="U3529" s="32"/>
    </row>
    <row r="3530" spans="21:21" ht="12.5">
      <c r="U3530" s="32"/>
    </row>
    <row r="3531" spans="21:21" ht="12.5">
      <c r="U3531" s="32"/>
    </row>
    <row r="3532" spans="21:21" ht="12.5">
      <c r="U3532" s="32"/>
    </row>
    <row r="3533" spans="21:21" ht="12.5">
      <c r="U3533" s="32"/>
    </row>
    <row r="3534" spans="21:21" ht="12.5">
      <c r="U3534" s="32"/>
    </row>
    <row r="3535" spans="21:21" ht="12.5">
      <c r="U3535" s="32"/>
    </row>
    <row r="3536" spans="21:21" ht="12.5">
      <c r="U3536" s="32"/>
    </row>
    <row r="3537" spans="21:21" ht="12.5">
      <c r="U3537" s="32"/>
    </row>
    <row r="3538" spans="21:21" ht="12.5">
      <c r="U3538" s="32"/>
    </row>
    <row r="3539" spans="21:21" ht="12.5">
      <c r="U3539" s="32"/>
    </row>
    <row r="3540" spans="21:21" ht="12.5">
      <c r="U3540" s="32"/>
    </row>
    <row r="3541" spans="21:21" ht="12.5">
      <c r="U3541" s="32"/>
    </row>
    <row r="3542" spans="21:21" ht="12.5">
      <c r="U3542" s="32"/>
    </row>
    <row r="3543" spans="21:21" ht="12.5">
      <c r="U3543" s="32"/>
    </row>
    <row r="3544" spans="21:21" ht="12.5">
      <c r="U3544" s="32"/>
    </row>
    <row r="3545" spans="21:21" ht="12.5">
      <c r="U3545" s="32"/>
    </row>
    <row r="3546" spans="21:21" ht="12.5">
      <c r="U3546" s="32"/>
    </row>
    <row r="3547" spans="21:21" ht="12.5">
      <c r="U3547" s="32"/>
    </row>
    <row r="3548" spans="21:21" ht="12.5">
      <c r="U3548" s="32"/>
    </row>
    <row r="3549" spans="21:21" ht="12.5">
      <c r="U3549" s="32"/>
    </row>
    <row r="3550" spans="21:21" ht="12.5">
      <c r="U3550" s="32"/>
    </row>
    <row r="3551" spans="21:21" ht="12.5">
      <c r="U3551" s="32"/>
    </row>
    <row r="3552" spans="21:21" ht="12.5">
      <c r="U3552" s="32"/>
    </row>
    <row r="3553" spans="21:21" ht="12.5">
      <c r="U3553" s="32"/>
    </row>
    <row r="3554" spans="21:21" ht="12.5">
      <c r="U3554" s="32"/>
    </row>
    <row r="3555" spans="21:21" ht="12.5">
      <c r="U3555" s="32"/>
    </row>
    <row r="3556" spans="21:21" ht="12.5">
      <c r="U3556" s="32"/>
    </row>
    <row r="3557" spans="21:21" ht="12.5">
      <c r="U3557" s="32"/>
    </row>
    <row r="3558" spans="21:21" ht="12.5">
      <c r="U3558" s="32"/>
    </row>
    <row r="3559" spans="21:21" ht="12.5">
      <c r="U3559" s="32"/>
    </row>
    <row r="3560" spans="21:21" ht="12.5">
      <c r="U3560" s="32"/>
    </row>
    <row r="3561" spans="21:21" ht="12.5">
      <c r="U3561" s="32"/>
    </row>
    <row r="3562" spans="21:21" ht="12.5">
      <c r="U3562" s="32"/>
    </row>
    <row r="3563" spans="21:21" ht="12.5">
      <c r="U3563" s="32"/>
    </row>
    <row r="3564" spans="21:21" ht="12.5">
      <c r="U3564" s="32"/>
    </row>
    <row r="3565" spans="21:21" ht="12.5">
      <c r="U3565" s="32"/>
    </row>
    <row r="3566" spans="21:21" ht="12.5">
      <c r="U3566" s="32"/>
    </row>
    <row r="3567" spans="21:21" ht="12.5">
      <c r="U3567" s="32"/>
    </row>
    <row r="3568" spans="21:21" ht="12.5">
      <c r="U3568" s="32"/>
    </row>
    <row r="3569" spans="21:21" ht="12.5">
      <c r="U3569" s="32"/>
    </row>
    <row r="3570" spans="21:21" ht="12.5">
      <c r="U3570" s="32"/>
    </row>
    <row r="3571" spans="21:21" ht="12.5">
      <c r="U3571" s="32"/>
    </row>
    <row r="3572" spans="21:21" ht="12.5">
      <c r="U3572" s="32"/>
    </row>
    <row r="3573" spans="21:21" ht="12.5">
      <c r="U3573" s="32"/>
    </row>
    <row r="3574" spans="21:21" ht="12.5">
      <c r="U3574" s="32"/>
    </row>
    <row r="3575" spans="21:21" ht="12.5">
      <c r="U3575" s="32"/>
    </row>
    <row r="3576" spans="21:21" ht="12.5">
      <c r="U3576" s="32"/>
    </row>
    <row r="3577" spans="21:21" ht="12.5">
      <c r="U3577" s="32"/>
    </row>
    <row r="3578" spans="21:21" ht="12.5">
      <c r="U3578" s="32"/>
    </row>
    <row r="3579" spans="21:21" ht="12.5">
      <c r="U3579" s="32"/>
    </row>
    <row r="3580" spans="21:21" ht="12.5">
      <c r="U3580" s="32"/>
    </row>
    <row r="3581" spans="21:21" ht="12.5">
      <c r="U3581" s="32"/>
    </row>
    <row r="3582" spans="21:21" ht="12.5">
      <c r="U3582" s="32"/>
    </row>
    <row r="3583" spans="21:21" ht="12.5">
      <c r="U3583" s="32"/>
    </row>
    <row r="3584" spans="21:21" ht="12.5">
      <c r="U3584" s="32"/>
    </row>
    <row r="3585" spans="21:21" ht="12.5">
      <c r="U3585" s="32"/>
    </row>
    <row r="3586" spans="21:21" ht="12.5">
      <c r="U3586" s="32"/>
    </row>
    <row r="3587" spans="21:21" ht="12.5">
      <c r="U3587" s="32"/>
    </row>
    <row r="3588" spans="21:21" ht="12.5">
      <c r="U3588" s="32"/>
    </row>
    <row r="3589" spans="21:21" ht="12.5">
      <c r="U3589" s="32"/>
    </row>
    <row r="3590" spans="21:21" ht="12.5">
      <c r="U3590" s="32"/>
    </row>
    <row r="3591" spans="21:21" ht="12.5">
      <c r="U3591" s="32"/>
    </row>
    <row r="3592" spans="21:21" ht="12.5">
      <c r="U3592" s="32"/>
    </row>
    <row r="3593" spans="21:21" ht="12.5">
      <c r="U3593" s="32"/>
    </row>
    <row r="3594" spans="21:21" ht="12.5">
      <c r="U3594" s="32"/>
    </row>
    <row r="3595" spans="21:21" ht="12.5">
      <c r="U3595" s="32"/>
    </row>
    <row r="3596" spans="21:21" ht="12.5">
      <c r="U3596" s="32"/>
    </row>
    <row r="3597" spans="21:21" ht="12.5">
      <c r="U3597" s="32"/>
    </row>
    <row r="3598" spans="21:21" ht="12.5">
      <c r="U3598" s="32"/>
    </row>
    <row r="3599" spans="21:21" ht="12.5">
      <c r="U3599" s="32"/>
    </row>
    <row r="3600" spans="21:21" ht="12.5">
      <c r="U3600" s="32"/>
    </row>
    <row r="3601" spans="21:21" ht="12.5">
      <c r="U3601" s="32"/>
    </row>
    <row r="3602" spans="21:21" ht="12.5">
      <c r="U3602" s="32"/>
    </row>
    <row r="3603" spans="21:21" ht="12.5">
      <c r="U3603" s="32"/>
    </row>
    <row r="3604" spans="21:21" ht="12.5">
      <c r="U3604" s="32"/>
    </row>
    <row r="3605" spans="21:21" ht="12.5">
      <c r="U3605" s="32"/>
    </row>
    <row r="3606" spans="21:21" ht="12.5">
      <c r="U3606" s="32"/>
    </row>
    <row r="3607" spans="21:21" ht="12.5">
      <c r="U3607" s="32"/>
    </row>
    <row r="3608" spans="21:21" ht="12.5">
      <c r="U3608" s="32"/>
    </row>
    <row r="3609" spans="21:21" ht="12.5">
      <c r="U3609" s="32"/>
    </row>
    <row r="3610" spans="21:21" ht="12.5">
      <c r="U3610" s="32"/>
    </row>
    <row r="3611" spans="21:21" ht="12.5">
      <c r="U3611" s="32"/>
    </row>
    <row r="3612" spans="21:21" ht="12.5">
      <c r="U3612" s="32"/>
    </row>
    <row r="3613" spans="21:21" ht="12.5">
      <c r="U3613" s="32"/>
    </row>
    <row r="3614" spans="21:21" ht="12.5">
      <c r="U3614" s="32"/>
    </row>
    <row r="3615" spans="21:21" ht="12.5">
      <c r="U3615" s="32"/>
    </row>
    <row r="3616" spans="21:21" ht="12.5">
      <c r="U3616" s="32"/>
    </row>
    <row r="3617" spans="21:21" ht="12.5">
      <c r="U3617" s="32"/>
    </row>
    <row r="3618" spans="21:21" ht="12.5">
      <c r="U3618" s="32"/>
    </row>
    <row r="3619" spans="21:21" ht="12.5">
      <c r="U3619" s="32"/>
    </row>
    <row r="3620" spans="21:21" ht="12.5">
      <c r="U3620" s="32"/>
    </row>
    <row r="3621" spans="21:21" ht="12.5">
      <c r="U3621" s="32"/>
    </row>
    <row r="3622" spans="21:21" ht="12.5">
      <c r="U3622" s="32"/>
    </row>
    <row r="3623" spans="21:21" ht="12.5">
      <c r="U3623" s="32"/>
    </row>
    <row r="3624" spans="21:21" ht="12.5">
      <c r="U3624" s="32"/>
    </row>
    <row r="3625" spans="21:21" ht="12.5">
      <c r="U3625" s="32"/>
    </row>
    <row r="3626" spans="21:21" ht="12.5">
      <c r="U3626" s="32"/>
    </row>
    <row r="3627" spans="21:21" ht="12.5">
      <c r="U3627" s="32"/>
    </row>
    <row r="3628" spans="21:21" ht="12.5">
      <c r="U3628" s="32"/>
    </row>
    <row r="3629" spans="21:21" ht="12.5">
      <c r="U3629" s="32"/>
    </row>
    <row r="3630" spans="21:21" ht="12.5">
      <c r="U3630" s="32"/>
    </row>
    <row r="3631" spans="21:21" ht="12.5">
      <c r="U3631" s="32"/>
    </row>
    <row r="3632" spans="21:21" ht="12.5">
      <c r="U3632" s="32"/>
    </row>
    <row r="3633" spans="21:21" ht="12.5">
      <c r="U3633" s="32"/>
    </row>
    <row r="3634" spans="21:21" ht="12.5">
      <c r="U3634" s="32"/>
    </row>
    <row r="3635" spans="21:21" ht="12.5">
      <c r="U3635" s="32"/>
    </row>
    <row r="3636" spans="21:21" ht="12.5">
      <c r="U3636" s="32"/>
    </row>
    <row r="3637" spans="21:21" ht="12.5">
      <c r="U3637" s="32"/>
    </row>
    <row r="3638" spans="21:21" ht="12.5">
      <c r="U3638" s="32"/>
    </row>
    <row r="3639" spans="21:21" ht="12.5">
      <c r="U3639" s="32"/>
    </row>
    <row r="3640" spans="21:21" ht="12.5">
      <c r="U3640" s="32"/>
    </row>
    <row r="3641" spans="21:21" ht="12.5">
      <c r="U3641" s="32"/>
    </row>
    <row r="3642" spans="21:21" ht="12.5">
      <c r="U3642" s="32"/>
    </row>
    <row r="3643" spans="21:21" ht="12.5">
      <c r="U3643" s="32"/>
    </row>
    <row r="3644" spans="21:21" ht="12.5">
      <c r="U3644" s="32"/>
    </row>
    <row r="3645" spans="21:21" ht="12.5">
      <c r="U3645" s="32"/>
    </row>
    <row r="3646" spans="21:21" ht="12.5">
      <c r="U3646" s="32"/>
    </row>
    <row r="3647" spans="21:21" ht="12.5">
      <c r="U3647" s="32"/>
    </row>
    <row r="3648" spans="21:21" ht="12.5">
      <c r="U3648" s="32"/>
    </row>
    <row r="3649" spans="21:21" ht="12.5">
      <c r="U3649" s="32"/>
    </row>
    <row r="3650" spans="21:21" ht="12.5">
      <c r="U3650" s="32"/>
    </row>
    <row r="3651" spans="21:21" ht="12.5">
      <c r="U3651" s="32"/>
    </row>
    <row r="3652" spans="21:21" ht="12.5">
      <c r="U3652" s="32"/>
    </row>
    <row r="3653" spans="21:21" ht="12.5">
      <c r="U3653" s="32"/>
    </row>
    <row r="3654" spans="21:21" ht="12.5">
      <c r="U3654" s="32"/>
    </row>
    <row r="3655" spans="21:21" ht="12.5">
      <c r="U3655" s="32"/>
    </row>
    <row r="3656" spans="21:21" ht="12.5">
      <c r="U3656" s="32"/>
    </row>
    <row r="3657" spans="21:21" ht="12.5">
      <c r="U3657" s="32"/>
    </row>
    <row r="3658" spans="21:21" ht="12.5">
      <c r="U3658" s="32"/>
    </row>
    <row r="3659" spans="21:21" ht="12.5">
      <c r="U3659" s="32"/>
    </row>
    <row r="3660" spans="21:21" ht="12.5">
      <c r="U3660" s="32"/>
    </row>
    <row r="3661" spans="21:21" ht="12.5">
      <c r="U3661" s="32"/>
    </row>
    <row r="3662" spans="21:21" ht="12.5">
      <c r="U3662" s="32"/>
    </row>
    <row r="3663" spans="21:21" ht="12.5">
      <c r="U3663" s="32"/>
    </row>
    <row r="3664" spans="21:21" ht="12.5">
      <c r="U3664" s="32"/>
    </row>
    <row r="3665" spans="21:21" ht="12.5">
      <c r="U3665" s="32"/>
    </row>
    <row r="3666" spans="21:21" ht="12.5">
      <c r="U3666" s="32"/>
    </row>
    <row r="3667" spans="21:21" ht="12.5">
      <c r="U3667" s="32"/>
    </row>
    <row r="3668" spans="21:21" ht="12.5">
      <c r="U3668" s="32"/>
    </row>
    <row r="3669" spans="21:21" ht="12.5">
      <c r="U3669" s="32"/>
    </row>
    <row r="3670" spans="21:21" ht="12.5">
      <c r="U3670" s="32"/>
    </row>
    <row r="3671" spans="21:21" ht="12.5">
      <c r="U3671" s="32"/>
    </row>
    <row r="3672" spans="21:21" ht="12.5">
      <c r="U3672" s="32"/>
    </row>
    <row r="3673" spans="21:21" ht="12.5">
      <c r="U3673" s="32"/>
    </row>
    <row r="3674" spans="21:21" ht="12.5">
      <c r="U3674" s="32"/>
    </row>
    <row r="3675" spans="21:21" ht="12.5">
      <c r="U3675" s="32"/>
    </row>
    <row r="3676" spans="21:21" ht="12.5">
      <c r="U3676" s="32"/>
    </row>
    <row r="3677" spans="21:21" ht="12.5">
      <c r="U3677" s="32"/>
    </row>
    <row r="3678" spans="21:21" ht="12.5">
      <c r="U3678" s="32"/>
    </row>
    <row r="3679" spans="21:21" ht="12.5">
      <c r="U3679" s="32"/>
    </row>
    <row r="3680" spans="21:21" ht="12.5">
      <c r="U3680" s="32"/>
    </row>
    <row r="3681" spans="21:21" ht="12.5">
      <c r="U3681" s="32"/>
    </row>
    <row r="3682" spans="21:21" ht="12.5">
      <c r="U3682" s="32"/>
    </row>
    <row r="3683" spans="21:21" ht="12.5">
      <c r="U3683" s="32"/>
    </row>
    <row r="3684" spans="21:21" ht="12.5">
      <c r="U3684" s="32"/>
    </row>
    <row r="3685" spans="21:21" ht="12.5">
      <c r="U3685" s="32"/>
    </row>
    <row r="3686" spans="21:21" ht="12.5">
      <c r="U3686" s="32"/>
    </row>
    <row r="3687" spans="21:21" ht="12.5">
      <c r="U3687" s="32"/>
    </row>
    <row r="3688" spans="21:21" ht="12.5">
      <c r="U3688" s="32"/>
    </row>
    <row r="3689" spans="21:21" ht="12.5">
      <c r="U3689" s="32"/>
    </row>
    <row r="3690" spans="21:21" ht="12.5">
      <c r="U3690" s="32"/>
    </row>
    <row r="3691" spans="21:21" ht="12.5">
      <c r="U3691" s="32"/>
    </row>
    <row r="3692" spans="21:21" ht="12.5">
      <c r="U3692" s="32"/>
    </row>
    <row r="3693" spans="21:21" ht="12.5">
      <c r="U3693" s="32"/>
    </row>
    <row r="3694" spans="21:21" ht="12.5">
      <c r="U3694" s="32"/>
    </row>
    <row r="3695" spans="21:21" ht="12.5">
      <c r="U3695" s="32"/>
    </row>
    <row r="3696" spans="21:21" ht="12.5">
      <c r="U3696" s="32"/>
    </row>
    <row r="3697" spans="21:21" ht="12.5">
      <c r="U3697" s="32"/>
    </row>
    <row r="3698" spans="21:21" ht="12.5">
      <c r="U3698" s="32"/>
    </row>
    <row r="3699" spans="21:21" ht="12.5">
      <c r="U3699" s="32"/>
    </row>
    <row r="3700" spans="21:21" ht="12.5">
      <c r="U3700" s="32"/>
    </row>
    <row r="3701" spans="21:21" ht="12.5">
      <c r="U3701" s="32"/>
    </row>
    <row r="3702" spans="21:21" ht="12.5">
      <c r="U3702" s="32"/>
    </row>
    <row r="3703" spans="21:21" ht="12.5">
      <c r="U3703" s="32"/>
    </row>
    <row r="3704" spans="21:21" ht="12.5">
      <c r="U3704" s="32"/>
    </row>
    <row r="3705" spans="21:21" ht="12.5">
      <c r="U3705" s="32"/>
    </row>
    <row r="3706" spans="21:21" ht="12.5">
      <c r="U3706" s="32"/>
    </row>
    <row r="3707" spans="21:21" ht="12.5">
      <c r="U3707" s="32"/>
    </row>
    <row r="3708" spans="21:21" ht="12.5">
      <c r="U3708" s="32"/>
    </row>
    <row r="3709" spans="21:21" ht="12.5">
      <c r="U3709" s="32"/>
    </row>
    <row r="3710" spans="21:21" ht="12.5">
      <c r="U3710" s="32"/>
    </row>
    <row r="3711" spans="21:21" ht="12.5">
      <c r="U3711" s="32"/>
    </row>
    <row r="3712" spans="21:21" ht="12.5">
      <c r="U3712" s="32"/>
    </row>
    <row r="3713" spans="21:21" ht="12.5">
      <c r="U3713" s="32"/>
    </row>
    <row r="3714" spans="21:21" ht="12.5">
      <c r="U3714" s="32"/>
    </row>
    <row r="3715" spans="21:21" ht="12.5">
      <c r="U3715" s="32"/>
    </row>
    <row r="3716" spans="21:21" ht="12.5">
      <c r="U3716" s="32"/>
    </row>
    <row r="3717" spans="21:21" ht="12.5">
      <c r="U3717" s="32"/>
    </row>
    <row r="3718" spans="21:21" ht="12.5">
      <c r="U3718" s="32"/>
    </row>
    <row r="3719" spans="21:21" ht="12.5">
      <c r="U3719" s="32"/>
    </row>
    <row r="3720" spans="21:21" ht="12.5">
      <c r="U3720" s="32"/>
    </row>
    <row r="3721" spans="21:21" ht="12.5">
      <c r="U3721" s="32"/>
    </row>
    <row r="3722" spans="21:21" ht="12.5">
      <c r="U3722" s="32"/>
    </row>
    <row r="3723" spans="21:21" ht="12.5">
      <c r="U3723" s="32"/>
    </row>
    <row r="3724" spans="21:21" ht="12.5">
      <c r="U3724" s="32"/>
    </row>
    <row r="3725" spans="21:21" ht="12.5">
      <c r="U3725" s="32"/>
    </row>
    <row r="3726" spans="21:21" ht="12.5">
      <c r="U3726" s="32"/>
    </row>
    <row r="3727" spans="21:21" ht="12.5">
      <c r="U3727" s="32"/>
    </row>
    <row r="3728" spans="21:21" ht="12.5">
      <c r="U3728" s="32"/>
    </row>
    <row r="3729" spans="21:21" ht="12.5">
      <c r="U3729" s="32"/>
    </row>
    <row r="3730" spans="21:21" ht="12.5">
      <c r="U3730" s="32"/>
    </row>
    <row r="3731" spans="21:21" ht="12.5">
      <c r="U3731" s="32"/>
    </row>
    <row r="3732" spans="21:21" ht="12.5">
      <c r="U3732" s="32"/>
    </row>
    <row r="3733" spans="21:21" ht="12.5">
      <c r="U3733" s="32"/>
    </row>
    <row r="3734" spans="21:21" ht="12.5">
      <c r="U3734" s="32"/>
    </row>
    <row r="3735" spans="21:21" ht="12.5">
      <c r="U3735" s="32"/>
    </row>
    <row r="3736" spans="21:21" ht="12.5">
      <c r="U3736" s="32"/>
    </row>
    <row r="3737" spans="21:21" ht="12.5">
      <c r="U3737" s="32"/>
    </row>
    <row r="3738" spans="21:21" ht="12.5">
      <c r="U3738" s="32"/>
    </row>
    <row r="3739" spans="21:21" ht="12.5">
      <c r="U3739" s="32"/>
    </row>
    <row r="3740" spans="21:21" ht="12.5">
      <c r="U3740" s="32"/>
    </row>
    <row r="3741" spans="21:21" ht="12.5">
      <c r="U3741" s="32"/>
    </row>
    <row r="3742" spans="21:21" ht="12.5">
      <c r="U3742" s="32"/>
    </row>
    <row r="3743" spans="21:21" ht="12.5">
      <c r="U3743" s="32"/>
    </row>
    <row r="3744" spans="21:21" ht="12.5">
      <c r="U3744" s="32"/>
    </row>
    <row r="3745" spans="21:21" ht="12.5">
      <c r="U3745" s="32"/>
    </row>
    <row r="3746" spans="21:21" ht="12.5">
      <c r="U3746" s="32"/>
    </row>
    <row r="3747" spans="21:21" ht="12.5">
      <c r="U3747" s="32"/>
    </row>
    <row r="3748" spans="21:21" ht="12.5">
      <c r="U3748" s="32"/>
    </row>
    <row r="3749" spans="21:21" ht="12.5">
      <c r="U3749" s="32"/>
    </row>
    <row r="3750" spans="21:21" ht="12.5">
      <c r="U3750" s="32"/>
    </row>
    <row r="3751" spans="21:21" ht="12.5">
      <c r="U3751" s="32"/>
    </row>
    <row r="3752" spans="21:21" ht="12.5">
      <c r="U3752" s="32"/>
    </row>
    <row r="3753" spans="21:21" ht="12.5">
      <c r="U3753" s="32"/>
    </row>
    <row r="3754" spans="21:21" ht="12.5">
      <c r="U3754" s="32"/>
    </row>
    <row r="3755" spans="21:21" ht="12.5">
      <c r="U3755" s="32"/>
    </row>
    <row r="3756" spans="21:21" ht="12.5">
      <c r="U3756" s="32"/>
    </row>
    <row r="3757" spans="21:21" ht="12.5">
      <c r="U3757" s="32"/>
    </row>
    <row r="3758" spans="21:21" ht="12.5">
      <c r="U3758" s="32"/>
    </row>
    <row r="3759" spans="21:21" ht="12.5">
      <c r="U3759" s="32"/>
    </row>
    <row r="3760" spans="21:21" ht="12.5">
      <c r="U3760" s="32"/>
    </row>
    <row r="3761" spans="21:21" ht="12.5">
      <c r="U3761" s="32"/>
    </row>
    <row r="3762" spans="21:21" ht="12.5">
      <c r="U3762" s="32"/>
    </row>
    <row r="3763" spans="21:21" ht="12.5">
      <c r="U3763" s="32"/>
    </row>
    <row r="3764" spans="21:21" ht="12.5">
      <c r="U3764" s="32"/>
    </row>
    <row r="3765" spans="21:21" ht="12.5">
      <c r="U3765" s="32"/>
    </row>
    <row r="3766" spans="21:21" ht="12.5">
      <c r="U3766" s="32"/>
    </row>
    <row r="3767" spans="21:21" ht="12.5">
      <c r="U3767" s="32"/>
    </row>
    <row r="3768" spans="21:21" ht="12.5">
      <c r="U3768" s="32"/>
    </row>
    <row r="3769" spans="21:21" ht="12.5">
      <c r="U3769" s="32"/>
    </row>
    <row r="3770" spans="21:21" ht="12.5">
      <c r="U3770" s="32"/>
    </row>
    <row r="3771" spans="21:21" ht="12.5">
      <c r="U3771" s="32"/>
    </row>
    <row r="3772" spans="21:21" ht="12.5">
      <c r="U3772" s="32"/>
    </row>
    <row r="3773" spans="21:21" ht="12.5">
      <c r="U3773" s="32"/>
    </row>
    <row r="3774" spans="21:21" ht="12.5">
      <c r="U3774" s="32"/>
    </row>
    <row r="3775" spans="21:21" ht="12.5">
      <c r="U3775" s="32"/>
    </row>
    <row r="3776" spans="21:21" ht="12.5">
      <c r="U3776" s="32"/>
    </row>
    <row r="3777" spans="21:21" ht="12.5">
      <c r="U3777" s="32"/>
    </row>
    <row r="3778" spans="21:21" ht="12.5">
      <c r="U3778" s="32"/>
    </row>
    <row r="3779" spans="21:21" ht="12.5">
      <c r="U3779" s="32"/>
    </row>
    <row r="3780" spans="21:21" ht="12.5">
      <c r="U3780" s="32"/>
    </row>
    <row r="3781" spans="21:21" ht="12.5">
      <c r="U3781" s="32"/>
    </row>
    <row r="3782" spans="21:21" ht="12.5">
      <c r="U3782" s="32"/>
    </row>
    <row r="3783" spans="21:21" ht="12.5">
      <c r="U3783" s="32"/>
    </row>
    <row r="3784" spans="21:21" ht="12.5">
      <c r="U3784" s="32"/>
    </row>
    <row r="3785" spans="21:21" ht="12.5">
      <c r="U3785" s="32"/>
    </row>
    <row r="3786" spans="21:21" ht="12.5">
      <c r="U3786" s="32"/>
    </row>
    <row r="3787" spans="21:21" ht="12.5">
      <c r="U3787" s="32"/>
    </row>
    <row r="3788" spans="21:21" ht="12.5">
      <c r="U3788" s="32"/>
    </row>
    <row r="3789" spans="21:21" ht="12.5">
      <c r="U3789" s="32"/>
    </row>
    <row r="3790" spans="21:21" ht="12.5">
      <c r="U3790" s="32"/>
    </row>
    <row r="3791" spans="21:21" ht="12.5">
      <c r="U3791" s="32"/>
    </row>
    <row r="3792" spans="21:21" ht="12.5">
      <c r="U3792" s="32"/>
    </row>
    <row r="3793" spans="21:21" ht="12.5">
      <c r="U3793" s="32"/>
    </row>
    <row r="3794" spans="21:21" ht="12.5">
      <c r="U3794" s="32"/>
    </row>
    <row r="3795" spans="21:21" ht="12.5">
      <c r="U3795" s="32"/>
    </row>
    <row r="3796" spans="21:21" ht="12.5">
      <c r="U3796" s="32"/>
    </row>
    <row r="3797" spans="21:21" ht="12.5">
      <c r="U3797" s="32"/>
    </row>
    <row r="3798" spans="21:21" ht="12.5">
      <c r="U3798" s="32"/>
    </row>
    <row r="3799" spans="21:21" ht="12.5">
      <c r="U3799" s="32"/>
    </row>
    <row r="3800" spans="21:21" ht="12.5">
      <c r="U3800" s="32"/>
    </row>
    <row r="3801" spans="21:21" ht="12.5">
      <c r="U3801" s="32"/>
    </row>
    <row r="3802" spans="21:21" ht="12.5">
      <c r="U3802" s="32"/>
    </row>
    <row r="3803" spans="21:21" ht="12.5">
      <c r="U3803" s="32"/>
    </row>
    <row r="3804" spans="21:21" ht="12.5">
      <c r="U3804" s="32"/>
    </row>
    <row r="3805" spans="21:21" ht="12.5">
      <c r="U3805" s="32"/>
    </row>
    <row r="3806" spans="21:21" ht="12.5">
      <c r="U3806" s="32"/>
    </row>
    <row r="3807" spans="21:21" ht="12.5">
      <c r="U3807" s="32"/>
    </row>
    <row r="3808" spans="21:21" ht="12.5">
      <c r="U3808" s="32"/>
    </row>
    <row r="3809" spans="21:21" ht="12.5">
      <c r="U3809" s="32"/>
    </row>
    <row r="3810" spans="21:21" ht="12.5">
      <c r="U3810" s="32"/>
    </row>
    <row r="3811" spans="21:21" ht="12.5">
      <c r="U3811" s="32"/>
    </row>
    <row r="3812" spans="21:21" ht="12.5">
      <c r="U3812" s="32"/>
    </row>
    <row r="3813" spans="21:21" ht="12.5">
      <c r="U3813" s="32"/>
    </row>
    <row r="3814" spans="21:21" ht="12.5">
      <c r="U3814" s="32"/>
    </row>
    <row r="3815" spans="21:21" ht="12.5">
      <c r="U3815" s="32"/>
    </row>
    <row r="3816" spans="21:21" ht="12.5">
      <c r="U3816" s="32"/>
    </row>
    <row r="3817" spans="21:21" ht="12.5">
      <c r="U3817" s="32"/>
    </row>
    <row r="3818" spans="21:21" ht="12.5">
      <c r="U3818" s="32"/>
    </row>
    <row r="3819" spans="21:21" ht="12.5">
      <c r="U3819" s="32"/>
    </row>
    <row r="3820" spans="21:21" ht="12.5">
      <c r="U3820" s="32"/>
    </row>
    <row r="3821" spans="21:21" ht="12.5">
      <c r="U3821" s="32"/>
    </row>
    <row r="3822" spans="21:21" ht="12.5">
      <c r="U3822" s="32"/>
    </row>
    <row r="3823" spans="21:21" ht="12.5">
      <c r="U3823" s="32"/>
    </row>
    <row r="3824" spans="21:21" ht="12.5">
      <c r="U3824" s="32"/>
    </row>
    <row r="3825" spans="21:21" ht="12.5">
      <c r="U3825" s="32"/>
    </row>
    <row r="3826" spans="21:21" ht="12.5">
      <c r="U3826" s="32"/>
    </row>
    <row r="3827" spans="21:21" ht="12.5">
      <c r="U3827" s="32"/>
    </row>
    <row r="3828" spans="21:21" ht="12.5">
      <c r="U3828" s="32"/>
    </row>
    <row r="3829" spans="21:21" ht="12.5">
      <c r="U3829" s="32"/>
    </row>
    <row r="3830" spans="21:21" ht="12.5">
      <c r="U3830" s="32"/>
    </row>
    <row r="3831" spans="21:21" ht="12.5">
      <c r="U3831" s="32"/>
    </row>
    <row r="3832" spans="21:21" ht="12.5">
      <c r="U3832" s="32"/>
    </row>
    <row r="3833" spans="21:21" ht="12.5">
      <c r="U3833" s="32"/>
    </row>
    <row r="3834" spans="21:21" ht="12.5">
      <c r="U3834" s="32"/>
    </row>
    <row r="3835" spans="21:21" ht="12.5">
      <c r="U3835" s="32"/>
    </row>
    <row r="3836" spans="21:21" ht="12.5">
      <c r="U3836" s="32"/>
    </row>
    <row r="3837" spans="21:21" ht="12.5">
      <c r="U3837" s="32"/>
    </row>
    <row r="3838" spans="21:21" ht="12.5">
      <c r="U3838" s="32"/>
    </row>
    <row r="3839" spans="21:21" ht="12.5">
      <c r="U3839" s="32"/>
    </row>
    <row r="3840" spans="21:21" ht="12.5">
      <c r="U3840" s="32"/>
    </row>
    <row r="3841" spans="21:21" ht="12.5">
      <c r="U3841" s="32"/>
    </row>
    <row r="3842" spans="21:21" ht="12.5">
      <c r="U3842" s="32"/>
    </row>
    <row r="3843" spans="21:21" ht="12.5">
      <c r="U3843" s="32"/>
    </row>
    <row r="3844" spans="21:21" ht="12.5">
      <c r="U3844" s="32"/>
    </row>
    <row r="3845" spans="21:21" ht="12.5">
      <c r="U3845" s="32"/>
    </row>
    <row r="3846" spans="21:21" ht="12.5">
      <c r="U3846" s="32"/>
    </row>
    <row r="3847" spans="21:21" ht="12.5">
      <c r="U3847" s="32"/>
    </row>
    <row r="3848" spans="21:21" ht="12.5">
      <c r="U3848" s="32"/>
    </row>
    <row r="3849" spans="21:21" ht="12.5">
      <c r="U3849" s="32"/>
    </row>
    <row r="3850" spans="21:21" ht="12.5">
      <c r="U3850" s="32"/>
    </row>
    <row r="3851" spans="21:21" ht="12.5">
      <c r="U3851" s="32"/>
    </row>
    <row r="3852" spans="21:21" ht="12.5">
      <c r="U3852" s="32"/>
    </row>
    <row r="3853" spans="21:21" ht="12.5">
      <c r="U3853" s="32"/>
    </row>
    <row r="3854" spans="21:21" ht="12.5">
      <c r="U3854" s="32"/>
    </row>
    <row r="3855" spans="21:21" ht="12.5">
      <c r="U3855" s="32"/>
    </row>
    <row r="3856" spans="21:21" ht="12.5">
      <c r="U3856" s="32"/>
    </row>
    <row r="3857" spans="21:21" ht="12.5">
      <c r="U3857" s="32"/>
    </row>
    <row r="3858" spans="21:21" ht="12.5">
      <c r="U3858" s="32"/>
    </row>
    <row r="3859" spans="21:21" ht="12.5">
      <c r="U3859" s="32"/>
    </row>
    <row r="3860" spans="21:21" ht="12.5">
      <c r="U3860" s="32"/>
    </row>
    <row r="3861" spans="21:21" ht="12.5">
      <c r="U3861" s="32"/>
    </row>
    <row r="3862" spans="21:21" ht="12.5">
      <c r="U3862" s="32"/>
    </row>
    <row r="3863" spans="21:21" ht="12.5">
      <c r="U3863" s="32"/>
    </row>
    <row r="3864" spans="21:21" ht="12.5">
      <c r="U3864" s="32"/>
    </row>
    <row r="3865" spans="21:21" ht="12.5">
      <c r="U3865" s="32"/>
    </row>
    <row r="3866" spans="21:21" ht="12.5">
      <c r="U3866" s="32"/>
    </row>
    <row r="3867" spans="21:21" ht="12.5">
      <c r="U3867" s="32"/>
    </row>
    <row r="3868" spans="21:21" ht="12.5">
      <c r="U3868" s="32"/>
    </row>
    <row r="3869" spans="21:21" ht="12.5">
      <c r="U3869" s="32"/>
    </row>
    <row r="3870" spans="21:21" ht="12.5">
      <c r="U3870" s="32"/>
    </row>
    <row r="3871" spans="21:21" ht="12.5">
      <c r="U3871" s="32"/>
    </row>
    <row r="3872" spans="21:21" ht="12.5">
      <c r="U3872" s="32"/>
    </row>
    <row r="3873" spans="21:21" ht="12.5">
      <c r="U3873" s="32"/>
    </row>
    <row r="3874" spans="21:21" ht="12.5">
      <c r="U3874" s="32"/>
    </row>
    <row r="3875" spans="21:21" ht="12.5">
      <c r="U3875" s="32"/>
    </row>
    <row r="3876" spans="21:21" ht="12.5">
      <c r="U3876" s="32"/>
    </row>
    <row r="3877" spans="21:21" ht="12.5">
      <c r="U3877" s="32"/>
    </row>
    <row r="3878" spans="21:21" ht="12.5">
      <c r="U3878" s="32"/>
    </row>
    <row r="3879" spans="21:21" ht="12.5">
      <c r="U3879" s="32"/>
    </row>
    <row r="3880" spans="21:21" ht="12.5">
      <c r="U3880" s="32"/>
    </row>
    <row r="3881" spans="21:21" ht="12.5">
      <c r="U3881" s="32"/>
    </row>
    <row r="3882" spans="21:21" ht="12.5">
      <c r="U3882" s="32"/>
    </row>
    <row r="3883" spans="21:21" ht="12.5">
      <c r="U3883" s="32"/>
    </row>
    <row r="3884" spans="21:21" ht="12.5">
      <c r="U3884" s="32"/>
    </row>
    <row r="3885" spans="21:21" ht="12.5">
      <c r="U3885" s="32"/>
    </row>
    <row r="3886" spans="21:21" ht="12.5">
      <c r="U3886" s="32"/>
    </row>
    <row r="3887" spans="21:21" ht="12.5">
      <c r="U3887" s="32"/>
    </row>
    <row r="3888" spans="21:21" ht="12.5">
      <c r="U3888" s="32"/>
    </row>
    <row r="3889" spans="21:21" ht="12.5">
      <c r="U3889" s="32"/>
    </row>
    <row r="3890" spans="21:21" ht="12.5">
      <c r="U3890" s="32"/>
    </row>
    <row r="3891" spans="21:21" ht="12.5">
      <c r="U3891" s="32"/>
    </row>
    <row r="3892" spans="21:21" ht="12.5">
      <c r="U3892" s="32"/>
    </row>
    <row r="3893" spans="21:21" ht="12.5">
      <c r="U3893" s="32"/>
    </row>
    <row r="3894" spans="21:21" ht="12.5">
      <c r="U3894" s="32"/>
    </row>
    <row r="3895" spans="21:21" ht="12.5">
      <c r="U3895" s="32"/>
    </row>
    <row r="3896" spans="21:21" ht="12.5">
      <c r="U3896" s="32"/>
    </row>
    <row r="3897" spans="21:21" ht="12.5">
      <c r="U3897" s="32"/>
    </row>
    <row r="3898" spans="21:21" ht="12.5">
      <c r="U3898" s="32"/>
    </row>
    <row r="3899" spans="21:21" ht="12.5">
      <c r="U3899" s="32"/>
    </row>
    <row r="3900" spans="21:21" ht="12.5">
      <c r="U3900" s="32"/>
    </row>
    <row r="3901" spans="21:21" ht="12.5">
      <c r="U3901" s="32"/>
    </row>
    <row r="3902" spans="21:21" ht="12.5">
      <c r="U3902" s="32"/>
    </row>
    <row r="3903" spans="21:21" ht="12.5">
      <c r="U3903" s="32"/>
    </row>
    <row r="3904" spans="21:21" ht="12.5">
      <c r="U3904" s="32"/>
    </row>
    <row r="3905" spans="21:21" ht="12.5">
      <c r="U3905" s="32"/>
    </row>
    <row r="3906" spans="21:21" ht="12.5">
      <c r="U3906" s="32"/>
    </row>
    <row r="3907" spans="21:21" ht="12.5">
      <c r="U3907" s="32"/>
    </row>
    <row r="3908" spans="21:21" ht="12.5">
      <c r="U3908" s="32"/>
    </row>
    <row r="3909" spans="21:21" ht="12.5">
      <c r="U3909" s="32"/>
    </row>
    <row r="3910" spans="21:21" ht="12.5">
      <c r="U3910" s="32"/>
    </row>
    <row r="3911" spans="21:21" ht="12.5">
      <c r="U3911" s="32"/>
    </row>
    <row r="3912" spans="21:21" ht="12.5">
      <c r="U3912" s="32"/>
    </row>
    <row r="3913" spans="21:21" ht="12.5">
      <c r="U3913" s="32"/>
    </row>
    <row r="3914" spans="21:21" ht="12.5">
      <c r="U3914" s="32"/>
    </row>
    <row r="3915" spans="21:21" ht="12.5">
      <c r="U3915" s="32"/>
    </row>
    <row r="3916" spans="21:21" ht="12.5">
      <c r="U3916" s="32"/>
    </row>
    <row r="3917" spans="21:21" ht="12.5">
      <c r="U3917" s="32"/>
    </row>
    <row r="3918" spans="21:21" ht="12.5">
      <c r="U3918" s="32"/>
    </row>
    <row r="3919" spans="21:21" ht="12.5">
      <c r="U3919" s="32"/>
    </row>
    <row r="3920" spans="21:21" ht="12.5">
      <c r="U3920" s="32"/>
    </row>
    <row r="3921" spans="21:21" ht="12.5">
      <c r="U3921" s="32"/>
    </row>
    <row r="3922" spans="21:21" ht="12.5">
      <c r="U3922" s="32"/>
    </row>
    <row r="3923" spans="21:21" ht="12.5">
      <c r="U3923" s="32"/>
    </row>
    <row r="3924" spans="21:21" ht="12.5">
      <c r="U3924" s="32"/>
    </row>
    <row r="3925" spans="21:21" ht="12.5">
      <c r="U3925" s="32"/>
    </row>
    <row r="3926" spans="21:21" ht="12.5">
      <c r="U3926" s="32"/>
    </row>
    <row r="3927" spans="21:21" ht="12.5">
      <c r="U3927" s="32"/>
    </row>
    <row r="3928" spans="21:21" ht="12.5">
      <c r="U3928" s="32"/>
    </row>
    <row r="3929" spans="21:21" ht="12.5">
      <c r="U3929" s="32"/>
    </row>
    <row r="3930" spans="21:21" ht="12.5">
      <c r="U3930" s="32"/>
    </row>
    <row r="3931" spans="21:21" ht="12.5">
      <c r="U3931" s="32"/>
    </row>
    <row r="3932" spans="21:21" ht="12.5">
      <c r="U3932" s="32"/>
    </row>
    <row r="3933" spans="21:21" ht="12.5">
      <c r="U3933" s="32"/>
    </row>
    <row r="3934" spans="21:21" ht="12.5">
      <c r="U3934" s="32"/>
    </row>
    <row r="3935" spans="21:21" ht="12.5">
      <c r="U3935" s="32"/>
    </row>
    <row r="3936" spans="21:21" ht="12.5">
      <c r="U3936" s="32"/>
    </row>
    <row r="3937" spans="21:21" ht="12.5">
      <c r="U3937" s="32"/>
    </row>
    <row r="3938" spans="21:21" ht="12.5">
      <c r="U3938" s="32"/>
    </row>
    <row r="3939" spans="21:21" ht="12.5">
      <c r="U3939" s="32"/>
    </row>
    <row r="3940" spans="21:21" ht="12.5">
      <c r="U3940" s="32"/>
    </row>
    <row r="3941" spans="21:21" ht="12.5">
      <c r="U3941" s="32"/>
    </row>
    <row r="3942" spans="21:21" ht="12.5">
      <c r="U3942" s="32"/>
    </row>
    <row r="3943" spans="21:21" ht="12.5">
      <c r="U3943" s="32"/>
    </row>
    <row r="3944" spans="21:21" ht="12.5">
      <c r="U3944" s="32"/>
    </row>
    <row r="3945" spans="21:21" ht="12.5">
      <c r="U3945" s="32"/>
    </row>
    <row r="3946" spans="21:21" ht="12.5">
      <c r="U3946" s="32"/>
    </row>
    <row r="3947" spans="21:21" ht="12.5">
      <c r="U3947" s="32"/>
    </row>
    <row r="3948" spans="21:21" ht="12.5">
      <c r="U3948" s="32"/>
    </row>
    <row r="3949" spans="21:21" ht="12.5">
      <c r="U3949" s="32"/>
    </row>
    <row r="3950" spans="21:21" ht="12.5">
      <c r="U3950" s="32"/>
    </row>
    <row r="3951" spans="21:21" ht="12.5">
      <c r="U3951" s="32"/>
    </row>
    <row r="3952" spans="21:21" ht="12.5">
      <c r="U3952" s="32"/>
    </row>
    <row r="3953" spans="21:21" ht="12.5">
      <c r="U3953" s="32"/>
    </row>
    <row r="3954" spans="21:21" ht="12.5">
      <c r="U3954" s="32"/>
    </row>
    <row r="3955" spans="21:21" ht="12.5">
      <c r="U3955" s="32"/>
    </row>
    <row r="3956" spans="21:21" ht="12.5">
      <c r="U3956" s="32"/>
    </row>
    <row r="3957" spans="21:21" ht="12.5">
      <c r="U3957" s="32"/>
    </row>
    <row r="3958" spans="21:21" ht="12.5">
      <c r="U3958" s="32"/>
    </row>
    <row r="3959" spans="21:21" ht="12.5">
      <c r="U3959" s="32"/>
    </row>
    <row r="3960" spans="21:21" ht="12.5">
      <c r="U3960" s="32"/>
    </row>
    <row r="3961" spans="21:21" ht="12.5">
      <c r="U3961" s="32"/>
    </row>
    <row r="3962" spans="21:21" ht="12.5">
      <c r="U3962" s="32"/>
    </row>
    <row r="3963" spans="21:21" ht="12.5">
      <c r="U3963" s="32"/>
    </row>
    <row r="3964" spans="21:21" ht="12.5">
      <c r="U3964" s="32"/>
    </row>
    <row r="3965" spans="21:21" ht="12.5">
      <c r="U3965" s="32"/>
    </row>
    <row r="3966" spans="21:21" ht="12.5">
      <c r="U3966" s="32"/>
    </row>
    <row r="3967" spans="21:21" ht="12.5">
      <c r="U3967" s="32"/>
    </row>
    <row r="3968" spans="21:21" ht="12.5">
      <c r="U3968" s="32"/>
    </row>
    <row r="3969" spans="21:21" ht="12.5">
      <c r="U3969" s="32"/>
    </row>
    <row r="3970" spans="21:21" ht="12.5">
      <c r="U3970" s="32"/>
    </row>
    <row r="3971" spans="21:21" ht="12.5">
      <c r="U3971" s="32"/>
    </row>
    <row r="3972" spans="21:21" ht="12.5">
      <c r="U3972" s="32"/>
    </row>
    <row r="3973" spans="21:21" ht="12.5">
      <c r="U3973" s="32"/>
    </row>
    <row r="3974" spans="21:21" ht="12.5">
      <c r="U3974" s="32"/>
    </row>
    <row r="3975" spans="21:21" ht="12.5">
      <c r="U3975" s="32"/>
    </row>
    <row r="3976" spans="21:21" ht="12.5">
      <c r="U3976" s="32"/>
    </row>
    <row r="3977" spans="21:21" ht="12.5">
      <c r="U3977" s="32"/>
    </row>
    <row r="3978" spans="21:21" ht="12.5">
      <c r="U3978" s="32"/>
    </row>
    <row r="3979" spans="21:21" ht="12.5">
      <c r="U3979" s="32"/>
    </row>
    <row r="3980" spans="21:21" ht="12.5">
      <c r="U3980" s="32"/>
    </row>
    <row r="3981" spans="21:21" ht="12.5">
      <c r="U3981" s="32"/>
    </row>
    <row r="3982" spans="21:21" ht="12.5">
      <c r="U3982" s="32"/>
    </row>
    <row r="3983" spans="21:21" ht="12.5">
      <c r="U3983" s="32"/>
    </row>
    <row r="3984" spans="21:21" ht="12.5">
      <c r="U3984" s="32"/>
    </row>
    <row r="3985" spans="21:21" ht="12.5">
      <c r="U3985" s="32"/>
    </row>
    <row r="3986" spans="21:21" ht="12.5">
      <c r="U3986" s="32"/>
    </row>
    <row r="3987" spans="21:21" ht="12.5">
      <c r="U3987" s="32"/>
    </row>
    <row r="3988" spans="21:21" ht="12.5">
      <c r="U3988" s="32"/>
    </row>
    <row r="3989" spans="21:21" ht="12.5">
      <c r="U3989" s="32"/>
    </row>
    <row r="3990" spans="21:21" ht="12.5">
      <c r="U3990" s="32"/>
    </row>
    <row r="3991" spans="21:21" ht="12.5">
      <c r="U3991" s="32"/>
    </row>
    <row r="3992" spans="21:21" ht="12.5">
      <c r="U3992" s="32"/>
    </row>
    <row r="3993" spans="21:21" ht="12.5">
      <c r="U3993" s="32"/>
    </row>
    <row r="3994" spans="21:21" ht="12.5">
      <c r="U3994" s="32"/>
    </row>
    <row r="3995" spans="21:21" ht="12.5">
      <c r="U3995" s="32"/>
    </row>
    <row r="3996" spans="21:21" ht="12.5">
      <c r="U3996" s="32"/>
    </row>
    <row r="3997" spans="21:21" ht="12.5">
      <c r="U3997" s="32"/>
    </row>
    <row r="3998" spans="21:21" ht="12.5">
      <c r="U3998" s="32"/>
    </row>
    <row r="3999" spans="21:21" ht="12.5">
      <c r="U3999" s="32"/>
    </row>
    <row r="4000" spans="21:21" ht="12.5">
      <c r="U4000" s="32"/>
    </row>
    <row r="4001" spans="21:21" ht="12.5">
      <c r="U4001" s="32"/>
    </row>
    <row r="4002" spans="21:21" ht="12.5">
      <c r="U4002" s="32"/>
    </row>
    <row r="4003" spans="21:21" ht="12.5">
      <c r="U4003" s="32"/>
    </row>
    <row r="4004" spans="21:21" ht="12.5">
      <c r="U4004" s="32"/>
    </row>
    <row r="4005" spans="21:21" ht="12.5">
      <c r="U4005" s="32"/>
    </row>
    <row r="4006" spans="21:21" ht="12.5">
      <c r="U4006" s="32"/>
    </row>
    <row r="4007" spans="21:21" ht="12.5">
      <c r="U4007" s="32"/>
    </row>
    <row r="4008" spans="21:21" ht="12.5">
      <c r="U4008" s="32"/>
    </row>
    <row r="4009" spans="21:21" ht="12.5">
      <c r="U4009" s="32"/>
    </row>
    <row r="4010" spans="21:21" ht="12.5">
      <c r="U4010" s="32"/>
    </row>
    <row r="4011" spans="21:21" ht="12.5">
      <c r="U4011" s="32"/>
    </row>
    <row r="4012" spans="21:21" ht="12.5">
      <c r="U4012" s="32"/>
    </row>
    <row r="4013" spans="21:21" ht="12.5">
      <c r="U4013" s="32"/>
    </row>
    <row r="4014" spans="21:21" ht="12.5">
      <c r="U4014" s="32"/>
    </row>
    <row r="4015" spans="21:21" ht="12.5">
      <c r="U4015" s="32"/>
    </row>
    <row r="4016" spans="21:21" ht="12.5">
      <c r="U4016" s="32"/>
    </row>
    <row r="4017" spans="21:21" ht="12.5">
      <c r="U4017" s="32"/>
    </row>
    <row r="4018" spans="21:21" ht="12.5">
      <c r="U4018" s="32"/>
    </row>
    <row r="4019" spans="21:21" ht="12.5">
      <c r="U4019" s="32"/>
    </row>
    <row r="4020" spans="21:21" ht="12.5">
      <c r="U4020" s="32"/>
    </row>
    <row r="4021" spans="21:21" ht="12.5">
      <c r="U4021" s="32"/>
    </row>
    <row r="4022" spans="21:21" ht="12.5">
      <c r="U4022" s="32"/>
    </row>
    <row r="4023" spans="21:21" ht="12.5">
      <c r="U4023" s="32"/>
    </row>
    <row r="4024" spans="21:21" ht="12.5">
      <c r="U4024" s="32"/>
    </row>
    <row r="4025" spans="21:21" ht="12.5">
      <c r="U4025" s="32"/>
    </row>
    <row r="4026" spans="21:21" ht="12.5">
      <c r="U4026" s="32"/>
    </row>
    <row r="4027" spans="21:21" ht="12.5">
      <c r="U4027" s="32"/>
    </row>
    <row r="4028" spans="21:21" ht="12.5">
      <c r="U4028" s="32"/>
    </row>
    <row r="4029" spans="21:21" ht="12.5">
      <c r="U4029" s="32"/>
    </row>
    <row r="4030" spans="21:21" ht="12.5">
      <c r="U4030" s="32"/>
    </row>
    <row r="4031" spans="21:21" ht="12.5">
      <c r="U4031" s="32"/>
    </row>
    <row r="4032" spans="21:21" ht="12.5">
      <c r="U4032" s="32"/>
    </row>
    <row r="4033" spans="21:21" ht="12.5">
      <c r="U4033" s="32"/>
    </row>
    <row r="4034" spans="21:21" ht="12.5">
      <c r="U4034" s="32"/>
    </row>
    <row r="4035" spans="21:21" ht="12.5">
      <c r="U4035" s="32"/>
    </row>
    <row r="4036" spans="21:21" ht="12.5">
      <c r="U4036" s="32"/>
    </row>
    <row r="4037" spans="21:21" ht="12.5">
      <c r="U4037" s="32"/>
    </row>
    <row r="4038" spans="21:21" ht="12.5">
      <c r="U4038" s="32"/>
    </row>
    <row r="4039" spans="21:21" ht="12.5">
      <c r="U4039" s="32"/>
    </row>
    <row r="4040" spans="21:21" ht="12.5">
      <c r="U4040" s="32"/>
    </row>
    <row r="4041" spans="21:21" ht="12.5">
      <c r="U4041" s="32"/>
    </row>
    <row r="4042" spans="21:21" ht="12.5">
      <c r="U4042" s="32"/>
    </row>
    <row r="4043" spans="21:21" ht="12.5">
      <c r="U4043" s="32"/>
    </row>
    <row r="4044" spans="21:21" ht="12.5">
      <c r="U4044" s="32"/>
    </row>
    <row r="4045" spans="21:21" ht="12.5">
      <c r="U4045" s="32"/>
    </row>
    <row r="4046" spans="21:21" ht="12.5">
      <c r="U4046" s="32"/>
    </row>
    <row r="4047" spans="21:21" ht="12.5">
      <c r="U4047" s="32"/>
    </row>
    <row r="4048" spans="21:21" ht="12.5">
      <c r="U4048" s="32"/>
    </row>
    <row r="4049" spans="21:21" ht="12.5">
      <c r="U4049" s="32"/>
    </row>
    <row r="4050" spans="21:21" ht="12.5">
      <c r="U4050" s="32"/>
    </row>
    <row r="4051" spans="21:21" ht="12.5">
      <c r="U4051" s="32"/>
    </row>
    <row r="4052" spans="21:21" ht="12.5">
      <c r="U4052" s="32"/>
    </row>
    <row r="4053" spans="21:21" ht="12.5">
      <c r="U4053" s="32"/>
    </row>
    <row r="4054" spans="21:21" ht="12.5">
      <c r="U4054" s="32"/>
    </row>
    <row r="4055" spans="21:21" ht="12.5">
      <c r="U4055" s="32"/>
    </row>
    <row r="4056" spans="21:21" ht="12.5">
      <c r="U4056" s="32"/>
    </row>
    <row r="4057" spans="21:21" ht="12.5">
      <c r="U4057" s="32"/>
    </row>
    <row r="4058" spans="21:21" ht="12.5">
      <c r="U4058" s="32"/>
    </row>
    <row r="4059" spans="21:21" ht="12.5">
      <c r="U4059" s="32"/>
    </row>
    <row r="4060" spans="21:21" ht="12.5">
      <c r="U4060" s="32"/>
    </row>
    <row r="4061" spans="21:21" ht="12.5">
      <c r="U4061" s="32"/>
    </row>
    <row r="4062" spans="21:21" ht="12.5">
      <c r="U4062" s="32"/>
    </row>
    <row r="4063" spans="21:21" ht="12.5">
      <c r="U4063" s="32"/>
    </row>
    <row r="4064" spans="21:21" ht="12.5">
      <c r="U4064" s="32"/>
    </row>
    <row r="4065" spans="21:21" ht="12.5">
      <c r="U4065" s="32"/>
    </row>
    <row r="4066" spans="21:21" ht="12.5">
      <c r="U4066" s="32"/>
    </row>
    <row r="4067" spans="21:21" ht="12.5">
      <c r="U4067" s="32"/>
    </row>
    <row r="4068" spans="21:21" ht="12.5">
      <c r="U4068" s="32"/>
    </row>
    <row r="4069" spans="21:21" ht="12.5">
      <c r="U4069" s="32"/>
    </row>
    <row r="4070" spans="21:21" ht="12.5">
      <c r="U4070" s="32"/>
    </row>
    <row r="4071" spans="21:21" ht="12.5">
      <c r="U4071" s="32"/>
    </row>
    <row r="4072" spans="21:21" ht="12.5">
      <c r="U4072" s="32"/>
    </row>
    <row r="4073" spans="21:21" ht="12.5">
      <c r="U4073" s="32"/>
    </row>
    <row r="4074" spans="21:21" ht="12.5">
      <c r="U4074" s="32"/>
    </row>
    <row r="4075" spans="21:21" ht="12.5">
      <c r="U4075" s="32"/>
    </row>
    <row r="4076" spans="21:21" ht="12.5">
      <c r="U4076" s="32"/>
    </row>
    <row r="4077" spans="21:21" ht="12.5">
      <c r="U4077" s="32"/>
    </row>
    <row r="4078" spans="21:21" ht="12.5">
      <c r="U4078" s="32"/>
    </row>
    <row r="4079" spans="21:21" ht="12.5">
      <c r="U4079" s="32"/>
    </row>
    <row r="4080" spans="21:21" ht="12.5">
      <c r="U4080" s="32"/>
    </row>
    <row r="4081" spans="21:21" ht="12.5">
      <c r="U4081" s="32"/>
    </row>
    <row r="4082" spans="21:21" ht="12.5">
      <c r="U4082" s="32"/>
    </row>
    <row r="4083" spans="21:21" ht="12.5">
      <c r="U4083" s="32"/>
    </row>
    <row r="4084" spans="21:21" ht="12.5">
      <c r="U4084" s="32"/>
    </row>
    <row r="4085" spans="21:21" ht="12.5">
      <c r="U4085" s="32"/>
    </row>
    <row r="4086" spans="21:21" ht="12.5">
      <c r="U4086" s="32"/>
    </row>
    <row r="4087" spans="21:21" ht="12.5">
      <c r="U4087" s="32"/>
    </row>
    <row r="4088" spans="21:21" ht="12.5">
      <c r="U4088" s="32"/>
    </row>
    <row r="4089" spans="21:21" ht="12.5">
      <c r="U4089" s="32"/>
    </row>
    <row r="4090" spans="21:21" ht="12.5">
      <c r="U4090" s="32"/>
    </row>
    <row r="4091" spans="21:21" ht="12.5">
      <c r="U4091" s="32"/>
    </row>
    <row r="4092" spans="21:21" ht="12.5">
      <c r="U4092" s="32"/>
    </row>
    <row r="4093" spans="21:21" ht="12.5">
      <c r="U4093" s="32"/>
    </row>
    <row r="4094" spans="21:21" ht="12.5">
      <c r="U4094" s="32"/>
    </row>
    <row r="4095" spans="21:21" ht="12.5">
      <c r="U4095" s="32"/>
    </row>
    <row r="4096" spans="21:21" ht="12.5">
      <c r="U4096" s="32"/>
    </row>
    <row r="4097" spans="21:21" ht="12.5">
      <c r="U4097" s="32"/>
    </row>
    <row r="4098" spans="21:21" ht="12.5">
      <c r="U4098" s="32"/>
    </row>
    <row r="4099" spans="21:21" ht="12.5">
      <c r="U4099" s="32"/>
    </row>
    <row r="4100" spans="21:21" ht="12.5">
      <c r="U4100" s="32"/>
    </row>
    <row r="4101" spans="21:21" ht="12.5">
      <c r="U4101" s="32"/>
    </row>
    <row r="4102" spans="21:21" ht="12.5">
      <c r="U4102" s="32"/>
    </row>
    <row r="4103" spans="21:21" ht="12.5">
      <c r="U4103" s="32"/>
    </row>
    <row r="4104" spans="21:21" ht="12.5">
      <c r="U4104" s="32"/>
    </row>
    <row r="4105" spans="21:21" ht="12.5">
      <c r="U4105" s="32"/>
    </row>
    <row r="4106" spans="21:21" ht="12.5">
      <c r="U4106" s="32"/>
    </row>
    <row r="4107" spans="21:21" ht="12.5">
      <c r="U4107" s="32"/>
    </row>
    <row r="4108" spans="21:21" ht="12.5">
      <c r="U4108" s="32"/>
    </row>
    <row r="4109" spans="21:21" ht="12.5">
      <c r="U4109" s="32"/>
    </row>
    <row r="4110" spans="21:21" ht="12.5">
      <c r="U4110" s="32"/>
    </row>
    <row r="4111" spans="21:21" ht="12.5">
      <c r="U4111" s="32"/>
    </row>
    <row r="4112" spans="21:21" ht="12.5">
      <c r="U4112" s="32"/>
    </row>
    <row r="4113" spans="21:21" ht="12.5">
      <c r="U4113" s="32"/>
    </row>
    <row r="4114" spans="21:21" ht="12.5">
      <c r="U4114" s="32"/>
    </row>
    <row r="4115" spans="21:21" ht="12.5">
      <c r="U4115" s="32"/>
    </row>
    <row r="4116" spans="21:21" ht="12.5">
      <c r="U4116" s="32"/>
    </row>
    <row r="4117" spans="21:21" ht="12.5">
      <c r="U4117" s="32"/>
    </row>
    <row r="4118" spans="21:21" ht="12.5">
      <c r="U4118" s="32"/>
    </row>
    <row r="4119" spans="21:21" ht="12.5">
      <c r="U4119" s="32"/>
    </row>
    <row r="4120" spans="21:21" ht="12.5">
      <c r="U4120" s="32"/>
    </row>
    <row r="4121" spans="21:21" ht="12.5">
      <c r="U4121" s="32"/>
    </row>
    <row r="4122" spans="21:21" ht="12.5">
      <c r="U4122" s="32"/>
    </row>
    <row r="4123" spans="21:21" ht="12.5">
      <c r="U4123" s="32"/>
    </row>
    <row r="4124" spans="21:21" ht="12.5">
      <c r="U4124" s="32"/>
    </row>
    <row r="4125" spans="21:21" ht="12.5">
      <c r="U4125" s="32"/>
    </row>
    <row r="4126" spans="21:21" ht="12.5">
      <c r="U4126" s="32"/>
    </row>
    <row r="4127" spans="21:21" ht="12.5">
      <c r="U4127" s="32"/>
    </row>
    <row r="4128" spans="21:21" ht="12.5">
      <c r="U4128" s="32"/>
    </row>
    <row r="4129" spans="21:21" ht="12.5">
      <c r="U4129" s="32"/>
    </row>
    <row r="4130" spans="21:21" ht="12.5">
      <c r="U4130" s="32"/>
    </row>
    <row r="4131" spans="21:21" ht="12.5">
      <c r="U4131" s="32"/>
    </row>
    <row r="4132" spans="21:21" ht="12.5">
      <c r="U4132" s="32"/>
    </row>
    <row r="4133" spans="21:21" ht="12.5">
      <c r="U4133" s="32"/>
    </row>
    <row r="4134" spans="21:21" ht="12.5">
      <c r="U4134" s="32"/>
    </row>
    <row r="4135" spans="21:21" ht="12.5">
      <c r="U4135" s="32"/>
    </row>
    <row r="4136" spans="21:21" ht="12.5">
      <c r="U4136" s="32"/>
    </row>
    <row r="4137" spans="21:21" ht="12.5">
      <c r="U4137" s="32"/>
    </row>
    <row r="4138" spans="21:21" ht="12.5">
      <c r="U4138" s="32"/>
    </row>
    <row r="4139" spans="21:21" ht="12.5">
      <c r="U4139" s="32"/>
    </row>
    <row r="4140" spans="21:21" ht="12.5">
      <c r="U4140" s="32"/>
    </row>
    <row r="4141" spans="21:21" ht="12.5">
      <c r="U4141" s="32"/>
    </row>
    <row r="4142" spans="21:21" ht="12.5">
      <c r="U4142" s="32"/>
    </row>
    <row r="4143" spans="21:21" ht="12.5">
      <c r="U4143" s="32"/>
    </row>
    <row r="4144" spans="21:21" ht="12.5">
      <c r="U4144" s="32"/>
    </row>
    <row r="4145" spans="21:21" ht="12.5">
      <c r="U4145" s="32"/>
    </row>
    <row r="4146" spans="21:21" ht="12.5">
      <c r="U4146" s="32"/>
    </row>
    <row r="4147" spans="21:21" ht="12.5">
      <c r="U4147" s="32"/>
    </row>
    <row r="4148" spans="21:21" ht="12.5">
      <c r="U4148" s="32"/>
    </row>
    <row r="4149" spans="21:21" ht="12.5">
      <c r="U4149" s="32"/>
    </row>
    <row r="4150" spans="21:21" ht="12.5">
      <c r="U4150" s="32"/>
    </row>
    <row r="4151" spans="21:21" ht="12.5">
      <c r="U4151" s="32"/>
    </row>
    <row r="4152" spans="21:21" ht="12.5">
      <c r="U4152" s="32"/>
    </row>
    <row r="4153" spans="21:21" ht="12.5">
      <c r="U4153" s="32"/>
    </row>
    <row r="4154" spans="21:21" ht="12.5">
      <c r="U4154" s="32"/>
    </row>
    <row r="4155" spans="21:21" ht="12.5">
      <c r="U4155" s="32"/>
    </row>
    <row r="4156" spans="21:21" ht="12.5">
      <c r="U4156" s="32"/>
    </row>
    <row r="4157" spans="21:21" ht="12.5">
      <c r="U4157" s="32"/>
    </row>
    <row r="4158" spans="21:21" ht="12.5">
      <c r="U4158" s="32"/>
    </row>
    <row r="4159" spans="21:21" ht="12.5">
      <c r="U4159" s="32"/>
    </row>
    <row r="4160" spans="21:21" ht="12.5">
      <c r="U4160" s="32"/>
    </row>
    <row r="4161" spans="21:21" ht="12.5">
      <c r="U4161" s="32"/>
    </row>
    <row r="4162" spans="21:21" ht="12.5">
      <c r="U4162" s="32"/>
    </row>
    <row r="4163" spans="21:21" ht="12.5">
      <c r="U4163" s="32"/>
    </row>
    <row r="4164" spans="21:21" ht="12.5">
      <c r="U4164" s="32"/>
    </row>
    <row r="4165" spans="21:21" ht="12.5">
      <c r="U4165" s="32"/>
    </row>
    <row r="4166" spans="21:21" ht="12.5">
      <c r="U4166" s="32"/>
    </row>
    <row r="4167" spans="21:21" ht="12.5">
      <c r="U4167" s="32"/>
    </row>
    <row r="4168" spans="21:21" ht="12.5">
      <c r="U4168" s="32"/>
    </row>
    <row r="4169" spans="21:21" ht="12.5">
      <c r="U4169" s="32"/>
    </row>
    <row r="4170" spans="21:21" ht="12.5">
      <c r="U4170" s="32"/>
    </row>
    <row r="4171" spans="21:21" ht="12.5">
      <c r="U4171" s="32"/>
    </row>
    <row r="4172" spans="21:21" ht="12.5">
      <c r="U4172" s="32"/>
    </row>
    <row r="4173" spans="21:21" ht="12.5">
      <c r="U4173" s="32"/>
    </row>
    <row r="4174" spans="21:21" ht="12.5">
      <c r="U4174" s="32"/>
    </row>
    <row r="4175" spans="21:21" ht="12.5">
      <c r="U4175" s="32"/>
    </row>
    <row r="4176" spans="21:21" ht="12.5">
      <c r="U4176" s="32"/>
    </row>
    <row r="4177" spans="21:21" ht="12.5">
      <c r="U4177" s="32"/>
    </row>
    <row r="4178" spans="21:21" ht="12.5">
      <c r="U4178" s="32"/>
    </row>
    <row r="4179" spans="21:21" ht="12.5">
      <c r="U4179" s="32"/>
    </row>
    <row r="4180" spans="21:21" ht="12.5">
      <c r="U4180" s="32"/>
    </row>
    <row r="4181" spans="21:21" ht="12.5">
      <c r="U4181" s="32"/>
    </row>
    <row r="4182" spans="21:21" ht="12.5">
      <c r="U4182" s="32"/>
    </row>
    <row r="4183" spans="21:21" ht="12.5">
      <c r="U4183" s="32"/>
    </row>
    <row r="4184" spans="21:21" ht="12.5">
      <c r="U4184" s="32"/>
    </row>
    <row r="4185" spans="21:21" ht="12.5">
      <c r="U4185" s="32"/>
    </row>
    <row r="4186" spans="21:21" ht="12.5">
      <c r="U4186" s="32"/>
    </row>
    <row r="4187" spans="21:21" ht="12.5">
      <c r="U4187" s="32"/>
    </row>
    <row r="4188" spans="21:21" ht="12.5">
      <c r="U4188" s="32"/>
    </row>
    <row r="4189" spans="21:21" ht="12.5">
      <c r="U4189" s="32"/>
    </row>
    <row r="4190" spans="21:21" ht="12.5">
      <c r="U4190" s="32"/>
    </row>
    <row r="4191" spans="21:21" ht="12.5">
      <c r="U4191" s="32"/>
    </row>
    <row r="4192" spans="21:21" ht="12.5">
      <c r="U4192" s="32"/>
    </row>
    <row r="4193" spans="21:21" ht="12.5">
      <c r="U4193" s="32"/>
    </row>
    <row r="4194" spans="21:21" ht="12.5">
      <c r="U4194" s="32"/>
    </row>
    <row r="4195" spans="21:21" ht="12.5">
      <c r="U4195" s="32"/>
    </row>
    <row r="4196" spans="21:21" ht="12.5">
      <c r="U4196" s="32"/>
    </row>
    <row r="4197" spans="21:21" ht="12.5">
      <c r="U4197" s="32"/>
    </row>
    <row r="4198" spans="21:21" ht="12.5">
      <c r="U4198" s="32"/>
    </row>
    <row r="4199" spans="21:21" ht="12.5">
      <c r="U4199" s="32"/>
    </row>
    <row r="4200" spans="21:21" ht="12.5">
      <c r="U4200" s="32"/>
    </row>
    <row r="4201" spans="21:21" ht="12.5">
      <c r="U4201" s="32"/>
    </row>
    <row r="4202" spans="21:21" ht="12.5">
      <c r="U4202" s="32"/>
    </row>
    <row r="4203" spans="21:21" ht="12.5">
      <c r="U4203" s="32"/>
    </row>
    <row r="4204" spans="21:21" ht="12.5">
      <c r="U4204" s="32"/>
    </row>
    <row r="4205" spans="21:21" ht="12.5">
      <c r="U4205" s="32"/>
    </row>
    <row r="4206" spans="21:21" ht="12.5">
      <c r="U4206" s="32"/>
    </row>
    <row r="4207" spans="21:21" ht="12.5">
      <c r="U4207" s="32"/>
    </row>
    <row r="4208" spans="21:21" ht="12.5">
      <c r="U4208" s="32"/>
    </row>
    <row r="4209" spans="21:21" ht="12.5">
      <c r="U4209" s="32"/>
    </row>
    <row r="4210" spans="21:21" ht="12.5">
      <c r="U4210" s="32"/>
    </row>
    <row r="4211" spans="21:21" ht="12.5">
      <c r="U4211" s="32"/>
    </row>
    <row r="4212" spans="21:21" ht="12.5">
      <c r="U4212" s="32"/>
    </row>
    <row r="4213" spans="21:21" ht="12.5">
      <c r="U4213" s="32"/>
    </row>
    <row r="4214" spans="21:21" ht="12.5">
      <c r="U4214" s="32"/>
    </row>
    <row r="4215" spans="21:21" ht="12.5">
      <c r="U4215" s="32"/>
    </row>
    <row r="4216" spans="21:21" ht="12.5">
      <c r="U4216" s="32"/>
    </row>
    <row r="4217" spans="21:21" ht="12.5">
      <c r="U4217" s="32"/>
    </row>
    <row r="4218" spans="21:21" ht="12.5">
      <c r="U4218" s="32"/>
    </row>
    <row r="4219" spans="21:21" ht="12.5">
      <c r="U4219" s="32"/>
    </row>
    <row r="4220" spans="21:21" ht="12.5">
      <c r="U4220" s="32"/>
    </row>
    <row r="4221" spans="21:21" ht="12.5">
      <c r="U4221" s="32"/>
    </row>
    <row r="4222" spans="21:21" ht="12.5">
      <c r="U4222" s="32"/>
    </row>
    <row r="4223" spans="21:21" ht="12.5">
      <c r="U4223" s="32"/>
    </row>
    <row r="4224" spans="21:21" ht="12.5">
      <c r="U4224" s="32"/>
    </row>
    <row r="4225" spans="21:21" ht="12.5">
      <c r="U4225" s="32"/>
    </row>
    <row r="4226" spans="21:21" ht="12.5">
      <c r="U4226" s="32"/>
    </row>
    <row r="4227" spans="21:21" ht="12.5">
      <c r="U4227" s="32"/>
    </row>
    <row r="4228" spans="21:21" ht="12.5">
      <c r="U4228" s="32"/>
    </row>
    <row r="4229" spans="21:21" ht="12.5">
      <c r="U4229" s="32"/>
    </row>
    <row r="4230" spans="21:21" ht="12.5">
      <c r="U4230" s="32"/>
    </row>
    <row r="4231" spans="21:21" ht="12.5">
      <c r="U4231" s="32"/>
    </row>
    <row r="4232" spans="21:21" ht="12.5">
      <c r="U4232" s="32"/>
    </row>
    <row r="4233" spans="21:21" ht="12.5">
      <c r="U4233" s="32"/>
    </row>
    <row r="4234" spans="21:21" ht="12.5">
      <c r="U4234" s="32"/>
    </row>
    <row r="4235" spans="21:21" ht="12.5">
      <c r="U4235" s="32"/>
    </row>
    <row r="4236" spans="21:21" ht="12.5">
      <c r="U4236" s="32"/>
    </row>
    <row r="4237" spans="21:21" ht="12.5">
      <c r="U4237" s="32"/>
    </row>
    <row r="4238" spans="21:21" ht="12.5">
      <c r="U4238" s="32"/>
    </row>
    <row r="4239" spans="21:21" ht="12.5">
      <c r="U4239" s="32"/>
    </row>
    <row r="4240" spans="21:21" ht="12.5">
      <c r="U4240" s="32"/>
    </row>
    <row r="4241" spans="21:21" ht="12.5">
      <c r="U4241" s="32"/>
    </row>
    <row r="4242" spans="21:21" ht="12.5">
      <c r="U4242" s="32"/>
    </row>
    <row r="4243" spans="21:21" ht="12.5">
      <c r="U4243" s="32"/>
    </row>
    <row r="4244" spans="21:21" ht="12.5">
      <c r="U4244" s="32"/>
    </row>
    <row r="4245" spans="21:21" ht="12.5">
      <c r="U4245" s="32"/>
    </row>
    <row r="4246" spans="21:21" ht="12.5">
      <c r="U4246" s="32"/>
    </row>
    <row r="4247" spans="21:21" ht="12.5">
      <c r="U4247" s="32"/>
    </row>
    <row r="4248" spans="21:21" ht="12.5">
      <c r="U4248" s="32"/>
    </row>
    <row r="4249" spans="21:21" ht="12.5">
      <c r="U4249" s="32"/>
    </row>
    <row r="4250" spans="21:21" ht="12.5">
      <c r="U4250" s="32"/>
    </row>
    <row r="4251" spans="21:21" ht="12.5">
      <c r="U4251" s="32"/>
    </row>
    <row r="4252" spans="21:21" ht="12.5">
      <c r="U4252" s="32"/>
    </row>
    <row r="4253" spans="21:21" ht="12.5">
      <c r="U4253" s="32"/>
    </row>
    <row r="4254" spans="21:21" ht="12.5">
      <c r="U4254" s="32"/>
    </row>
    <row r="4255" spans="21:21" ht="12.5">
      <c r="U4255" s="32"/>
    </row>
    <row r="4256" spans="21:21" ht="12.5">
      <c r="U4256" s="32"/>
    </row>
    <row r="4257" spans="21:21" ht="12.5">
      <c r="U4257" s="32"/>
    </row>
    <row r="4258" spans="21:21" ht="12.5">
      <c r="U4258" s="32"/>
    </row>
    <row r="4259" spans="21:21" ht="12.5">
      <c r="U4259" s="32"/>
    </row>
    <row r="4260" spans="21:21" ht="12.5">
      <c r="U4260" s="32"/>
    </row>
    <row r="4261" spans="21:21" ht="12.5">
      <c r="U4261" s="32"/>
    </row>
    <row r="4262" spans="21:21" ht="12.5">
      <c r="U4262" s="32"/>
    </row>
    <row r="4263" spans="21:21" ht="12.5">
      <c r="U4263" s="32"/>
    </row>
    <row r="4264" spans="21:21" ht="12.5">
      <c r="U4264" s="32"/>
    </row>
    <row r="4265" spans="21:21" ht="12.5">
      <c r="U4265" s="32"/>
    </row>
    <row r="4266" spans="21:21" ht="12.5">
      <c r="U4266" s="32"/>
    </row>
    <row r="4267" spans="21:21" ht="12.5">
      <c r="U4267" s="32"/>
    </row>
    <row r="4268" spans="21:21" ht="12.5">
      <c r="U4268" s="32"/>
    </row>
    <row r="4269" spans="21:21" ht="12.5">
      <c r="U4269" s="32"/>
    </row>
    <row r="4270" spans="21:21" ht="12.5">
      <c r="U4270" s="32"/>
    </row>
    <row r="4271" spans="21:21" ht="12.5">
      <c r="U4271" s="32"/>
    </row>
    <row r="4272" spans="21:21" ht="12.5">
      <c r="U4272" s="32"/>
    </row>
    <row r="4273" spans="21:21" ht="12.5">
      <c r="U4273" s="32"/>
    </row>
    <row r="4274" spans="21:21" ht="12.5">
      <c r="U4274" s="32"/>
    </row>
    <row r="4275" spans="21:21" ht="12.5">
      <c r="U4275" s="32"/>
    </row>
    <row r="4276" spans="21:21" ht="12.5">
      <c r="U4276" s="32"/>
    </row>
    <row r="4277" spans="21:21" ht="12.5">
      <c r="U4277" s="32"/>
    </row>
    <row r="4278" spans="21:21" ht="12.5">
      <c r="U4278" s="32"/>
    </row>
    <row r="4279" spans="21:21" ht="12.5">
      <c r="U4279" s="32"/>
    </row>
    <row r="4280" spans="21:21" ht="12.5">
      <c r="U4280" s="32"/>
    </row>
    <row r="4281" spans="21:21" ht="12.5">
      <c r="U4281" s="32"/>
    </row>
    <row r="4282" spans="21:21" ht="12.5">
      <c r="U4282" s="32"/>
    </row>
    <row r="4283" spans="21:21" ht="12.5">
      <c r="U4283" s="32"/>
    </row>
    <row r="4284" spans="21:21" ht="12.5">
      <c r="U4284" s="32"/>
    </row>
    <row r="4285" spans="21:21" ht="12.5">
      <c r="U4285" s="32"/>
    </row>
    <row r="4286" spans="21:21" ht="12.5">
      <c r="U4286" s="32"/>
    </row>
    <row r="4287" spans="21:21" ht="12.5">
      <c r="U4287" s="32"/>
    </row>
    <row r="4288" spans="21:21" ht="12.5">
      <c r="U4288" s="32"/>
    </row>
    <row r="4289" spans="21:21" ht="12.5">
      <c r="U4289" s="32"/>
    </row>
    <row r="4290" spans="21:21" ht="12.5">
      <c r="U4290" s="32"/>
    </row>
    <row r="4291" spans="21:21" ht="12.5">
      <c r="U4291" s="32"/>
    </row>
    <row r="4292" spans="21:21" ht="12.5">
      <c r="U4292" s="32"/>
    </row>
    <row r="4293" spans="21:21" ht="12.5">
      <c r="U4293" s="32"/>
    </row>
    <row r="4294" spans="21:21" ht="12.5">
      <c r="U4294" s="32"/>
    </row>
    <row r="4295" spans="21:21" ht="12.5">
      <c r="U4295" s="32"/>
    </row>
    <row r="4296" spans="21:21" ht="12.5">
      <c r="U4296" s="32"/>
    </row>
    <row r="4297" spans="21:21" ht="12.5">
      <c r="U4297" s="32"/>
    </row>
    <row r="4298" spans="21:21" ht="12.5">
      <c r="U4298" s="32"/>
    </row>
    <row r="4299" spans="21:21" ht="12.5">
      <c r="U4299" s="32"/>
    </row>
    <row r="4300" spans="21:21" ht="12.5">
      <c r="U4300" s="32"/>
    </row>
    <row r="4301" spans="21:21" ht="12.5">
      <c r="U4301" s="32"/>
    </row>
    <row r="4302" spans="21:21" ht="12.5">
      <c r="U4302" s="32"/>
    </row>
    <row r="4303" spans="21:21" ht="12.5">
      <c r="U4303" s="32"/>
    </row>
    <row r="4304" spans="21:21" ht="12.5">
      <c r="U4304" s="32"/>
    </row>
    <row r="4305" spans="21:21" ht="12.5">
      <c r="U4305" s="32"/>
    </row>
    <row r="4306" spans="21:21" ht="12.5">
      <c r="U4306" s="32"/>
    </row>
    <row r="4307" spans="21:21" ht="12.5">
      <c r="U4307" s="32"/>
    </row>
    <row r="4308" spans="21:21" ht="12.5">
      <c r="U4308" s="32"/>
    </row>
    <row r="4309" spans="21:21" ht="12.5">
      <c r="U4309" s="32"/>
    </row>
    <row r="4310" spans="21:21" ht="12.5">
      <c r="U4310" s="32"/>
    </row>
    <row r="4311" spans="21:21" ht="12.5">
      <c r="U4311" s="32"/>
    </row>
    <row r="4312" spans="21:21" ht="12.5">
      <c r="U4312" s="32"/>
    </row>
    <row r="4313" spans="21:21" ht="12.5">
      <c r="U4313" s="32"/>
    </row>
    <row r="4314" spans="21:21" ht="12.5">
      <c r="U4314" s="32"/>
    </row>
    <row r="4315" spans="21:21" ht="12.5">
      <c r="U4315" s="32"/>
    </row>
    <row r="4316" spans="21:21" ht="12.5">
      <c r="U4316" s="32"/>
    </row>
    <row r="4317" spans="21:21" ht="12.5">
      <c r="U4317" s="32"/>
    </row>
    <row r="4318" spans="21:21" ht="12.5">
      <c r="U4318" s="32"/>
    </row>
    <row r="4319" spans="21:21" ht="12.5">
      <c r="U4319" s="32"/>
    </row>
    <row r="4320" spans="21:21" ht="12.5">
      <c r="U4320" s="32"/>
    </row>
    <row r="4321" spans="21:21" ht="12.5">
      <c r="U4321" s="32"/>
    </row>
    <row r="4322" spans="21:21" ht="12.5">
      <c r="U4322" s="32"/>
    </row>
    <row r="4323" spans="21:21" ht="12.5">
      <c r="U4323" s="32"/>
    </row>
    <row r="4324" spans="21:21" ht="12.5">
      <c r="U4324" s="32"/>
    </row>
    <row r="4325" spans="21:21" ht="12.5">
      <c r="U4325" s="32"/>
    </row>
    <row r="4326" spans="21:21" ht="12.5">
      <c r="U4326" s="32"/>
    </row>
    <row r="4327" spans="21:21" ht="12.5">
      <c r="U4327" s="32"/>
    </row>
    <row r="4328" spans="21:21" ht="12.5">
      <c r="U4328" s="32"/>
    </row>
    <row r="4329" spans="21:21" ht="12.5">
      <c r="U4329" s="32"/>
    </row>
    <row r="4330" spans="21:21" ht="12.5">
      <c r="U4330" s="32"/>
    </row>
    <row r="4331" spans="21:21" ht="12.5">
      <c r="U4331" s="32"/>
    </row>
    <row r="4332" spans="21:21" ht="12.5">
      <c r="U4332" s="32"/>
    </row>
    <row r="4333" spans="21:21" ht="12.5">
      <c r="U4333" s="32"/>
    </row>
    <row r="4334" spans="21:21" ht="12.5">
      <c r="U4334" s="32"/>
    </row>
    <row r="4335" spans="21:21" ht="12.5">
      <c r="U4335" s="32"/>
    </row>
    <row r="4336" spans="21:21" ht="12.5">
      <c r="U4336" s="32"/>
    </row>
    <row r="4337" spans="21:21" ht="12.5">
      <c r="U4337" s="32"/>
    </row>
    <row r="4338" spans="21:21" ht="12.5">
      <c r="U4338" s="32"/>
    </row>
    <row r="4339" spans="21:21" ht="12.5">
      <c r="U4339" s="32"/>
    </row>
    <row r="4340" spans="21:21" ht="12.5">
      <c r="U4340" s="32"/>
    </row>
    <row r="4341" spans="21:21" ht="12.5">
      <c r="U4341" s="32"/>
    </row>
    <row r="4342" spans="21:21" ht="12.5">
      <c r="U4342" s="32"/>
    </row>
    <row r="4343" spans="21:21" ht="12.5">
      <c r="U4343" s="32"/>
    </row>
    <row r="4344" spans="21:21" ht="12.5">
      <c r="U4344" s="32"/>
    </row>
    <row r="4345" spans="21:21" ht="12.5">
      <c r="U4345" s="32"/>
    </row>
    <row r="4346" spans="21:21" ht="12.5">
      <c r="U4346" s="32"/>
    </row>
    <row r="4347" spans="21:21" ht="12.5">
      <c r="U4347" s="32"/>
    </row>
    <row r="4348" spans="21:21" ht="12.5">
      <c r="U4348" s="32"/>
    </row>
    <row r="4349" spans="21:21" ht="12.5">
      <c r="U4349" s="32"/>
    </row>
    <row r="4350" spans="21:21" ht="12.5">
      <c r="U4350" s="32"/>
    </row>
    <row r="4351" spans="21:21" ht="12.5">
      <c r="U4351" s="32"/>
    </row>
    <row r="4352" spans="21:21" ht="12.5">
      <c r="U4352" s="32"/>
    </row>
    <row r="4353" spans="21:21" ht="12.5">
      <c r="U4353" s="32"/>
    </row>
    <row r="4354" spans="21:21" ht="12.5">
      <c r="U4354" s="32"/>
    </row>
    <row r="4355" spans="21:21" ht="12.5">
      <c r="U4355" s="32"/>
    </row>
    <row r="4356" spans="21:21" ht="12.5">
      <c r="U4356" s="32"/>
    </row>
    <row r="4357" spans="21:21" ht="12.5">
      <c r="U4357" s="32"/>
    </row>
    <row r="4358" spans="21:21" ht="12.5">
      <c r="U4358" s="32"/>
    </row>
    <row r="4359" spans="21:21" ht="12.5">
      <c r="U4359" s="32"/>
    </row>
    <row r="4360" spans="21:21" ht="12.5">
      <c r="U4360" s="32"/>
    </row>
    <row r="4361" spans="21:21" ht="12.5">
      <c r="U4361" s="32"/>
    </row>
    <row r="4362" spans="21:21" ht="12.5">
      <c r="U4362" s="32"/>
    </row>
    <row r="4363" spans="21:21" ht="12.5">
      <c r="U4363" s="32"/>
    </row>
    <row r="4364" spans="21:21" ht="12.5">
      <c r="U4364" s="32"/>
    </row>
    <row r="4365" spans="21:21" ht="12.5">
      <c r="U4365" s="32"/>
    </row>
    <row r="4366" spans="21:21" ht="12.5">
      <c r="U4366" s="32"/>
    </row>
    <row r="4367" spans="21:21" ht="12.5">
      <c r="U4367" s="32"/>
    </row>
    <row r="4368" spans="21:21" ht="12.5">
      <c r="U4368" s="32"/>
    </row>
    <row r="4369" spans="21:21" ht="12.5">
      <c r="U4369" s="32"/>
    </row>
    <row r="4370" spans="21:21" ht="12.5">
      <c r="U4370" s="32"/>
    </row>
    <row r="4371" spans="21:21" ht="12.5">
      <c r="U4371" s="32"/>
    </row>
    <row r="4372" spans="21:21" ht="12.5">
      <c r="U4372" s="32"/>
    </row>
    <row r="4373" spans="21:21" ht="12.5">
      <c r="U4373" s="32"/>
    </row>
    <row r="4374" spans="21:21" ht="12.5">
      <c r="U4374" s="32"/>
    </row>
    <row r="4375" spans="21:21" ht="12.5">
      <c r="U4375" s="32"/>
    </row>
    <row r="4376" spans="21:21" ht="12.5">
      <c r="U4376" s="32"/>
    </row>
    <row r="4377" spans="21:21" ht="12.5">
      <c r="U4377" s="32"/>
    </row>
    <row r="4378" spans="21:21" ht="12.5">
      <c r="U4378" s="32"/>
    </row>
    <row r="4379" spans="21:21" ht="12.5">
      <c r="U4379" s="32"/>
    </row>
    <row r="4380" spans="21:21" ht="12.5">
      <c r="U4380" s="32"/>
    </row>
    <row r="4381" spans="21:21" ht="12.5">
      <c r="U4381" s="32"/>
    </row>
    <row r="4382" spans="21:21" ht="12.5">
      <c r="U4382" s="32"/>
    </row>
    <row r="4383" spans="21:21" ht="12.5">
      <c r="U4383" s="32"/>
    </row>
    <row r="4384" spans="21:21" ht="12.5">
      <c r="U4384" s="32"/>
    </row>
    <row r="4385" spans="21:21" ht="12.5">
      <c r="U4385" s="32"/>
    </row>
    <row r="4386" spans="21:21" ht="12.5">
      <c r="U4386" s="32"/>
    </row>
    <row r="4387" spans="21:21" ht="12.5">
      <c r="U4387" s="32"/>
    </row>
    <row r="4388" spans="21:21" ht="12.5">
      <c r="U4388" s="32"/>
    </row>
    <row r="4389" spans="21:21" ht="12.5">
      <c r="U4389" s="32"/>
    </row>
    <row r="4390" spans="21:21" ht="12.5">
      <c r="U4390" s="32"/>
    </row>
    <row r="4391" spans="21:21" ht="12.5">
      <c r="U4391" s="32"/>
    </row>
    <row r="4392" spans="21:21" ht="12.5">
      <c r="U4392" s="32"/>
    </row>
    <row r="4393" spans="21:21" ht="12.5">
      <c r="U4393" s="32"/>
    </row>
    <row r="4394" spans="21:21" ht="12.5">
      <c r="U4394" s="32"/>
    </row>
    <row r="4395" spans="21:21" ht="12.5">
      <c r="U4395" s="32"/>
    </row>
    <row r="4396" spans="21:21" ht="12.5">
      <c r="U4396" s="32"/>
    </row>
    <row r="4397" spans="21:21" ht="12.5">
      <c r="U4397" s="32"/>
    </row>
    <row r="4398" spans="21:21" ht="12.5">
      <c r="U4398" s="32"/>
    </row>
    <row r="4399" spans="21:21" ht="12.5">
      <c r="U4399" s="32"/>
    </row>
    <row r="4400" spans="21:21" ht="12.5">
      <c r="U4400" s="32"/>
    </row>
    <row r="4401" spans="21:21" ht="12.5">
      <c r="U4401" s="32"/>
    </row>
    <row r="4402" spans="21:21" ht="12.5">
      <c r="U4402" s="32"/>
    </row>
    <row r="4403" spans="21:21" ht="12.5">
      <c r="U4403" s="32"/>
    </row>
    <row r="4404" spans="21:21" ht="12.5">
      <c r="U4404" s="32"/>
    </row>
    <row r="4405" spans="21:21" ht="12.5">
      <c r="U4405" s="32"/>
    </row>
    <row r="4406" spans="21:21" ht="12.5">
      <c r="U4406" s="32"/>
    </row>
    <row r="4407" spans="21:21" ht="12.5">
      <c r="U4407" s="32"/>
    </row>
    <row r="4408" spans="21:21" ht="12.5">
      <c r="U4408" s="32"/>
    </row>
    <row r="4409" spans="21:21" ht="12.5">
      <c r="U4409" s="32"/>
    </row>
    <row r="4410" spans="21:21" ht="12.5">
      <c r="U4410" s="32"/>
    </row>
    <row r="4411" spans="21:21" ht="12.5">
      <c r="U4411" s="32"/>
    </row>
    <row r="4412" spans="21:21" ht="12.5">
      <c r="U4412" s="32"/>
    </row>
    <row r="4413" spans="21:21" ht="12.5">
      <c r="U4413" s="32"/>
    </row>
    <row r="4414" spans="21:21" ht="12.5">
      <c r="U4414" s="32"/>
    </row>
    <row r="4415" spans="21:21" ht="12.5">
      <c r="U4415" s="32"/>
    </row>
    <row r="4416" spans="21:21" ht="12.5">
      <c r="U4416" s="32"/>
    </row>
    <row r="4417" spans="21:21" ht="12.5">
      <c r="U4417" s="32"/>
    </row>
    <row r="4418" spans="21:21" ht="12.5">
      <c r="U4418" s="32"/>
    </row>
    <row r="4419" spans="21:21" ht="12.5">
      <c r="U4419" s="32"/>
    </row>
    <row r="4420" spans="21:21" ht="12.5">
      <c r="U4420" s="32"/>
    </row>
    <row r="4421" spans="21:21" ht="12.5">
      <c r="U4421" s="32"/>
    </row>
    <row r="4422" spans="21:21" ht="12.5">
      <c r="U4422" s="32"/>
    </row>
    <row r="4423" spans="21:21" ht="12.5">
      <c r="U4423" s="32"/>
    </row>
    <row r="4424" spans="21:21" ht="12.5">
      <c r="U4424" s="32"/>
    </row>
    <row r="4425" spans="21:21" ht="12.5">
      <c r="U4425" s="32"/>
    </row>
    <row r="4426" spans="21:21" ht="12.5">
      <c r="U4426" s="32"/>
    </row>
    <row r="4427" spans="21:21" ht="12.5">
      <c r="U4427" s="32"/>
    </row>
    <row r="4428" spans="21:21" ht="12.5">
      <c r="U4428" s="32"/>
    </row>
    <row r="4429" spans="21:21" ht="12.5">
      <c r="U4429" s="32"/>
    </row>
    <row r="4430" spans="21:21" ht="12.5">
      <c r="U4430" s="32"/>
    </row>
    <row r="4431" spans="21:21" ht="12.5">
      <c r="U4431" s="32"/>
    </row>
    <row r="4432" spans="21:21" ht="12.5">
      <c r="U4432" s="32"/>
    </row>
    <row r="4433" spans="21:21" ht="12.5">
      <c r="U4433" s="32"/>
    </row>
    <row r="4434" spans="21:21" ht="12.5">
      <c r="U4434" s="32"/>
    </row>
    <row r="4435" spans="21:21" ht="12.5">
      <c r="U4435" s="32"/>
    </row>
    <row r="4436" spans="21:21" ht="12.5">
      <c r="U4436" s="32"/>
    </row>
    <row r="4437" spans="21:21" ht="12.5">
      <c r="U4437" s="32"/>
    </row>
    <row r="4438" spans="21:21" ht="12.5">
      <c r="U4438" s="32"/>
    </row>
    <row r="4439" spans="21:21" ht="12.5">
      <c r="U4439" s="32"/>
    </row>
    <row r="4440" spans="21:21" ht="12.5">
      <c r="U4440" s="32"/>
    </row>
    <row r="4441" spans="21:21" ht="12.5">
      <c r="U4441" s="32"/>
    </row>
    <row r="4442" spans="21:21" ht="12.5">
      <c r="U4442" s="32"/>
    </row>
    <row r="4443" spans="21:21" ht="12.5">
      <c r="U4443" s="32"/>
    </row>
    <row r="4444" spans="21:21" ht="12.5">
      <c r="U4444" s="32"/>
    </row>
    <row r="4445" spans="21:21" ht="12.5">
      <c r="U4445" s="32"/>
    </row>
    <row r="4446" spans="21:21" ht="12.5">
      <c r="U4446" s="32"/>
    </row>
    <row r="4447" spans="21:21" ht="12.5">
      <c r="U4447" s="32"/>
    </row>
    <row r="4448" spans="21:21" ht="12.5">
      <c r="U4448" s="32"/>
    </row>
    <row r="4449" spans="21:21" ht="12.5">
      <c r="U4449" s="32"/>
    </row>
    <row r="4450" spans="21:21" ht="12.5">
      <c r="U4450" s="32"/>
    </row>
    <row r="4451" spans="21:21" ht="12.5">
      <c r="U4451" s="32"/>
    </row>
    <row r="4452" spans="21:21" ht="12.5">
      <c r="U4452" s="32"/>
    </row>
    <row r="4453" spans="21:21" ht="12.5">
      <c r="U4453" s="32"/>
    </row>
    <row r="4454" spans="21:21" ht="12.5">
      <c r="U4454" s="32"/>
    </row>
    <row r="4455" spans="21:21" ht="12.5">
      <c r="U4455" s="32"/>
    </row>
    <row r="4456" spans="21:21" ht="12.5">
      <c r="U4456" s="32"/>
    </row>
    <row r="4457" spans="21:21" ht="12.5">
      <c r="U4457" s="32"/>
    </row>
    <row r="4458" spans="21:21" ht="12.5">
      <c r="U4458" s="32"/>
    </row>
    <row r="4459" spans="21:21" ht="12.5">
      <c r="U4459" s="32"/>
    </row>
    <row r="4460" spans="21:21" ht="12.5">
      <c r="U4460" s="32"/>
    </row>
    <row r="4461" spans="21:21" ht="12.5">
      <c r="U4461" s="32"/>
    </row>
    <row r="4462" spans="21:21" ht="12.5">
      <c r="U4462" s="32"/>
    </row>
    <row r="4463" spans="21:21" ht="12.5">
      <c r="U4463" s="32"/>
    </row>
    <row r="4464" spans="21:21" ht="12.5">
      <c r="U4464" s="32"/>
    </row>
    <row r="4465" spans="21:21" ht="12.5">
      <c r="U4465" s="32"/>
    </row>
    <row r="4466" spans="21:21" ht="12.5">
      <c r="U4466" s="32"/>
    </row>
    <row r="4467" spans="21:21" ht="12.5">
      <c r="U4467" s="32"/>
    </row>
    <row r="4468" spans="21:21" ht="12.5">
      <c r="U4468" s="32"/>
    </row>
    <row r="4469" spans="21:21" ht="12.5">
      <c r="U4469" s="32"/>
    </row>
    <row r="4470" spans="21:21" ht="12.5">
      <c r="U4470" s="32"/>
    </row>
    <row r="4471" spans="21:21" ht="12.5">
      <c r="U4471" s="32"/>
    </row>
    <row r="4472" spans="21:21" ht="12.5">
      <c r="U4472" s="32"/>
    </row>
    <row r="4473" spans="21:21" ht="12.5">
      <c r="U4473" s="32"/>
    </row>
    <row r="4474" spans="21:21" ht="12.5">
      <c r="U4474" s="32"/>
    </row>
    <row r="4475" spans="21:21" ht="12.5">
      <c r="U4475" s="32"/>
    </row>
    <row r="4476" spans="21:21" ht="12.5">
      <c r="U4476" s="32"/>
    </row>
    <row r="4477" spans="21:21" ht="12.5">
      <c r="U4477" s="32"/>
    </row>
    <row r="4478" spans="21:21" ht="12.5">
      <c r="U4478" s="32"/>
    </row>
    <row r="4479" spans="21:21" ht="12.5">
      <c r="U4479" s="32"/>
    </row>
    <row r="4480" spans="21:21" ht="12.5">
      <c r="U4480" s="32"/>
    </row>
    <row r="4481" spans="21:21" ht="12.5">
      <c r="U4481" s="32"/>
    </row>
    <row r="4482" spans="21:21" ht="12.5">
      <c r="U4482" s="32"/>
    </row>
    <row r="4483" spans="21:21" ht="12.5">
      <c r="U4483" s="32"/>
    </row>
    <row r="4484" spans="21:21" ht="12.5">
      <c r="U4484" s="32"/>
    </row>
    <row r="4485" spans="21:21" ht="12.5">
      <c r="U4485" s="32"/>
    </row>
    <row r="4486" spans="21:21" ht="12.5">
      <c r="U4486" s="32"/>
    </row>
    <row r="4487" spans="21:21" ht="12.5">
      <c r="U4487" s="32"/>
    </row>
    <row r="4488" spans="21:21" ht="12.5">
      <c r="U4488" s="32"/>
    </row>
    <row r="4489" spans="21:21" ht="12.5">
      <c r="U4489" s="32"/>
    </row>
    <row r="4490" spans="21:21" ht="12.5">
      <c r="U4490" s="32"/>
    </row>
    <row r="4491" spans="21:21" ht="12.5">
      <c r="U4491" s="32"/>
    </row>
    <row r="4492" spans="21:21" ht="12.5">
      <c r="U4492" s="32"/>
    </row>
    <row r="4493" spans="21:21" ht="12.5">
      <c r="U4493" s="32"/>
    </row>
    <row r="4494" spans="21:21" ht="12.5">
      <c r="U4494" s="32"/>
    </row>
    <row r="4495" spans="21:21" ht="12.5">
      <c r="U4495" s="32"/>
    </row>
    <row r="4496" spans="21:21" ht="12.5">
      <c r="U4496" s="32"/>
    </row>
    <row r="4497" spans="21:21" ht="12.5">
      <c r="U4497" s="32"/>
    </row>
    <row r="4498" spans="21:21" ht="12.5">
      <c r="U4498" s="32"/>
    </row>
    <row r="4499" spans="21:21" ht="12.5">
      <c r="U4499" s="32"/>
    </row>
    <row r="4500" spans="21:21" ht="12.5">
      <c r="U4500" s="32"/>
    </row>
    <row r="4501" spans="21:21" ht="12.5">
      <c r="U4501" s="32"/>
    </row>
    <row r="4502" spans="21:21" ht="12.5">
      <c r="U4502" s="32"/>
    </row>
    <row r="4503" spans="21:21" ht="12.5">
      <c r="U4503" s="32"/>
    </row>
    <row r="4504" spans="21:21" ht="12.5">
      <c r="U4504" s="32"/>
    </row>
    <row r="4505" spans="21:21" ht="12.5">
      <c r="U4505" s="32"/>
    </row>
    <row r="4506" spans="21:21" ht="12.5">
      <c r="U4506" s="32"/>
    </row>
    <row r="4507" spans="21:21" ht="12.5">
      <c r="U4507" s="32"/>
    </row>
    <row r="4508" spans="21:21" ht="12.5">
      <c r="U4508" s="32"/>
    </row>
    <row r="4509" spans="21:21" ht="12.5">
      <c r="U4509" s="32"/>
    </row>
    <row r="4510" spans="21:21" ht="12.5">
      <c r="U4510" s="32"/>
    </row>
    <row r="4511" spans="21:21" ht="12.5">
      <c r="U4511" s="32"/>
    </row>
    <row r="4512" spans="21:21" ht="12.5">
      <c r="U4512" s="32"/>
    </row>
    <row r="4513" spans="21:21" ht="12.5">
      <c r="U4513" s="32"/>
    </row>
    <row r="4514" spans="21:21" ht="12.5">
      <c r="U4514" s="32"/>
    </row>
    <row r="4515" spans="21:21" ht="12.5">
      <c r="U4515" s="32"/>
    </row>
    <row r="4516" spans="21:21" ht="12.5">
      <c r="U4516" s="32"/>
    </row>
    <row r="4517" spans="21:21" ht="12.5">
      <c r="U4517" s="32"/>
    </row>
    <row r="4518" spans="21:21" ht="12.5">
      <c r="U4518" s="32"/>
    </row>
    <row r="4519" spans="21:21" ht="12.5">
      <c r="U4519" s="32"/>
    </row>
    <row r="4520" spans="21:21" ht="12.5">
      <c r="U4520" s="32"/>
    </row>
    <row r="4521" spans="21:21" ht="12.5">
      <c r="U4521" s="32"/>
    </row>
    <row r="4522" spans="21:21" ht="12.5">
      <c r="U4522" s="32"/>
    </row>
    <row r="4523" spans="21:21" ht="12.5">
      <c r="U4523" s="32"/>
    </row>
    <row r="4524" spans="21:21" ht="12.5">
      <c r="U4524" s="32"/>
    </row>
    <row r="4525" spans="21:21" ht="12.5">
      <c r="U4525" s="32"/>
    </row>
    <row r="4526" spans="21:21" ht="12.5">
      <c r="U4526" s="32"/>
    </row>
    <row r="4527" spans="21:21" ht="12.5">
      <c r="U4527" s="32"/>
    </row>
    <row r="4528" spans="21:21" ht="12.5">
      <c r="U4528" s="32"/>
    </row>
    <row r="4529" spans="21:21" ht="12.5">
      <c r="U4529" s="32"/>
    </row>
    <row r="4530" spans="21:21" ht="12.5">
      <c r="U4530" s="32"/>
    </row>
    <row r="4531" spans="21:21" ht="12.5">
      <c r="U4531" s="32"/>
    </row>
    <row r="4532" spans="21:21" ht="12.5">
      <c r="U4532" s="32"/>
    </row>
    <row r="4533" spans="21:21" ht="12.5">
      <c r="U4533" s="32"/>
    </row>
    <row r="4534" spans="21:21" ht="12.5">
      <c r="U4534" s="32"/>
    </row>
    <row r="4535" spans="21:21" ht="12.5">
      <c r="U4535" s="32"/>
    </row>
    <row r="4536" spans="21:21" ht="12.5">
      <c r="U4536" s="32"/>
    </row>
    <row r="4537" spans="21:21" ht="12.5">
      <c r="U4537" s="32"/>
    </row>
    <row r="4538" spans="21:21" ht="12.5">
      <c r="U4538" s="32"/>
    </row>
    <row r="4539" spans="21:21" ht="12.5">
      <c r="U4539" s="32"/>
    </row>
    <row r="4540" spans="21:21" ht="12.5">
      <c r="U4540" s="32"/>
    </row>
    <row r="4541" spans="21:21" ht="12.5">
      <c r="U4541" s="32"/>
    </row>
    <row r="4542" spans="21:21" ht="12.5">
      <c r="U4542" s="32"/>
    </row>
    <row r="4543" spans="21:21" ht="12.5">
      <c r="U4543" s="32"/>
    </row>
    <row r="4544" spans="21:21" ht="12.5">
      <c r="U4544" s="32"/>
    </row>
    <row r="4545" spans="21:21" ht="12.5">
      <c r="U4545" s="32"/>
    </row>
    <row r="4546" spans="21:21" ht="12.5">
      <c r="U4546" s="32"/>
    </row>
    <row r="4547" spans="21:21" ht="12.5">
      <c r="U4547" s="32"/>
    </row>
    <row r="4548" spans="21:21" ht="12.5">
      <c r="U4548" s="32"/>
    </row>
    <row r="4549" spans="21:21" ht="12.5">
      <c r="U4549" s="32"/>
    </row>
    <row r="4550" spans="21:21" ht="12.5">
      <c r="U4550" s="32"/>
    </row>
    <row r="4551" spans="21:21" ht="12.5">
      <c r="U4551" s="32"/>
    </row>
    <row r="4552" spans="21:21" ht="12.5">
      <c r="U4552" s="32"/>
    </row>
    <row r="4553" spans="21:21" ht="12.5">
      <c r="U4553" s="32"/>
    </row>
    <row r="4554" spans="21:21" ht="12.5">
      <c r="U4554" s="32"/>
    </row>
    <row r="4555" spans="21:21" ht="12.5">
      <c r="U4555" s="32"/>
    </row>
    <row r="4556" spans="21:21" ht="12.5">
      <c r="U4556" s="32"/>
    </row>
    <row r="4557" spans="21:21" ht="12.5">
      <c r="U4557" s="32"/>
    </row>
    <row r="4558" spans="21:21" ht="12.5">
      <c r="U4558" s="32"/>
    </row>
    <row r="4559" spans="21:21" ht="12.5">
      <c r="U4559" s="32"/>
    </row>
    <row r="4560" spans="21:21" ht="12.5">
      <c r="U4560" s="32"/>
    </row>
    <row r="4561" spans="21:21" ht="12.5">
      <c r="U4561" s="32"/>
    </row>
    <row r="4562" spans="21:21" ht="12.5">
      <c r="U4562" s="32"/>
    </row>
    <row r="4563" spans="21:21" ht="12.5">
      <c r="U4563" s="32"/>
    </row>
    <row r="4564" spans="21:21" ht="12.5">
      <c r="U4564" s="32"/>
    </row>
    <row r="4565" spans="21:21" ht="12.5">
      <c r="U4565" s="32"/>
    </row>
    <row r="4566" spans="21:21" ht="12.5">
      <c r="U4566" s="32"/>
    </row>
    <row r="4567" spans="21:21" ht="12.5">
      <c r="U4567" s="32"/>
    </row>
    <row r="4568" spans="21:21" ht="12.5">
      <c r="U4568" s="32"/>
    </row>
    <row r="4569" spans="21:21" ht="12.5">
      <c r="U4569" s="32"/>
    </row>
    <row r="4570" spans="21:21" ht="12.5">
      <c r="U4570" s="32"/>
    </row>
    <row r="4571" spans="21:21" ht="12.5">
      <c r="U4571" s="32"/>
    </row>
    <row r="4572" spans="21:21" ht="12.5">
      <c r="U4572" s="32"/>
    </row>
    <row r="4573" spans="21:21" ht="12.5">
      <c r="U4573" s="32"/>
    </row>
    <row r="4574" spans="21:21" ht="12.5">
      <c r="U4574" s="32"/>
    </row>
    <row r="4575" spans="21:21" ht="12.5">
      <c r="U4575" s="32"/>
    </row>
    <row r="4576" spans="21:21" ht="12.5">
      <c r="U4576" s="32"/>
    </row>
    <row r="4577" spans="21:21" ht="12.5">
      <c r="U4577" s="32"/>
    </row>
    <row r="4578" spans="21:21" ht="12.5">
      <c r="U4578" s="32"/>
    </row>
    <row r="4579" spans="21:21" ht="12.5">
      <c r="U4579" s="32"/>
    </row>
    <row r="4580" spans="21:21" ht="12.5">
      <c r="U4580" s="32"/>
    </row>
    <row r="4581" spans="21:21" ht="12.5">
      <c r="U4581" s="32"/>
    </row>
    <row r="4582" spans="21:21" ht="12.5">
      <c r="U4582" s="32"/>
    </row>
    <row r="4583" spans="21:21" ht="12.5">
      <c r="U4583" s="32"/>
    </row>
    <row r="4584" spans="21:21" ht="12.5">
      <c r="U4584" s="32"/>
    </row>
    <row r="4585" spans="21:21" ht="12.5">
      <c r="U4585" s="32"/>
    </row>
    <row r="4586" spans="21:21" ht="12.5">
      <c r="U4586" s="32"/>
    </row>
    <row r="4587" spans="21:21" ht="12.5">
      <c r="U4587" s="32"/>
    </row>
    <row r="4588" spans="21:21" ht="12.5">
      <c r="U4588" s="32"/>
    </row>
    <row r="4589" spans="21:21" ht="12.5">
      <c r="U4589" s="32"/>
    </row>
    <row r="4590" spans="21:21" ht="12.5">
      <c r="U4590" s="32"/>
    </row>
    <row r="4591" spans="21:21" ht="12.5">
      <c r="U4591" s="32"/>
    </row>
    <row r="4592" spans="21:21" ht="12.5">
      <c r="U4592" s="32"/>
    </row>
    <row r="4593" spans="21:21" ht="12.5">
      <c r="U4593" s="32"/>
    </row>
    <row r="4594" spans="21:21" ht="12.5">
      <c r="U4594" s="32"/>
    </row>
    <row r="4595" spans="21:21" ht="12.5">
      <c r="U4595" s="32"/>
    </row>
    <row r="4596" spans="21:21" ht="12.5">
      <c r="U4596" s="32"/>
    </row>
    <row r="4597" spans="21:21" ht="12.5">
      <c r="U4597" s="32"/>
    </row>
    <row r="4598" spans="21:21" ht="12.5">
      <c r="U4598" s="32"/>
    </row>
    <row r="4599" spans="21:21" ht="12.5">
      <c r="U4599" s="32"/>
    </row>
    <row r="4600" spans="21:21" ht="12.5">
      <c r="U4600" s="32"/>
    </row>
    <row r="4601" spans="21:21" ht="12.5">
      <c r="U4601" s="32"/>
    </row>
    <row r="4602" spans="21:21" ht="12.5">
      <c r="U4602" s="32"/>
    </row>
    <row r="4603" spans="21:21" ht="12.5">
      <c r="U4603" s="32"/>
    </row>
    <row r="4604" spans="21:21" ht="12.5">
      <c r="U4604" s="32"/>
    </row>
    <row r="4605" spans="21:21" ht="12.5">
      <c r="U4605" s="32"/>
    </row>
    <row r="4606" spans="21:21" ht="12.5">
      <c r="U4606" s="32"/>
    </row>
    <row r="4607" spans="21:21" ht="12.5">
      <c r="U4607" s="32"/>
    </row>
    <row r="4608" spans="21:21" ht="12.5">
      <c r="U4608" s="32"/>
    </row>
    <row r="4609" spans="21:21" ht="12.5">
      <c r="U4609" s="32"/>
    </row>
    <row r="4610" spans="21:21" ht="12.5">
      <c r="U4610" s="32"/>
    </row>
    <row r="4611" spans="21:21" ht="12.5">
      <c r="U4611" s="32"/>
    </row>
    <row r="4612" spans="21:21" ht="12.5">
      <c r="U4612" s="32"/>
    </row>
    <row r="4613" spans="21:21" ht="12.5">
      <c r="U4613" s="32"/>
    </row>
    <row r="4614" spans="21:21" ht="12.5">
      <c r="U4614" s="32"/>
    </row>
    <row r="4615" spans="21:21" ht="12.5">
      <c r="U4615" s="32"/>
    </row>
    <row r="4616" spans="21:21" ht="12.5">
      <c r="U4616" s="32"/>
    </row>
    <row r="4617" spans="21:21" ht="12.5">
      <c r="U4617" s="32"/>
    </row>
    <row r="4618" spans="21:21" ht="12.5">
      <c r="U4618" s="32"/>
    </row>
    <row r="4619" spans="21:21" ht="12.5">
      <c r="U4619" s="32"/>
    </row>
    <row r="4620" spans="21:21" ht="12.5">
      <c r="U4620" s="32"/>
    </row>
    <row r="4621" spans="21:21" ht="12.5">
      <c r="U4621" s="32"/>
    </row>
    <row r="4622" spans="21:21" ht="12.5">
      <c r="U4622" s="32"/>
    </row>
    <row r="4623" spans="21:21" ht="12.5">
      <c r="U4623" s="32"/>
    </row>
    <row r="4624" spans="21:21" ht="12.5">
      <c r="U4624" s="32"/>
    </row>
    <row r="4625" spans="21:21" ht="12.5">
      <c r="U4625" s="32"/>
    </row>
    <row r="4626" spans="21:21" ht="12.5">
      <c r="U4626" s="32"/>
    </row>
    <row r="4627" spans="21:21" ht="12.5">
      <c r="U4627" s="32"/>
    </row>
    <row r="4628" spans="21:21" ht="12.5">
      <c r="U4628" s="32"/>
    </row>
    <row r="4629" spans="21:21" ht="12.5">
      <c r="U4629" s="32"/>
    </row>
    <row r="4630" spans="21:21" ht="12.5">
      <c r="U4630" s="32"/>
    </row>
    <row r="4631" spans="21:21" ht="12.5">
      <c r="U4631" s="32"/>
    </row>
    <row r="4632" spans="21:21" ht="12.5">
      <c r="U4632" s="32"/>
    </row>
    <row r="4633" spans="21:21" ht="12.5">
      <c r="U4633" s="32"/>
    </row>
    <row r="4634" spans="21:21" ht="12.5">
      <c r="U4634" s="32"/>
    </row>
    <row r="4635" spans="21:21" ht="12.5">
      <c r="U4635" s="32"/>
    </row>
    <row r="4636" spans="21:21" ht="12.5">
      <c r="U4636" s="32"/>
    </row>
    <row r="4637" spans="21:21" ht="12.5">
      <c r="U4637" s="32"/>
    </row>
    <row r="4638" spans="21:21" ht="12.5">
      <c r="U4638" s="32"/>
    </row>
    <row r="4639" spans="21:21" ht="12.5">
      <c r="U4639" s="32"/>
    </row>
    <row r="4640" spans="21:21" ht="12.5">
      <c r="U4640" s="32"/>
    </row>
    <row r="4641" spans="21:21" ht="12.5">
      <c r="U4641" s="32"/>
    </row>
    <row r="4642" spans="21:21" ht="12.5">
      <c r="U4642" s="32"/>
    </row>
    <row r="4643" spans="21:21" ht="12.5">
      <c r="U4643" s="32"/>
    </row>
    <row r="4644" spans="21:21" ht="12.5">
      <c r="U4644" s="32"/>
    </row>
    <row r="4645" spans="21:21" ht="12.5">
      <c r="U4645" s="32"/>
    </row>
    <row r="4646" spans="21:21" ht="12.5">
      <c r="U4646" s="32"/>
    </row>
    <row r="4647" spans="21:21" ht="12.5">
      <c r="U4647" s="32"/>
    </row>
    <row r="4648" spans="21:21" ht="12.5">
      <c r="U4648" s="32"/>
    </row>
    <row r="4649" spans="21:21" ht="12.5">
      <c r="U4649" s="32"/>
    </row>
    <row r="4650" spans="21:21" ht="12.5">
      <c r="U4650" s="32"/>
    </row>
    <row r="4651" spans="21:21" ht="12.5">
      <c r="U4651" s="32"/>
    </row>
    <row r="4652" spans="21:21" ht="12.5">
      <c r="U4652" s="32"/>
    </row>
    <row r="4653" spans="21:21" ht="12.5">
      <c r="U4653" s="32"/>
    </row>
    <row r="4654" spans="21:21" ht="12.5">
      <c r="U4654" s="32"/>
    </row>
    <row r="4655" spans="21:21" ht="12.5">
      <c r="U4655" s="32"/>
    </row>
    <row r="4656" spans="21:21" ht="12.5">
      <c r="U4656" s="32"/>
    </row>
    <row r="4657" spans="21:21" ht="12.5">
      <c r="U4657" s="32"/>
    </row>
    <row r="4658" spans="21:21" ht="12.5">
      <c r="U4658" s="32"/>
    </row>
    <row r="4659" spans="21:21" ht="12.5">
      <c r="U4659" s="32"/>
    </row>
    <row r="4660" spans="21:21" ht="12.5">
      <c r="U4660" s="32"/>
    </row>
    <row r="4661" spans="21:21" ht="12.5">
      <c r="U4661" s="32"/>
    </row>
    <row r="4662" spans="21:21" ht="12.5">
      <c r="U4662" s="32"/>
    </row>
    <row r="4663" spans="21:21" ht="12.5">
      <c r="U4663" s="32"/>
    </row>
    <row r="4664" spans="21:21" ht="12.5">
      <c r="U4664" s="32"/>
    </row>
    <row r="4665" spans="21:21" ht="12.5">
      <c r="U4665" s="32"/>
    </row>
    <row r="4666" spans="21:21" ht="12.5">
      <c r="U4666" s="32"/>
    </row>
    <row r="4667" spans="21:21" ht="12.5">
      <c r="U4667" s="32"/>
    </row>
    <row r="4668" spans="21:21" ht="12.5">
      <c r="U4668" s="32"/>
    </row>
    <row r="4669" spans="21:21" ht="12.5">
      <c r="U4669" s="32"/>
    </row>
    <row r="4670" spans="21:21" ht="12.5">
      <c r="U4670" s="32"/>
    </row>
    <row r="4671" spans="21:21" ht="12.5">
      <c r="U4671" s="32"/>
    </row>
    <row r="4672" spans="21:21" ht="12.5">
      <c r="U4672" s="32"/>
    </row>
    <row r="4673" spans="21:21" ht="12.5">
      <c r="U4673" s="32"/>
    </row>
    <row r="4674" spans="21:21" ht="12.5">
      <c r="U4674" s="32"/>
    </row>
    <row r="4675" spans="21:21" ht="12.5">
      <c r="U4675" s="32"/>
    </row>
    <row r="4676" spans="21:21" ht="12.5">
      <c r="U4676" s="32"/>
    </row>
    <row r="4677" spans="21:21" ht="12.5">
      <c r="U4677" s="32"/>
    </row>
    <row r="4678" spans="21:21" ht="12.5">
      <c r="U4678" s="32"/>
    </row>
    <row r="4679" spans="21:21" ht="12.5">
      <c r="U4679" s="32"/>
    </row>
    <row r="4680" spans="21:21" ht="12.5">
      <c r="U4680" s="32"/>
    </row>
    <row r="4681" spans="21:21" ht="12.5">
      <c r="U4681" s="32"/>
    </row>
    <row r="4682" spans="21:21" ht="12.5">
      <c r="U4682" s="32"/>
    </row>
    <row r="4683" spans="21:21" ht="12.5">
      <c r="U4683" s="32"/>
    </row>
    <row r="4684" spans="21:21" ht="12.5">
      <c r="U4684" s="32"/>
    </row>
    <row r="4685" spans="21:21" ht="12.5">
      <c r="U4685" s="32"/>
    </row>
    <row r="4686" spans="21:21" ht="12.5">
      <c r="U4686" s="32"/>
    </row>
    <row r="4687" spans="21:21" ht="12.5">
      <c r="U4687" s="32"/>
    </row>
    <row r="4688" spans="21:21" ht="12.5">
      <c r="U4688" s="32"/>
    </row>
    <row r="4689" spans="21:21" ht="12.5">
      <c r="U4689" s="32"/>
    </row>
    <row r="4690" spans="21:21" ht="12.5">
      <c r="U4690" s="32"/>
    </row>
    <row r="4691" spans="21:21" ht="12.5">
      <c r="U4691" s="32"/>
    </row>
    <row r="4692" spans="21:21" ht="12.5">
      <c r="U4692" s="32"/>
    </row>
    <row r="4693" spans="21:21" ht="12.5">
      <c r="U4693" s="32"/>
    </row>
    <row r="4694" spans="21:21" ht="12.5">
      <c r="U4694" s="32"/>
    </row>
    <row r="4695" spans="21:21" ht="12.5">
      <c r="U4695" s="32"/>
    </row>
    <row r="4696" spans="21:21" ht="12.5">
      <c r="U4696" s="32"/>
    </row>
    <row r="4697" spans="21:21" ht="12.5">
      <c r="U4697" s="32"/>
    </row>
    <row r="4698" spans="21:21" ht="12.5">
      <c r="U4698" s="32"/>
    </row>
    <row r="4699" spans="21:21" ht="12.5">
      <c r="U4699" s="32"/>
    </row>
    <row r="4700" spans="21:21" ht="12.5">
      <c r="U4700" s="32"/>
    </row>
    <row r="4701" spans="21:21" ht="12.5">
      <c r="U4701" s="32"/>
    </row>
    <row r="4702" spans="21:21" ht="12.5">
      <c r="U4702" s="32"/>
    </row>
    <row r="4703" spans="21:21" ht="12.5">
      <c r="U4703" s="32"/>
    </row>
    <row r="4704" spans="21:21" ht="12.5">
      <c r="U4704" s="32"/>
    </row>
    <row r="4705" spans="21:21" ht="12.5">
      <c r="U4705" s="32"/>
    </row>
    <row r="4706" spans="21:21" ht="12.5">
      <c r="U4706" s="32"/>
    </row>
    <row r="4707" spans="21:21" ht="12.5">
      <c r="U4707" s="32"/>
    </row>
    <row r="4708" spans="21:21" ht="12.5">
      <c r="U4708" s="32"/>
    </row>
    <row r="4709" spans="21:21" ht="12.5">
      <c r="U4709" s="32"/>
    </row>
    <row r="4710" spans="21:21" ht="12.5">
      <c r="U4710" s="32"/>
    </row>
    <row r="4711" spans="21:21" ht="12.5">
      <c r="U4711" s="32"/>
    </row>
    <row r="4712" spans="21:21" ht="12.5">
      <c r="U4712" s="32"/>
    </row>
    <row r="4713" spans="21:21" ht="12.5">
      <c r="U4713" s="32"/>
    </row>
    <row r="4714" spans="21:21" ht="12.5">
      <c r="U4714" s="32"/>
    </row>
    <row r="4715" spans="21:21" ht="12.5">
      <c r="U4715" s="32"/>
    </row>
    <row r="4716" spans="21:21" ht="12.5">
      <c r="U4716" s="32"/>
    </row>
    <row r="4717" spans="21:21" ht="12.5">
      <c r="U4717" s="32"/>
    </row>
    <row r="4718" spans="21:21" ht="12.5">
      <c r="U4718" s="32"/>
    </row>
    <row r="4719" spans="21:21" ht="12.5">
      <c r="U4719" s="32"/>
    </row>
    <row r="4720" spans="21:21" ht="12.5">
      <c r="U4720" s="32"/>
    </row>
    <row r="4721" spans="21:21" ht="12.5">
      <c r="U4721" s="32"/>
    </row>
    <row r="4722" spans="21:21" ht="12.5">
      <c r="U4722" s="32"/>
    </row>
    <row r="4723" spans="21:21" ht="12.5">
      <c r="U4723" s="32"/>
    </row>
    <row r="4724" spans="21:21" ht="12.5">
      <c r="U4724" s="32"/>
    </row>
    <row r="4725" spans="21:21" ht="12.5">
      <c r="U4725" s="32"/>
    </row>
    <row r="4726" spans="21:21" ht="12.5">
      <c r="U4726" s="32"/>
    </row>
    <row r="4727" spans="21:21" ht="12.5">
      <c r="U4727" s="32"/>
    </row>
    <row r="4728" spans="21:21" ht="12.5">
      <c r="U4728" s="32"/>
    </row>
    <row r="4729" spans="21:21" ht="12.5">
      <c r="U4729" s="32"/>
    </row>
    <row r="4730" spans="21:21" ht="12.5">
      <c r="U4730" s="32"/>
    </row>
    <row r="4731" spans="21:21" ht="12.5">
      <c r="U4731" s="32"/>
    </row>
    <row r="4732" spans="21:21" ht="12.5">
      <c r="U4732" s="32"/>
    </row>
    <row r="4733" spans="21:21" ht="12.5">
      <c r="U4733" s="32"/>
    </row>
    <row r="4734" spans="21:21" ht="12.5">
      <c r="U4734" s="32"/>
    </row>
    <row r="4735" spans="21:21" ht="12.5">
      <c r="U4735" s="32"/>
    </row>
    <row r="4736" spans="21:21" ht="12.5">
      <c r="U4736" s="32"/>
    </row>
    <row r="4737" spans="21:21" ht="12.5">
      <c r="U4737" s="32"/>
    </row>
    <row r="4738" spans="21:21" ht="12.5">
      <c r="U4738" s="32"/>
    </row>
    <row r="4739" spans="21:21" ht="12.5">
      <c r="U4739" s="32"/>
    </row>
    <row r="4740" spans="21:21" ht="12.5">
      <c r="U4740" s="32"/>
    </row>
    <row r="4741" spans="21:21" ht="12.5">
      <c r="U4741" s="32"/>
    </row>
    <row r="4742" spans="21:21" ht="12.5">
      <c r="U4742" s="32"/>
    </row>
    <row r="4743" spans="21:21" ht="12.5">
      <c r="U4743" s="32"/>
    </row>
    <row r="4744" spans="21:21" ht="12.5">
      <c r="U4744" s="32"/>
    </row>
    <row r="4745" spans="21:21" ht="12.5">
      <c r="U4745" s="32"/>
    </row>
    <row r="4746" spans="21:21" ht="12.5">
      <c r="U4746" s="32"/>
    </row>
    <row r="4747" spans="21:21" ht="12.5">
      <c r="U4747" s="32"/>
    </row>
    <row r="4748" spans="21:21" ht="12.5">
      <c r="U4748" s="32"/>
    </row>
    <row r="4749" spans="21:21" ht="12.5">
      <c r="U4749" s="32"/>
    </row>
    <row r="4750" spans="21:21" ht="12.5">
      <c r="U4750" s="32"/>
    </row>
    <row r="4751" spans="21:21" ht="12.5">
      <c r="U4751" s="32"/>
    </row>
    <row r="4752" spans="21:21" ht="12.5">
      <c r="U4752" s="32"/>
    </row>
    <row r="4753" spans="21:21" ht="12.5">
      <c r="U4753" s="32"/>
    </row>
    <row r="4754" spans="21:21" ht="12.5">
      <c r="U4754" s="32"/>
    </row>
    <row r="4755" spans="21:21" ht="12.5">
      <c r="U4755" s="32"/>
    </row>
    <row r="4756" spans="21:21" ht="12.5">
      <c r="U4756" s="32"/>
    </row>
    <row r="4757" spans="21:21" ht="12.5">
      <c r="U4757" s="32"/>
    </row>
    <row r="4758" spans="21:21" ht="12.5">
      <c r="U4758" s="32"/>
    </row>
    <row r="4759" spans="21:21" ht="12.5">
      <c r="U4759" s="32"/>
    </row>
    <row r="4760" spans="21:21" ht="12.5">
      <c r="U4760" s="32"/>
    </row>
    <row r="4761" spans="21:21" ht="12.5">
      <c r="U4761" s="32"/>
    </row>
    <row r="4762" spans="21:21" ht="12.5">
      <c r="U4762" s="32"/>
    </row>
    <row r="4763" spans="21:21" ht="12.5">
      <c r="U4763" s="32"/>
    </row>
    <row r="4764" spans="21:21" ht="12.5">
      <c r="U4764" s="32"/>
    </row>
    <row r="4765" spans="21:21" ht="12.5">
      <c r="U4765" s="32"/>
    </row>
    <row r="4766" spans="21:21" ht="12.5">
      <c r="U4766" s="32"/>
    </row>
    <row r="4767" spans="21:21" ht="12.5">
      <c r="U4767" s="32"/>
    </row>
    <row r="4768" spans="21:21" ht="12.5">
      <c r="U4768" s="32"/>
    </row>
    <row r="4769" spans="21:21" ht="12.5">
      <c r="U4769" s="32"/>
    </row>
    <row r="4770" spans="21:21" ht="12.5">
      <c r="U4770" s="32"/>
    </row>
    <row r="4771" spans="21:21" ht="12.5">
      <c r="U4771" s="32"/>
    </row>
    <row r="4772" spans="21:21" ht="12.5">
      <c r="U4772" s="32"/>
    </row>
    <row r="4773" spans="21:21" ht="12.5">
      <c r="U4773" s="32"/>
    </row>
    <row r="4774" spans="21:21" ht="12.5">
      <c r="U4774" s="32"/>
    </row>
    <row r="4775" spans="21:21" ht="12.5">
      <c r="U4775" s="32"/>
    </row>
    <row r="4776" spans="21:21" ht="12.5">
      <c r="U4776" s="32"/>
    </row>
    <row r="4777" spans="21:21" ht="12.5">
      <c r="U4777" s="32"/>
    </row>
    <row r="4778" spans="21:21" ht="12.5">
      <c r="U4778" s="32"/>
    </row>
    <row r="4779" spans="21:21" ht="12.5">
      <c r="U4779" s="32"/>
    </row>
    <row r="4780" spans="21:21" ht="12.5">
      <c r="U4780" s="32"/>
    </row>
    <row r="4781" spans="21:21" ht="12.5">
      <c r="U4781" s="32"/>
    </row>
    <row r="4782" spans="21:21" ht="12.5">
      <c r="U4782" s="32"/>
    </row>
    <row r="4783" spans="21:21" ht="12.5">
      <c r="U4783" s="32"/>
    </row>
    <row r="4784" spans="21:21" ht="12.5">
      <c r="U4784" s="32"/>
    </row>
    <row r="4785" spans="21:21" ht="12.5">
      <c r="U4785" s="32"/>
    </row>
    <row r="4786" spans="21:21" ht="12.5">
      <c r="U4786" s="32"/>
    </row>
    <row r="4787" spans="21:21" ht="12.5">
      <c r="U4787" s="32"/>
    </row>
    <row r="4788" spans="21:21" ht="12.5">
      <c r="U4788" s="32"/>
    </row>
    <row r="4789" spans="21:21" ht="12.5">
      <c r="U4789" s="32"/>
    </row>
    <row r="4790" spans="21:21" ht="12.5">
      <c r="U4790" s="32"/>
    </row>
    <row r="4791" spans="21:21" ht="12.5">
      <c r="U4791" s="32"/>
    </row>
    <row r="4792" spans="21:21" ht="12.5">
      <c r="U4792" s="32"/>
    </row>
    <row r="4793" spans="21:21" ht="12.5">
      <c r="U4793" s="32"/>
    </row>
    <row r="4794" spans="21:21" ht="12.5">
      <c r="U4794" s="32"/>
    </row>
    <row r="4795" spans="21:21" ht="12.5">
      <c r="U4795" s="32"/>
    </row>
    <row r="4796" spans="21:21" ht="12.5">
      <c r="U4796" s="32"/>
    </row>
    <row r="4797" spans="21:21" ht="12.5">
      <c r="U4797" s="32"/>
    </row>
    <row r="4798" spans="21:21" ht="12.5">
      <c r="U4798" s="32"/>
    </row>
    <row r="4799" spans="21:21" ht="12.5">
      <c r="U4799" s="32"/>
    </row>
    <row r="4800" spans="21:21" ht="12.5">
      <c r="U4800" s="32"/>
    </row>
    <row r="4801" spans="21:21" ht="12.5">
      <c r="U4801" s="32"/>
    </row>
    <row r="4802" spans="21:21" ht="12.5">
      <c r="U4802" s="32"/>
    </row>
    <row r="4803" spans="21:21" ht="12.5">
      <c r="U4803" s="32"/>
    </row>
    <row r="4804" spans="21:21" ht="12.5">
      <c r="U4804" s="32"/>
    </row>
    <row r="4805" spans="21:21" ht="12.5">
      <c r="U4805" s="32"/>
    </row>
    <row r="4806" spans="21:21" ht="12.5">
      <c r="U4806" s="32"/>
    </row>
    <row r="4807" spans="21:21" ht="12.5">
      <c r="U4807" s="32"/>
    </row>
    <row r="4808" spans="21:21" ht="12.5">
      <c r="U4808" s="32"/>
    </row>
    <row r="4809" spans="21:21" ht="12.5">
      <c r="U4809" s="32"/>
    </row>
    <row r="4810" spans="21:21" ht="12.5">
      <c r="U4810" s="32"/>
    </row>
    <row r="4811" spans="21:21" ht="12.5">
      <c r="U4811" s="32"/>
    </row>
    <row r="4812" spans="21:21" ht="12.5">
      <c r="U4812" s="32"/>
    </row>
    <row r="4813" spans="21:21" ht="12.5">
      <c r="U4813" s="32"/>
    </row>
    <row r="4814" spans="21:21" ht="12.5">
      <c r="U4814" s="32"/>
    </row>
    <row r="4815" spans="21:21" ht="12.5">
      <c r="U4815" s="32"/>
    </row>
    <row r="4816" spans="21:21" ht="12.5">
      <c r="U4816" s="32"/>
    </row>
    <row r="4817" spans="21:21" ht="12.5">
      <c r="U4817" s="32"/>
    </row>
    <row r="4818" spans="21:21" ht="12.5">
      <c r="U4818" s="32"/>
    </row>
    <row r="4819" spans="21:21" ht="12.5">
      <c r="U4819" s="32"/>
    </row>
    <row r="4820" spans="21:21" ht="12.5">
      <c r="U4820" s="32"/>
    </row>
    <row r="4821" spans="21:21" ht="12.5">
      <c r="U4821" s="32"/>
    </row>
    <row r="4822" spans="21:21" ht="12.5">
      <c r="U4822" s="32"/>
    </row>
    <row r="4823" spans="21:21" ht="12.5">
      <c r="U4823" s="32"/>
    </row>
    <row r="4824" spans="21:21" ht="12.5">
      <c r="U4824" s="32"/>
    </row>
    <row r="4825" spans="21:21" ht="12.5">
      <c r="U4825" s="32"/>
    </row>
    <row r="4826" spans="21:21" ht="12.5">
      <c r="U4826" s="32"/>
    </row>
    <row r="4827" spans="21:21" ht="12.5">
      <c r="U4827" s="32"/>
    </row>
    <row r="4828" spans="21:21" ht="12.5">
      <c r="U4828" s="32"/>
    </row>
    <row r="4829" spans="21:21" ht="12.5">
      <c r="U4829" s="32"/>
    </row>
    <row r="4830" spans="21:21" ht="12.5">
      <c r="U4830" s="32"/>
    </row>
    <row r="4831" spans="21:21" ht="12.5">
      <c r="U4831" s="32"/>
    </row>
    <row r="4832" spans="21:21" ht="12.5">
      <c r="U4832" s="32"/>
    </row>
    <row r="4833" spans="21:21" ht="12.5">
      <c r="U4833" s="32"/>
    </row>
    <row r="4834" spans="21:21" ht="12.5">
      <c r="U4834" s="32"/>
    </row>
    <row r="4835" spans="21:21" ht="12.5">
      <c r="U4835" s="32"/>
    </row>
    <row r="4836" spans="21:21" ht="12.5">
      <c r="U4836" s="32"/>
    </row>
    <row r="4837" spans="21:21" ht="12.5">
      <c r="U4837" s="32"/>
    </row>
    <row r="4838" spans="21:21" ht="12.5">
      <c r="U4838" s="32"/>
    </row>
    <row r="4839" spans="21:21" ht="12.5">
      <c r="U4839" s="32"/>
    </row>
    <row r="4840" spans="21:21" ht="12.5">
      <c r="U4840" s="32"/>
    </row>
    <row r="4841" spans="21:21" ht="12.5">
      <c r="U4841" s="32"/>
    </row>
    <row r="4842" spans="21:21" ht="12.5">
      <c r="U4842" s="32"/>
    </row>
    <row r="4843" spans="21:21" ht="12.5">
      <c r="U4843" s="32"/>
    </row>
    <row r="4844" spans="21:21" ht="12.5">
      <c r="U4844" s="32"/>
    </row>
    <row r="4845" spans="21:21" ht="12.5">
      <c r="U4845" s="32"/>
    </row>
    <row r="4846" spans="21:21" ht="12.5">
      <c r="U4846" s="32"/>
    </row>
    <row r="4847" spans="21:21" ht="12.5">
      <c r="U4847" s="32"/>
    </row>
    <row r="4848" spans="21:21" ht="12.5">
      <c r="U4848" s="32"/>
    </row>
    <row r="4849" spans="21:21" ht="12.5">
      <c r="U4849" s="32"/>
    </row>
    <row r="4850" spans="21:21" ht="12.5">
      <c r="U4850" s="32"/>
    </row>
    <row r="4851" spans="21:21" ht="12.5">
      <c r="U4851" s="32"/>
    </row>
    <row r="4852" spans="21:21" ht="12.5">
      <c r="U4852" s="32"/>
    </row>
    <row r="4853" spans="21:21" ht="12.5">
      <c r="U4853" s="32"/>
    </row>
    <row r="4854" spans="21:21" ht="12.5">
      <c r="U4854" s="32"/>
    </row>
    <row r="4855" spans="21:21" ht="12.5">
      <c r="U4855" s="32"/>
    </row>
    <row r="4856" spans="21:21" ht="12.5">
      <c r="U4856" s="32"/>
    </row>
    <row r="4857" spans="21:21" ht="12.5">
      <c r="U4857" s="32"/>
    </row>
    <row r="4858" spans="21:21" ht="12.5">
      <c r="U4858" s="32"/>
    </row>
    <row r="4859" spans="21:21" ht="12.5">
      <c r="U4859" s="32"/>
    </row>
    <row r="4860" spans="21:21" ht="12.5">
      <c r="U4860" s="32"/>
    </row>
    <row r="4861" spans="21:21" ht="12.5">
      <c r="U4861" s="32"/>
    </row>
    <row r="4862" spans="21:21" ht="12.5">
      <c r="U4862" s="32"/>
    </row>
    <row r="4863" spans="21:21" ht="12.5">
      <c r="U4863" s="32"/>
    </row>
    <row r="4864" spans="21:21" ht="12.5">
      <c r="U4864" s="32"/>
    </row>
    <row r="4865" spans="21:21" ht="12.5">
      <c r="U4865" s="32"/>
    </row>
    <row r="4866" spans="21:21" ht="12.5">
      <c r="U4866" s="32"/>
    </row>
    <row r="4867" spans="21:21" ht="12.5">
      <c r="U4867" s="32"/>
    </row>
    <row r="4868" spans="21:21" ht="12.5">
      <c r="U4868" s="32"/>
    </row>
    <row r="4869" spans="21:21" ht="12.5">
      <c r="U4869" s="32"/>
    </row>
    <row r="4870" spans="21:21" ht="12.5">
      <c r="U4870" s="32"/>
    </row>
    <row r="4871" spans="21:21" ht="12.5">
      <c r="U4871" s="32"/>
    </row>
    <row r="4872" spans="21:21" ht="12.5">
      <c r="U4872" s="32"/>
    </row>
    <row r="4873" spans="21:21" ht="12.5">
      <c r="U4873" s="32"/>
    </row>
    <row r="4874" spans="21:21" ht="12.5">
      <c r="U4874" s="32"/>
    </row>
    <row r="4875" spans="21:21" ht="12.5">
      <c r="U4875" s="32"/>
    </row>
    <row r="4876" spans="21:21" ht="12.5">
      <c r="U4876" s="32"/>
    </row>
    <row r="4877" spans="21:21" ht="12.5">
      <c r="U4877" s="32"/>
    </row>
    <row r="4878" spans="21:21" ht="12.5">
      <c r="U4878" s="32"/>
    </row>
    <row r="4879" spans="21:21" ht="12.5">
      <c r="U4879" s="32"/>
    </row>
    <row r="4880" spans="21:21" ht="12.5">
      <c r="U4880" s="32"/>
    </row>
    <row r="4881" spans="21:21" ht="12.5">
      <c r="U4881" s="32"/>
    </row>
    <row r="4882" spans="21:21" ht="12.5">
      <c r="U4882" s="32"/>
    </row>
    <row r="4883" spans="21:21" ht="12.5">
      <c r="U4883" s="32"/>
    </row>
    <row r="4884" spans="21:21" ht="12.5">
      <c r="U4884" s="32"/>
    </row>
    <row r="4885" spans="21:21" ht="12.5">
      <c r="U4885" s="32"/>
    </row>
    <row r="4886" spans="21:21" ht="12.5">
      <c r="U4886" s="32"/>
    </row>
    <row r="4887" spans="21:21" ht="12.5">
      <c r="U4887" s="32"/>
    </row>
    <row r="4888" spans="21:21" ht="12.5">
      <c r="U4888" s="32"/>
    </row>
    <row r="4889" spans="21:21" ht="12.5">
      <c r="U4889" s="32"/>
    </row>
    <row r="4890" spans="21:21" ht="12.5">
      <c r="U4890" s="32"/>
    </row>
    <row r="4891" spans="21:21" ht="12.5">
      <c r="U4891" s="32"/>
    </row>
    <row r="4892" spans="21:21" ht="12.5">
      <c r="U4892" s="32"/>
    </row>
    <row r="4893" spans="21:21" ht="12.5">
      <c r="U4893" s="32"/>
    </row>
    <row r="4894" spans="21:21" ht="12.5">
      <c r="U4894" s="32"/>
    </row>
    <row r="4895" spans="21:21" ht="12.5">
      <c r="U4895" s="32"/>
    </row>
    <row r="4896" spans="21:21" ht="12.5">
      <c r="U4896" s="32"/>
    </row>
    <row r="4897" spans="21:21" ht="12.5">
      <c r="U4897" s="32"/>
    </row>
    <row r="4898" spans="21:21" ht="12.5">
      <c r="U4898" s="32"/>
    </row>
    <row r="4899" spans="21:21" ht="12.5">
      <c r="U4899" s="32"/>
    </row>
    <row r="4900" spans="21:21" ht="12.5">
      <c r="U4900" s="32"/>
    </row>
    <row r="4901" spans="21:21" ht="12.5">
      <c r="U4901" s="32"/>
    </row>
    <row r="4902" spans="21:21" ht="12.5">
      <c r="U4902" s="32"/>
    </row>
    <row r="4903" spans="21:21" ht="12.5">
      <c r="U4903" s="32"/>
    </row>
    <row r="4904" spans="21:21" ht="12.5">
      <c r="U4904" s="32"/>
    </row>
    <row r="4905" spans="21:21" ht="12.5">
      <c r="U4905" s="32"/>
    </row>
    <row r="4906" spans="21:21" ht="12.5">
      <c r="U4906" s="32"/>
    </row>
    <row r="4907" spans="21:21" ht="12.5">
      <c r="U4907" s="32"/>
    </row>
    <row r="4908" spans="21:21" ht="12.5">
      <c r="U4908" s="32"/>
    </row>
    <row r="4909" spans="21:21" ht="12.5">
      <c r="U4909" s="32"/>
    </row>
    <row r="4910" spans="21:21" ht="12.5">
      <c r="U4910" s="32"/>
    </row>
    <row r="4911" spans="21:21" ht="12.5">
      <c r="U4911" s="32"/>
    </row>
    <row r="4912" spans="21:21" ht="12.5">
      <c r="U4912" s="32"/>
    </row>
    <row r="4913" spans="21:21" ht="12.5">
      <c r="U4913" s="32"/>
    </row>
    <row r="4914" spans="21:21" ht="12.5">
      <c r="U4914" s="32"/>
    </row>
    <row r="4915" spans="21:21" ht="12.5">
      <c r="U4915" s="32"/>
    </row>
    <row r="4916" spans="21:21" ht="12.5">
      <c r="U4916" s="32"/>
    </row>
    <row r="4917" spans="21:21" ht="12.5">
      <c r="U4917" s="32"/>
    </row>
    <row r="4918" spans="21:21" ht="12.5">
      <c r="U4918" s="32"/>
    </row>
    <row r="4919" spans="21:21" ht="12.5">
      <c r="U4919" s="32"/>
    </row>
    <row r="4920" spans="21:21" ht="12.5">
      <c r="U4920" s="32"/>
    </row>
    <row r="4921" spans="21:21" ht="12.5">
      <c r="U4921" s="32"/>
    </row>
    <row r="4922" spans="21:21" ht="12.5">
      <c r="U4922" s="32"/>
    </row>
    <row r="4923" spans="21:21" ht="12.5">
      <c r="U4923" s="32"/>
    </row>
    <row r="4924" spans="21:21" ht="12.5">
      <c r="U4924" s="32"/>
    </row>
    <row r="4925" spans="21:21" ht="12.5">
      <c r="U4925" s="32"/>
    </row>
    <row r="4926" spans="21:21" ht="12.5">
      <c r="U4926" s="32"/>
    </row>
    <row r="4927" spans="21:21" ht="12.5">
      <c r="U4927" s="32"/>
    </row>
    <row r="4928" spans="21:21" ht="12.5">
      <c r="U4928" s="32"/>
    </row>
    <row r="4929" spans="21:21" ht="12.5">
      <c r="U4929" s="32"/>
    </row>
    <row r="4930" spans="21:21" ht="12.5">
      <c r="U4930" s="32"/>
    </row>
    <row r="4931" spans="21:21" ht="12.5">
      <c r="U4931" s="32"/>
    </row>
    <row r="4932" spans="21:21" ht="12.5">
      <c r="U4932" s="32"/>
    </row>
    <row r="4933" spans="21:21" ht="12.5">
      <c r="U4933" s="32"/>
    </row>
    <row r="4934" spans="21:21" ht="12.5">
      <c r="U4934" s="32"/>
    </row>
    <row r="4935" spans="21:21" ht="12.5">
      <c r="U4935" s="32"/>
    </row>
    <row r="4936" spans="21:21" ht="12.5">
      <c r="U4936" s="32"/>
    </row>
    <row r="4937" spans="21:21" ht="12.5">
      <c r="U4937" s="32"/>
    </row>
    <row r="4938" spans="21:21" ht="12.5">
      <c r="U4938" s="32"/>
    </row>
    <row r="4939" spans="21:21" ht="12.5">
      <c r="U4939" s="32"/>
    </row>
    <row r="4940" spans="21:21" ht="12.5">
      <c r="U4940" s="32"/>
    </row>
    <row r="4941" spans="21:21" ht="12.5">
      <c r="U4941" s="32"/>
    </row>
    <row r="4942" spans="21:21" ht="12.5">
      <c r="U4942" s="32"/>
    </row>
    <row r="4943" spans="21:21" ht="12.5">
      <c r="U4943" s="32"/>
    </row>
    <row r="4944" spans="21:21" ht="12.5">
      <c r="U4944" s="32"/>
    </row>
    <row r="4945" spans="21:21" ht="12.5">
      <c r="U4945" s="32"/>
    </row>
    <row r="4946" spans="21:21" ht="12.5">
      <c r="U4946" s="32"/>
    </row>
    <row r="4947" spans="21:21" ht="12.5">
      <c r="U4947" s="32"/>
    </row>
    <row r="4948" spans="21:21" ht="12.5">
      <c r="U4948" s="32"/>
    </row>
    <row r="4949" spans="21:21" ht="12.5">
      <c r="U4949" s="32"/>
    </row>
    <row r="4950" spans="21:21" ht="12.5">
      <c r="U4950" s="32"/>
    </row>
    <row r="4951" spans="21:21" ht="12.5">
      <c r="U4951" s="32"/>
    </row>
    <row r="4952" spans="21:21" ht="12.5">
      <c r="U4952" s="32"/>
    </row>
    <row r="4953" spans="21:21" ht="12.5">
      <c r="U4953" s="32"/>
    </row>
    <row r="4954" spans="21:21" ht="12.5">
      <c r="U4954" s="32"/>
    </row>
    <row r="4955" spans="21:21" ht="12.5">
      <c r="U4955" s="32"/>
    </row>
    <row r="4956" spans="21:21" ht="12.5">
      <c r="U4956" s="32"/>
    </row>
    <row r="4957" spans="21:21" ht="12.5">
      <c r="U4957" s="32"/>
    </row>
    <row r="4958" spans="21:21" ht="12.5">
      <c r="U4958" s="32"/>
    </row>
    <row r="4959" spans="21:21" ht="12.5">
      <c r="U4959" s="32"/>
    </row>
    <row r="4960" spans="21:21" ht="12.5">
      <c r="U4960" s="32"/>
    </row>
    <row r="4961" spans="21:21" ht="12.5">
      <c r="U4961" s="32"/>
    </row>
    <row r="4962" spans="21:21" ht="12.5">
      <c r="U4962" s="32"/>
    </row>
    <row r="4963" spans="21:21" ht="12.5">
      <c r="U4963" s="32"/>
    </row>
    <row r="4964" spans="21:21" ht="12.5">
      <c r="U4964" s="32"/>
    </row>
    <row r="4965" spans="21:21" ht="12.5">
      <c r="U4965" s="32"/>
    </row>
    <row r="4966" spans="21:21" ht="12.5">
      <c r="U4966" s="32"/>
    </row>
    <row r="4967" spans="21:21" ht="12.5">
      <c r="U4967" s="32"/>
    </row>
    <row r="4968" spans="21:21" ht="12.5">
      <c r="U4968" s="32"/>
    </row>
    <row r="4969" spans="21:21" ht="12.5">
      <c r="U4969" s="32"/>
    </row>
    <row r="4970" spans="21:21" ht="12.5">
      <c r="U4970" s="32"/>
    </row>
    <row r="4971" spans="21:21" ht="12.5">
      <c r="U4971" s="32"/>
    </row>
    <row r="4972" spans="21:21" ht="12.5">
      <c r="U4972" s="32"/>
    </row>
    <row r="4973" spans="21:21" ht="12.5">
      <c r="U4973" s="32"/>
    </row>
    <row r="4974" spans="21:21" ht="12.5">
      <c r="U4974" s="32"/>
    </row>
    <row r="4975" spans="21:21" ht="12.5">
      <c r="U4975" s="32"/>
    </row>
    <row r="4976" spans="21:21" ht="12.5">
      <c r="U4976" s="32"/>
    </row>
    <row r="4977" spans="21:21" ht="12.5">
      <c r="U4977" s="32"/>
    </row>
    <row r="4978" spans="21:21" ht="12.5">
      <c r="U4978" s="32"/>
    </row>
    <row r="4979" spans="21:21" ht="12.5">
      <c r="U4979" s="32"/>
    </row>
    <row r="4980" spans="21:21" ht="12.5">
      <c r="U4980" s="32"/>
    </row>
    <row r="4981" spans="21:21" ht="12.5">
      <c r="U4981" s="32"/>
    </row>
    <row r="4982" spans="21:21" ht="12.5">
      <c r="U4982" s="32"/>
    </row>
    <row r="4983" spans="21:21" ht="12.5">
      <c r="U4983" s="32"/>
    </row>
    <row r="4984" spans="21:21" ht="12.5">
      <c r="U4984" s="32"/>
    </row>
    <row r="4985" spans="21:21" ht="12.5">
      <c r="U4985" s="32"/>
    </row>
    <row r="4986" spans="21:21" ht="12.5">
      <c r="U4986" s="32"/>
    </row>
    <row r="4987" spans="21:21" ht="12.5">
      <c r="U4987" s="32"/>
    </row>
    <row r="4988" spans="21:21" ht="12.5">
      <c r="U4988" s="32"/>
    </row>
    <row r="4989" spans="21:21" ht="12.5">
      <c r="U4989" s="32"/>
    </row>
    <row r="4990" spans="21:21" ht="12.5">
      <c r="U4990" s="32"/>
    </row>
    <row r="4991" spans="21:21" ht="12.5">
      <c r="U4991" s="32"/>
    </row>
    <row r="4992" spans="21:21" ht="12.5">
      <c r="U4992" s="32"/>
    </row>
    <row r="4993" spans="21:21" ht="12.5">
      <c r="U4993" s="32"/>
    </row>
    <row r="4994" spans="21:21" ht="12.5">
      <c r="U4994" s="32"/>
    </row>
    <row r="4995" spans="21:21" ht="12.5">
      <c r="U4995" s="32"/>
    </row>
    <row r="4996" spans="21:21" ht="12.5">
      <c r="U4996" s="32"/>
    </row>
    <row r="4997" spans="21:21" ht="12.5">
      <c r="U4997" s="32"/>
    </row>
    <row r="4998" spans="21:21" ht="12.5">
      <c r="U4998" s="32"/>
    </row>
    <row r="4999" spans="21:21" ht="12.5">
      <c r="U4999" s="32"/>
    </row>
    <row r="5000" spans="21:21" ht="12.5">
      <c r="U5000" s="32"/>
    </row>
    <row r="5001" spans="21:21" ht="12.5">
      <c r="U5001" s="32"/>
    </row>
    <row r="5002" spans="21:21" ht="12.5">
      <c r="U5002" s="32"/>
    </row>
    <row r="5003" spans="21:21" ht="12.5">
      <c r="U5003" s="32"/>
    </row>
    <row r="5004" spans="21:21" ht="12.5">
      <c r="U5004" s="32"/>
    </row>
    <row r="5005" spans="21:21" ht="12.5">
      <c r="U5005" s="32"/>
    </row>
    <row r="5006" spans="21:21" ht="12.5">
      <c r="U5006" s="32"/>
    </row>
    <row r="5007" spans="21:21" ht="12.5">
      <c r="U5007" s="32"/>
    </row>
    <row r="5008" spans="21:21" ht="12.5">
      <c r="U5008" s="32"/>
    </row>
    <row r="5009" spans="21:21" ht="12.5">
      <c r="U5009" s="32"/>
    </row>
    <row r="5010" spans="21:21" ht="12.5">
      <c r="U5010" s="32"/>
    </row>
    <row r="5011" spans="21:21" ht="12.5">
      <c r="U5011" s="32"/>
    </row>
    <row r="5012" spans="21:21" ht="12.5">
      <c r="U5012" s="32"/>
    </row>
    <row r="5013" spans="21:21" ht="12.5">
      <c r="U5013" s="32"/>
    </row>
    <row r="5014" spans="21:21" ht="12.5">
      <c r="U5014" s="32"/>
    </row>
    <row r="5015" spans="21:21" ht="12.5">
      <c r="U5015" s="32"/>
    </row>
    <row r="5016" spans="21:21" ht="12.5">
      <c r="U5016" s="32"/>
    </row>
    <row r="5017" spans="21:21" ht="12.5">
      <c r="U5017" s="32"/>
    </row>
    <row r="5018" spans="21:21" ht="12.5">
      <c r="U5018" s="32"/>
    </row>
    <row r="5019" spans="21:21" ht="12.5">
      <c r="U5019" s="32"/>
    </row>
    <row r="5020" spans="21:21" ht="12.5">
      <c r="U5020" s="32"/>
    </row>
    <row r="5021" spans="21:21" ht="12.5">
      <c r="U5021" s="32"/>
    </row>
    <row r="5022" spans="21:21" ht="12.5">
      <c r="U5022" s="32"/>
    </row>
    <row r="5023" spans="21:21" ht="12.5">
      <c r="U5023" s="32"/>
    </row>
    <row r="5024" spans="21:21" ht="12.5">
      <c r="U5024" s="32"/>
    </row>
    <row r="5025" spans="21:21" ht="12.5">
      <c r="U5025" s="32"/>
    </row>
    <row r="5026" spans="21:21" ht="12.5">
      <c r="U5026" s="32"/>
    </row>
    <row r="5027" spans="21:21" ht="12.5">
      <c r="U5027" s="32"/>
    </row>
    <row r="5028" spans="21:21" ht="12.5">
      <c r="U5028" s="32"/>
    </row>
    <row r="5029" spans="21:21" ht="12.5">
      <c r="U5029" s="32"/>
    </row>
    <row r="5030" spans="21:21" ht="12.5">
      <c r="U5030" s="32"/>
    </row>
    <row r="5031" spans="21:21" ht="12.5">
      <c r="U5031" s="32"/>
    </row>
    <row r="5032" spans="21:21" ht="12.5">
      <c r="U5032" s="32"/>
    </row>
    <row r="5033" spans="21:21" ht="12.5">
      <c r="U5033" s="32"/>
    </row>
    <row r="5034" spans="21:21" ht="12.5">
      <c r="U5034" s="32"/>
    </row>
    <row r="5035" spans="21:21" ht="12.5">
      <c r="U5035" s="32"/>
    </row>
    <row r="5036" spans="21:21" ht="12.5">
      <c r="U5036" s="32"/>
    </row>
    <row r="5037" spans="21:21" ht="12.5">
      <c r="U5037" s="32"/>
    </row>
    <row r="5038" spans="21:21" ht="12.5">
      <c r="U5038" s="32"/>
    </row>
    <row r="5039" spans="21:21" ht="12.5">
      <c r="U5039" s="32"/>
    </row>
    <row r="5040" spans="21:21" ht="12.5">
      <c r="U5040" s="32"/>
    </row>
    <row r="5041" spans="21:21" ht="12.5">
      <c r="U5041" s="32"/>
    </row>
    <row r="5042" spans="21:21" ht="12.5">
      <c r="U5042" s="32"/>
    </row>
    <row r="5043" spans="21:21" ht="12.5">
      <c r="U5043" s="32"/>
    </row>
    <row r="5044" spans="21:21" ht="12.5">
      <c r="U5044" s="32"/>
    </row>
    <row r="5045" spans="21:21" ht="12.5">
      <c r="U5045" s="32"/>
    </row>
    <row r="5046" spans="21:21" ht="12.5">
      <c r="U5046" s="32"/>
    </row>
    <row r="5047" spans="21:21" ht="12.5">
      <c r="U5047" s="32"/>
    </row>
    <row r="5048" spans="21:21" ht="12.5">
      <c r="U5048" s="32"/>
    </row>
    <row r="5049" spans="21:21" ht="12.5">
      <c r="U5049" s="32"/>
    </row>
    <row r="5050" spans="21:21" ht="12.5">
      <c r="U5050" s="32"/>
    </row>
    <row r="5051" spans="21:21" ht="12.5">
      <c r="U5051" s="32"/>
    </row>
    <row r="5052" spans="21:21" ht="12.5">
      <c r="U5052" s="32"/>
    </row>
    <row r="5053" spans="21:21" ht="12.5">
      <c r="U5053" s="32"/>
    </row>
    <row r="5054" spans="21:21" ht="12.5">
      <c r="U5054" s="32"/>
    </row>
    <row r="5055" spans="21:21" ht="12.5">
      <c r="U5055" s="32"/>
    </row>
    <row r="5056" spans="21:21" ht="12.5">
      <c r="U5056" s="32"/>
    </row>
    <row r="5057" spans="21:21" ht="12.5">
      <c r="U5057" s="32"/>
    </row>
    <row r="5058" spans="21:21" ht="12.5">
      <c r="U5058" s="32"/>
    </row>
    <row r="5059" spans="21:21" ht="12.5">
      <c r="U5059" s="32"/>
    </row>
    <row r="5060" spans="21:21" ht="12.5">
      <c r="U5060" s="32"/>
    </row>
    <row r="5061" spans="21:21" ht="12.5">
      <c r="U5061" s="32"/>
    </row>
    <row r="5062" spans="21:21" ht="12.5">
      <c r="U5062" s="32"/>
    </row>
    <row r="5063" spans="21:21" ht="12.5">
      <c r="U5063" s="32"/>
    </row>
    <row r="5064" spans="21:21" ht="12.5">
      <c r="U5064" s="32"/>
    </row>
    <row r="5065" spans="21:21" ht="12.5">
      <c r="U5065" s="32"/>
    </row>
    <row r="5066" spans="21:21" ht="12.5">
      <c r="U5066" s="32"/>
    </row>
    <row r="5067" spans="21:21" ht="12.5">
      <c r="U5067" s="32"/>
    </row>
    <row r="5068" spans="21:21" ht="12.5">
      <c r="U5068" s="32"/>
    </row>
    <row r="5069" spans="21:21" ht="12.5">
      <c r="U5069" s="32"/>
    </row>
    <row r="5070" spans="21:21" ht="12.5">
      <c r="U5070" s="32"/>
    </row>
    <row r="5071" spans="21:21" ht="12.5">
      <c r="U5071" s="32"/>
    </row>
    <row r="5072" spans="21:21" ht="12.5">
      <c r="U5072" s="32"/>
    </row>
    <row r="5073" spans="21:21" ht="12.5">
      <c r="U5073" s="32"/>
    </row>
    <row r="5074" spans="21:21" ht="12.5">
      <c r="U5074" s="32"/>
    </row>
    <row r="5075" spans="21:21" ht="12.5">
      <c r="U5075" s="32"/>
    </row>
    <row r="5076" spans="21:21" ht="12.5">
      <c r="U5076" s="32"/>
    </row>
    <row r="5077" spans="21:21" ht="12.5">
      <c r="U5077" s="32"/>
    </row>
    <row r="5078" spans="21:21" ht="12.5">
      <c r="U5078" s="32"/>
    </row>
    <row r="5079" spans="21:21" ht="12.5">
      <c r="U5079" s="32"/>
    </row>
    <row r="5080" spans="21:21" ht="12.5">
      <c r="U5080" s="32"/>
    </row>
    <row r="5081" spans="21:21" ht="12.5">
      <c r="U5081" s="32"/>
    </row>
    <row r="5082" spans="21:21" ht="12.5">
      <c r="U5082" s="32"/>
    </row>
    <row r="5083" spans="21:21" ht="12.5">
      <c r="U5083" s="32"/>
    </row>
    <row r="5084" spans="21:21" ht="12.5">
      <c r="U5084" s="32"/>
    </row>
    <row r="5085" spans="21:21" ht="12.5">
      <c r="U5085" s="32"/>
    </row>
    <row r="5086" spans="21:21" ht="12.5">
      <c r="U5086" s="32"/>
    </row>
    <row r="5087" spans="21:21" ht="12.5">
      <c r="U5087" s="32"/>
    </row>
    <row r="5088" spans="21:21" ht="12.5">
      <c r="U5088" s="32"/>
    </row>
    <row r="5089" spans="21:21" ht="12.5">
      <c r="U5089" s="32"/>
    </row>
    <row r="5090" spans="21:21" ht="12.5">
      <c r="U5090" s="32"/>
    </row>
    <row r="5091" spans="21:21" ht="12.5">
      <c r="U5091" s="32"/>
    </row>
    <row r="5092" spans="21:21" ht="12.5">
      <c r="U5092" s="32"/>
    </row>
    <row r="5093" spans="21:21" ht="12.5">
      <c r="U5093" s="32"/>
    </row>
    <row r="5094" spans="21:21" ht="12.5">
      <c r="U5094" s="32"/>
    </row>
    <row r="5095" spans="21:21" ht="12.5">
      <c r="U5095" s="32"/>
    </row>
    <row r="5096" spans="21:21" ht="12.5">
      <c r="U5096" s="32"/>
    </row>
    <row r="5097" spans="21:21" ht="12.5">
      <c r="U5097" s="32"/>
    </row>
    <row r="5098" spans="21:21" ht="12.5">
      <c r="U5098" s="32"/>
    </row>
    <row r="5099" spans="21:21" ht="12.5">
      <c r="U5099" s="32"/>
    </row>
    <row r="5100" spans="21:21" ht="12.5">
      <c r="U5100" s="32"/>
    </row>
    <row r="5101" spans="21:21" ht="12.5">
      <c r="U5101" s="32"/>
    </row>
    <row r="5102" spans="21:21" ht="12.5">
      <c r="U5102" s="32"/>
    </row>
    <row r="5103" spans="21:21" ht="12.5">
      <c r="U5103" s="32"/>
    </row>
    <row r="5104" spans="21:21" ht="12.5">
      <c r="U5104" s="32"/>
    </row>
    <row r="5105" spans="21:21" ht="12.5">
      <c r="U5105" s="32"/>
    </row>
    <row r="5106" spans="21:21" ht="12.5">
      <c r="U5106" s="32"/>
    </row>
    <row r="5107" spans="21:21" ht="12.5">
      <c r="U5107" s="32"/>
    </row>
    <row r="5108" spans="21:21" ht="12.5">
      <c r="U5108" s="32"/>
    </row>
    <row r="5109" spans="21:21" ht="12.5">
      <c r="U5109" s="32"/>
    </row>
    <row r="5110" spans="21:21" ht="12.5">
      <c r="U5110" s="32"/>
    </row>
    <row r="5111" spans="21:21" ht="12.5">
      <c r="U5111" s="32"/>
    </row>
    <row r="5112" spans="21:21" ht="12.5">
      <c r="U5112" s="32"/>
    </row>
    <row r="5113" spans="21:21" ht="12.5">
      <c r="U5113" s="32"/>
    </row>
    <row r="5114" spans="21:21" ht="12.5">
      <c r="U5114" s="32"/>
    </row>
    <row r="5115" spans="21:21" ht="12.5">
      <c r="U5115" s="32"/>
    </row>
    <row r="5116" spans="21:21" ht="12.5">
      <c r="U5116" s="32"/>
    </row>
    <row r="5117" spans="21:21" ht="12.5">
      <c r="U5117" s="32"/>
    </row>
    <row r="5118" spans="21:21" ht="12.5">
      <c r="U5118" s="32"/>
    </row>
    <row r="5119" spans="21:21" ht="12.5">
      <c r="U5119" s="32"/>
    </row>
    <row r="5120" spans="21:21" ht="12.5">
      <c r="U5120" s="32"/>
    </row>
    <row r="5121" spans="21:21" ht="12.5">
      <c r="U5121" s="32"/>
    </row>
    <row r="5122" spans="21:21" ht="12.5">
      <c r="U5122" s="32"/>
    </row>
    <row r="5123" spans="21:21" ht="12.5">
      <c r="U5123" s="32"/>
    </row>
    <row r="5124" spans="21:21" ht="12.5">
      <c r="U5124" s="32"/>
    </row>
    <row r="5125" spans="21:21" ht="12.5">
      <c r="U5125" s="32"/>
    </row>
    <row r="5126" spans="21:21" ht="12.5">
      <c r="U5126" s="32"/>
    </row>
    <row r="5127" spans="21:21" ht="12.5">
      <c r="U5127" s="32"/>
    </row>
    <row r="5128" spans="21:21" ht="12.5">
      <c r="U5128" s="32"/>
    </row>
    <row r="5129" spans="21:21" ht="12.5">
      <c r="U5129" s="32"/>
    </row>
    <row r="5130" spans="21:21" ht="12.5">
      <c r="U5130" s="32"/>
    </row>
    <row r="5131" spans="21:21" ht="12.5">
      <c r="U5131" s="32"/>
    </row>
    <row r="5132" spans="21:21" ht="12.5">
      <c r="U5132" s="32"/>
    </row>
    <row r="5133" spans="21:21" ht="12.5">
      <c r="U5133" s="32"/>
    </row>
    <row r="5134" spans="21:21" ht="12.5">
      <c r="U5134" s="32"/>
    </row>
    <row r="5135" spans="21:21" ht="12.5">
      <c r="U5135" s="32"/>
    </row>
    <row r="5136" spans="21:21" ht="12.5">
      <c r="U5136" s="32"/>
    </row>
    <row r="5137" spans="21:21" ht="12.5">
      <c r="U5137" s="32"/>
    </row>
    <row r="5138" spans="21:21" ht="12.5">
      <c r="U5138" s="32"/>
    </row>
    <row r="5139" spans="21:21" ht="12.5">
      <c r="U5139" s="32"/>
    </row>
    <row r="5140" spans="21:21" ht="12.5">
      <c r="U5140" s="32"/>
    </row>
    <row r="5141" spans="21:21" ht="12.5">
      <c r="U5141" s="32"/>
    </row>
    <row r="5142" spans="21:21" ht="12.5">
      <c r="U5142" s="32"/>
    </row>
    <row r="5143" spans="21:21" ht="12.5">
      <c r="U5143" s="32"/>
    </row>
    <row r="5144" spans="21:21" ht="12.5">
      <c r="U5144" s="32"/>
    </row>
    <row r="5145" spans="21:21" ht="12.5">
      <c r="U5145" s="32"/>
    </row>
    <row r="5146" spans="21:21" ht="12.5">
      <c r="U5146" s="32"/>
    </row>
    <row r="5147" spans="21:21" ht="12.5">
      <c r="U5147" s="32"/>
    </row>
    <row r="5148" spans="21:21" ht="12.5">
      <c r="U5148" s="32"/>
    </row>
    <row r="5149" spans="21:21" ht="12.5">
      <c r="U5149" s="32"/>
    </row>
    <row r="5150" spans="21:21" ht="12.5">
      <c r="U5150" s="32"/>
    </row>
    <row r="5151" spans="21:21" ht="12.5">
      <c r="U5151" s="32"/>
    </row>
    <row r="5152" spans="21:21" ht="12.5">
      <c r="U5152" s="32"/>
    </row>
    <row r="5153" spans="21:21" ht="12.5">
      <c r="U5153" s="32"/>
    </row>
    <row r="5154" spans="21:21" ht="12.5">
      <c r="U5154" s="32"/>
    </row>
    <row r="5155" spans="21:21" ht="12.5">
      <c r="U5155" s="32"/>
    </row>
    <row r="5156" spans="21:21" ht="12.5">
      <c r="U5156" s="32"/>
    </row>
    <row r="5157" spans="21:21" ht="12.5">
      <c r="U5157" s="32"/>
    </row>
    <row r="5158" spans="21:21" ht="12.5">
      <c r="U5158" s="32"/>
    </row>
    <row r="5159" spans="21:21" ht="12.5">
      <c r="U5159" s="32"/>
    </row>
    <row r="5160" spans="21:21" ht="12.5">
      <c r="U5160" s="32"/>
    </row>
    <row r="5161" spans="21:21" ht="12.5">
      <c r="U5161" s="32"/>
    </row>
    <row r="5162" spans="21:21" ht="12.5">
      <c r="U5162" s="32"/>
    </row>
    <row r="5163" spans="21:21" ht="12.5">
      <c r="U5163" s="32"/>
    </row>
    <row r="5164" spans="21:21" ht="12.5">
      <c r="U5164" s="32"/>
    </row>
    <row r="5165" spans="21:21" ht="12.5">
      <c r="U5165" s="32"/>
    </row>
    <row r="5166" spans="21:21" ht="12.5">
      <c r="U5166" s="32"/>
    </row>
    <row r="5167" spans="21:21" ht="12.5">
      <c r="U5167" s="32"/>
    </row>
    <row r="5168" spans="21:21" ht="12.5">
      <c r="U5168" s="32"/>
    </row>
    <row r="5169" spans="21:21" ht="12.5">
      <c r="U5169" s="32"/>
    </row>
    <row r="5170" spans="21:21" ht="12.5">
      <c r="U5170" s="32"/>
    </row>
    <row r="5171" spans="21:21" ht="12.5">
      <c r="U5171" s="32"/>
    </row>
    <row r="5172" spans="21:21" ht="12.5">
      <c r="U5172" s="32"/>
    </row>
    <row r="5173" spans="21:21" ht="12.5">
      <c r="U5173" s="32"/>
    </row>
    <row r="5174" spans="21:21" ht="12.5">
      <c r="U5174" s="32"/>
    </row>
    <row r="5175" spans="21:21" ht="12.5">
      <c r="U5175" s="32"/>
    </row>
    <row r="5176" spans="21:21" ht="12.5">
      <c r="U5176" s="32"/>
    </row>
    <row r="5177" spans="21:21" ht="12.5">
      <c r="U5177" s="32"/>
    </row>
    <row r="5178" spans="21:21" ht="12.5">
      <c r="U5178" s="32"/>
    </row>
    <row r="5179" spans="21:21" ht="12.5">
      <c r="U5179" s="32"/>
    </row>
    <row r="5180" spans="21:21" ht="12.5">
      <c r="U5180" s="32"/>
    </row>
    <row r="5181" spans="21:21" ht="12.5">
      <c r="U5181" s="32"/>
    </row>
    <row r="5182" spans="21:21" ht="12.5">
      <c r="U5182" s="32"/>
    </row>
    <row r="5183" spans="21:21" ht="12.5">
      <c r="U5183" s="32"/>
    </row>
    <row r="5184" spans="21:21" ht="12.5">
      <c r="U5184" s="32"/>
    </row>
    <row r="5185" spans="21:21" ht="12.5">
      <c r="U5185" s="32"/>
    </row>
    <row r="5186" spans="21:21" ht="12.5">
      <c r="U5186" s="32"/>
    </row>
    <row r="5187" spans="21:21" ht="12.5">
      <c r="U5187" s="32"/>
    </row>
    <row r="5188" spans="21:21" ht="12.5">
      <c r="U5188" s="32"/>
    </row>
    <row r="5189" spans="21:21" ht="12.5">
      <c r="U5189" s="32"/>
    </row>
    <row r="5190" spans="21:21" ht="12.5">
      <c r="U5190" s="32"/>
    </row>
    <row r="5191" spans="21:21" ht="12.5">
      <c r="U5191" s="32"/>
    </row>
    <row r="5192" spans="21:21" ht="12.5">
      <c r="U5192" s="32"/>
    </row>
    <row r="5193" spans="21:21" ht="12.5">
      <c r="U5193" s="32"/>
    </row>
    <row r="5194" spans="21:21" ht="12.5">
      <c r="U5194" s="32"/>
    </row>
    <row r="5195" spans="21:21" ht="12.5">
      <c r="U5195" s="32"/>
    </row>
    <row r="5196" spans="21:21" ht="12.5">
      <c r="U5196" s="32"/>
    </row>
    <row r="5197" spans="21:21" ht="12.5">
      <c r="U5197" s="32"/>
    </row>
    <row r="5198" spans="21:21" ht="12.5">
      <c r="U5198" s="32"/>
    </row>
    <row r="5199" spans="21:21" ht="12.5">
      <c r="U5199" s="32"/>
    </row>
    <row r="5200" spans="21:21" ht="12.5">
      <c r="U5200" s="32"/>
    </row>
    <row r="5201" spans="21:21" ht="12.5">
      <c r="U5201" s="32"/>
    </row>
    <row r="5202" spans="21:21" ht="12.5">
      <c r="U5202" s="32"/>
    </row>
    <row r="5203" spans="21:21" ht="12.5">
      <c r="U5203" s="32"/>
    </row>
    <row r="5204" spans="21:21" ht="12.5">
      <c r="U5204" s="32"/>
    </row>
    <row r="5205" spans="21:21" ht="12.5">
      <c r="U5205" s="32"/>
    </row>
    <row r="5206" spans="21:21" ht="12.5">
      <c r="U5206" s="32"/>
    </row>
    <row r="5207" spans="21:21" ht="12.5">
      <c r="U5207" s="32"/>
    </row>
    <row r="5208" spans="21:21" ht="12.5">
      <c r="U5208" s="32"/>
    </row>
    <row r="5209" spans="21:21" ht="12.5">
      <c r="U5209" s="32"/>
    </row>
    <row r="5210" spans="21:21" ht="12.5">
      <c r="U5210" s="32"/>
    </row>
    <row r="5211" spans="21:21" ht="12.5">
      <c r="U5211" s="32"/>
    </row>
    <row r="5212" spans="21:21" ht="12.5">
      <c r="U5212" s="32"/>
    </row>
    <row r="5213" spans="21:21" ht="12.5">
      <c r="U5213" s="32"/>
    </row>
    <row r="5214" spans="21:21" ht="12.5">
      <c r="U5214" s="32"/>
    </row>
    <row r="5215" spans="21:21" ht="12.5">
      <c r="U5215" s="32"/>
    </row>
    <row r="5216" spans="21:21" ht="12.5">
      <c r="U5216" s="32"/>
    </row>
    <row r="5217" spans="21:21" ht="12.5">
      <c r="U5217" s="32"/>
    </row>
    <row r="5218" spans="21:21" ht="12.5">
      <c r="U5218" s="32"/>
    </row>
    <row r="5219" spans="21:21" ht="12.5">
      <c r="U5219" s="32"/>
    </row>
    <row r="5220" spans="21:21" ht="12.5">
      <c r="U5220" s="32"/>
    </row>
    <row r="5221" spans="21:21" ht="12.5">
      <c r="U5221" s="32"/>
    </row>
    <row r="5222" spans="21:21" ht="12.5">
      <c r="U5222" s="32"/>
    </row>
    <row r="5223" spans="21:21" ht="12.5">
      <c r="U5223" s="32"/>
    </row>
    <row r="5224" spans="21:21" ht="12.5">
      <c r="U5224" s="32"/>
    </row>
    <row r="5225" spans="21:21" ht="12.5">
      <c r="U5225" s="32"/>
    </row>
    <row r="5226" spans="21:21" ht="12.5">
      <c r="U5226" s="32"/>
    </row>
    <row r="5227" spans="21:21" ht="12.5">
      <c r="U5227" s="32"/>
    </row>
    <row r="5228" spans="21:21" ht="12.5">
      <c r="U5228" s="32"/>
    </row>
    <row r="5229" spans="21:21" ht="12.5">
      <c r="U5229" s="32"/>
    </row>
    <row r="5230" spans="21:21" ht="12.5">
      <c r="U5230" s="32"/>
    </row>
    <row r="5231" spans="21:21" ht="12.5">
      <c r="U5231" s="32"/>
    </row>
    <row r="5232" spans="21:21" ht="12.5">
      <c r="U5232" s="32"/>
    </row>
    <row r="5233" spans="21:21" ht="12.5">
      <c r="U5233" s="32"/>
    </row>
    <row r="5234" spans="21:21" ht="12.5">
      <c r="U5234" s="32"/>
    </row>
    <row r="5235" spans="21:21" ht="12.5">
      <c r="U5235" s="32"/>
    </row>
    <row r="5236" spans="21:21" ht="12.5">
      <c r="U5236" s="32"/>
    </row>
    <row r="5237" spans="21:21" ht="12.5">
      <c r="U5237" s="32"/>
    </row>
    <row r="5238" spans="21:21" ht="12.5">
      <c r="U5238" s="32"/>
    </row>
    <row r="5239" spans="21:21" ht="12.5">
      <c r="U5239" s="32"/>
    </row>
    <row r="5240" spans="21:21" ht="12.5">
      <c r="U5240" s="32"/>
    </row>
    <row r="5241" spans="21:21" ht="12.5">
      <c r="U5241" s="32"/>
    </row>
    <row r="5242" spans="21:21" ht="12.5">
      <c r="U5242" s="32"/>
    </row>
    <row r="5243" spans="21:21" ht="12.5">
      <c r="U5243" s="32"/>
    </row>
    <row r="5244" spans="21:21" ht="12.5">
      <c r="U5244" s="32"/>
    </row>
    <row r="5245" spans="21:21" ht="12.5">
      <c r="U5245" s="32"/>
    </row>
    <row r="5246" spans="21:21" ht="12.5">
      <c r="U5246" s="32"/>
    </row>
    <row r="5247" spans="21:21" ht="12.5">
      <c r="U5247" s="32"/>
    </row>
    <row r="5248" spans="21:21" ht="12.5">
      <c r="U5248" s="32"/>
    </row>
    <row r="5249" spans="21:21" ht="12.5">
      <c r="U5249" s="32"/>
    </row>
    <row r="5250" spans="21:21" ht="12.5">
      <c r="U5250" s="32"/>
    </row>
    <row r="5251" spans="21:21" ht="12.5">
      <c r="U5251" s="32"/>
    </row>
    <row r="5252" spans="21:21" ht="12.5">
      <c r="U5252" s="32"/>
    </row>
    <row r="5253" spans="21:21" ht="12.5">
      <c r="U5253" s="32"/>
    </row>
    <row r="5254" spans="21:21" ht="12.5">
      <c r="U5254" s="32"/>
    </row>
    <row r="5255" spans="21:21" ht="12.5">
      <c r="U5255" s="32"/>
    </row>
    <row r="5256" spans="21:21" ht="12.5">
      <c r="U5256" s="32"/>
    </row>
    <row r="5257" spans="21:21" ht="12.5">
      <c r="U5257" s="32"/>
    </row>
    <row r="5258" spans="21:21" ht="12.5">
      <c r="U5258" s="32"/>
    </row>
    <row r="5259" spans="21:21" ht="12.5">
      <c r="U5259" s="32"/>
    </row>
    <row r="5260" spans="21:21" ht="12.5">
      <c r="U5260" s="32"/>
    </row>
    <row r="5261" spans="21:21" ht="12.5">
      <c r="U5261" s="32"/>
    </row>
    <row r="5262" spans="21:21" ht="12.5">
      <c r="U5262" s="32"/>
    </row>
    <row r="5263" spans="21:21" ht="12.5">
      <c r="U5263" s="32"/>
    </row>
    <row r="5264" spans="21:21" ht="12.5">
      <c r="U5264" s="32"/>
    </row>
    <row r="5265" spans="21:21" ht="12.5">
      <c r="U5265" s="32"/>
    </row>
    <row r="5266" spans="21:21" ht="12.5">
      <c r="U5266" s="32"/>
    </row>
    <row r="5267" spans="21:21" ht="12.5">
      <c r="U5267" s="32"/>
    </row>
    <row r="5268" spans="21:21" ht="12.5">
      <c r="U5268" s="32"/>
    </row>
    <row r="5269" spans="21:21" ht="12.5">
      <c r="U5269" s="32"/>
    </row>
    <row r="5270" spans="21:21" ht="12.5">
      <c r="U5270" s="32"/>
    </row>
    <row r="5271" spans="21:21" ht="12.5">
      <c r="U5271" s="32"/>
    </row>
    <row r="5272" spans="21:21" ht="12.5">
      <c r="U5272" s="32"/>
    </row>
    <row r="5273" spans="21:21" ht="12.5">
      <c r="U5273" s="32"/>
    </row>
    <row r="5274" spans="21:21" ht="12.5">
      <c r="U5274" s="32"/>
    </row>
    <row r="5275" spans="21:21" ht="12.5">
      <c r="U5275" s="32"/>
    </row>
    <row r="5276" spans="21:21" ht="12.5">
      <c r="U5276" s="32"/>
    </row>
    <row r="5277" spans="21:21" ht="12.5">
      <c r="U5277" s="32"/>
    </row>
    <row r="5278" spans="21:21" ht="12.5">
      <c r="U5278" s="32"/>
    </row>
    <row r="5279" spans="21:21" ht="12.5">
      <c r="U5279" s="32"/>
    </row>
    <row r="5280" spans="21:21" ht="12.5">
      <c r="U5280" s="32"/>
    </row>
    <row r="5281" spans="21:21" ht="12.5">
      <c r="U5281" s="32"/>
    </row>
    <row r="5282" spans="21:21" ht="12.5">
      <c r="U5282" s="32"/>
    </row>
    <row r="5283" spans="21:21" ht="12.5">
      <c r="U5283" s="32"/>
    </row>
    <row r="5284" spans="21:21" ht="12.5">
      <c r="U5284" s="32"/>
    </row>
    <row r="5285" spans="21:21" ht="12.5">
      <c r="U5285" s="32"/>
    </row>
    <row r="5286" spans="21:21" ht="12.5">
      <c r="U5286" s="32"/>
    </row>
    <row r="5287" spans="21:21" ht="12.5">
      <c r="U5287" s="32"/>
    </row>
    <row r="5288" spans="21:21" ht="12.5">
      <c r="U5288" s="32"/>
    </row>
    <row r="5289" spans="21:21" ht="12.5">
      <c r="U5289" s="32"/>
    </row>
    <row r="5290" spans="21:21" ht="12.5">
      <c r="U5290" s="32"/>
    </row>
    <row r="5291" spans="21:21" ht="12.5">
      <c r="U5291" s="32"/>
    </row>
    <row r="5292" spans="21:21" ht="12.5">
      <c r="U5292" s="32"/>
    </row>
    <row r="5293" spans="21:21" ht="12.5">
      <c r="U5293" s="32"/>
    </row>
    <row r="5294" spans="21:21" ht="12.5">
      <c r="U5294" s="32"/>
    </row>
    <row r="5295" spans="21:21" ht="12.5">
      <c r="U5295" s="32"/>
    </row>
    <row r="5296" spans="21:21" ht="12.5">
      <c r="U5296" s="32"/>
    </row>
    <row r="5297" spans="21:21" ht="12.5">
      <c r="U5297" s="32"/>
    </row>
    <row r="5298" spans="21:21" ht="12.5">
      <c r="U5298" s="32"/>
    </row>
    <row r="5299" spans="21:21" ht="12.5">
      <c r="U5299" s="32"/>
    </row>
    <row r="5300" spans="21:21" ht="12.5">
      <c r="U5300" s="32"/>
    </row>
    <row r="5301" spans="21:21" ht="12.5">
      <c r="U5301" s="32"/>
    </row>
    <row r="5302" spans="21:21" ht="12.5">
      <c r="U5302" s="32"/>
    </row>
    <row r="5303" spans="21:21" ht="12.5">
      <c r="U5303" s="32"/>
    </row>
    <row r="5304" spans="21:21" ht="12.5">
      <c r="U5304" s="32"/>
    </row>
    <row r="5305" spans="21:21" ht="12.5">
      <c r="U5305" s="32"/>
    </row>
    <row r="5306" spans="21:21" ht="12.5">
      <c r="U5306" s="32"/>
    </row>
    <row r="5307" spans="21:21" ht="12.5">
      <c r="U5307" s="32"/>
    </row>
    <row r="5308" spans="21:21" ht="12.5">
      <c r="U5308" s="32"/>
    </row>
    <row r="5309" spans="21:21" ht="12.5">
      <c r="U5309" s="32"/>
    </row>
    <row r="5310" spans="21:21" ht="12.5">
      <c r="U5310" s="32"/>
    </row>
    <row r="5311" spans="21:21" ht="12.5">
      <c r="U5311" s="32"/>
    </row>
    <row r="5312" spans="21:21" ht="12.5">
      <c r="U5312" s="32"/>
    </row>
    <row r="5313" spans="21:21" ht="12.5">
      <c r="U5313" s="32"/>
    </row>
    <row r="5314" spans="21:21" ht="12.5">
      <c r="U5314" s="32"/>
    </row>
    <row r="5315" spans="21:21" ht="12.5">
      <c r="U5315" s="32"/>
    </row>
    <row r="5316" spans="21:21" ht="12.5">
      <c r="U5316" s="32"/>
    </row>
    <row r="5317" spans="21:21" ht="12.5">
      <c r="U5317" s="32"/>
    </row>
    <row r="5318" spans="21:21" ht="12.5">
      <c r="U5318" s="32"/>
    </row>
    <row r="5319" spans="21:21" ht="12.5">
      <c r="U5319" s="32"/>
    </row>
    <row r="5320" spans="21:21" ht="12.5">
      <c r="U5320" s="32"/>
    </row>
    <row r="5321" spans="21:21" ht="12.5">
      <c r="U5321" s="32"/>
    </row>
    <row r="5322" spans="21:21" ht="12.5">
      <c r="U5322" s="32"/>
    </row>
    <row r="5323" spans="21:21" ht="12.5">
      <c r="U5323" s="32"/>
    </row>
    <row r="5324" spans="21:21" ht="12.5">
      <c r="U5324" s="32"/>
    </row>
    <row r="5325" spans="21:21" ht="12.5">
      <c r="U5325" s="32"/>
    </row>
    <row r="5326" spans="21:21" ht="12.5">
      <c r="U5326" s="32"/>
    </row>
    <row r="5327" spans="21:21" ht="12.5">
      <c r="U5327" s="32"/>
    </row>
    <row r="5328" spans="21:21" ht="12.5">
      <c r="U5328" s="32"/>
    </row>
    <row r="5329" spans="21:21" ht="12.5">
      <c r="U5329" s="32"/>
    </row>
    <row r="5330" spans="21:21" ht="12.5">
      <c r="U5330" s="32"/>
    </row>
    <row r="5331" spans="21:21" ht="12.5">
      <c r="U5331" s="32"/>
    </row>
    <row r="5332" spans="21:21" ht="12.5">
      <c r="U5332" s="32"/>
    </row>
    <row r="5333" spans="21:21" ht="12.5">
      <c r="U5333" s="32"/>
    </row>
    <row r="5334" spans="21:21" ht="12.5">
      <c r="U5334" s="32"/>
    </row>
    <row r="5335" spans="21:21" ht="12.5">
      <c r="U5335" s="32"/>
    </row>
    <row r="5336" spans="21:21" ht="12.5">
      <c r="U5336" s="32"/>
    </row>
    <row r="5337" spans="21:21" ht="12.5">
      <c r="U5337" s="32"/>
    </row>
    <row r="5338" spans="21:21" ht="12.5">
      <c r="U5338" s="32"/>
    </row>
    <row r="5339" spans="21:21" ht="12.5">
      <c r="U5339" s="32"/>
    </row>
    <row r="5340" spans="21:21" ht="12.5">
      <c r="U5340" s="32"/>
    </row>
    <row r="5341" spans="21:21" ht="12.5">
      <c r="U5341" s="32"/>
    </row>
    <row r="5342" spans="21:21" ht="12.5">
      <c r="U5342" s="32"/>
    </row>
    <row r="5343" spans="21:21" ht="12.5">
      <c r="U5343" s="32"/>
    </row>
    <row r="5344" spans="21:21" ht="12.5">
      <c r="U5344" s="32"/>
    </row>
    <row r="5345" spans="21:21" ht="12.5">
      <c r="U5345" s="32"/>
    </row>
    <row r="5346" spans="21:21" ht="12.5">
      <c r="U5346" s="32"/>
    </row>
    <row r="5347" spans="21:21" ht="12.5">
      <c r="U5347" s="32"/>
    </row>
    <row r="5348" spans="21:21" ht="12.5">
      <c r="U5348" s="32"/>
    </row>
    <row r="5349" spans="21:21" ht="12.5">
      <c r="U5349" s="32"/>
    </row>
    <row r="5350" spans="21:21" ht="12.5">
      <c r="U5350" s="32"/>
    </row>
    <row r="5351" spans="21:21" ht="12.5">
      <c r="U5351" s="32"/>
    </row>
    <row r="5352" spans="21:21" ht="12.5">
      <c r="U5352" s="32"/>
    </row>
    <row r="5353" spans="21:21" ht="12.5">
      <c r="U5353" s="32"/>
    </row>
    <row r="5354" spans="21:21" ht="12.5">
      <c r="U5354" s="32"/>
    </row>
    <row r="5355" spans="21:21" ht="12.5">
      <c r="U5355" s="32"/>
    </row>
    <row r="5356" spans="21:21" ht="12.5">
      <c r="U5356" s="32"/>
    </row>
    <row r="5357" spans="21:21" ht="12.5">
      <c r="U5357" s="32"/>
    </row>
    <row r="5358" spans="21:21" ht="12.5">
      <c r="U5358" s="32"/>
    </row>
    <row r="5359" spans="21:21" ht="12.5">
      <c r="U5359" s="32"/>
    </row>
    <row r="5360" spans="21:21" ht="12.5">
      <c r="U5360" s="32"/>
    </row>
    <row r="5361" spans="21:21" ht="12.5">
      <c r="U5361" s="32"/>
    </row>
    <row r="5362" spans="21:21" ht="12.5">
      <c r="U5362" s="32"/>
    </row>
    <row r="5363" spans="21:21" ht="12.5">
      <c r="U5363" s="32"/>
    </row>
    <row r="5364" spans="21:21" ht="12.5">
      <c r="U5364" s="32"/>
    </row>
    <row r="5365" spans="21:21" ht="12.5">
      <c r="U5365" s="32"/>
    </row>
    <row r="5366" spans="21:21" ht="12.5">
      <c r="U5366" s="32"/>
    </row>
    <row r="5367" spans="21:21" ht="12.5">
      <c r="U5367" s="32"/>
    </row>
    <row r="5368" spans="21:21" ht="12.5">
      <c r="U5368" s="32"/>
    </row>
    <row r="5369" spans="21:21" ht="12.5">
      <c r="U5369" s="32"/>
    </row>
    <row r="5370" spans="21:21" ht="12.5">
      <c r="U5370" s="32"/>
    </row>
    <row r="5371" spans="21:21" ht="12.5">
      <c r="U5371" s="32"/>
    </row>
    <row r="5372" spans="21:21" ht="12.5">
      <c r="U5372" s="32"/>
    </row>
    <row r="5373" spans="21:21" ht="12.5">
      <c r="U5373" s="32"/>
    </row>
    <row r="5374" spans="21:21" ht="12.5">
      <c r="U5374" s="32"/>
    </row>
    <row r="5375" spans="21:21" ht="12.5">
      <c r="U5375" s="32"/>
    </row>
    <row r="5376" spans="21:21" ht="12.5">
      <c r="U5376" s="32"/>
    </row>
    <row r="5377" spans="21:21" ht="12.5">
      <c r="U5377" s="32"/>
    </row>
    <row r="5378" spans="21:21" ht="12.5">
      <c r="U5378" s="32"/>
    </row>
    <row r="5379" spans="21:21" ht="12.5">
      <c r="U5379" s="32"/>
    </row>
    <row r="5380" spans="21:21" ht="12.5">
      <c r="U5380" s="32"/>
    </row>
    <row r="5381" spans="21:21" ht="12.5">
      <c r="U5381" s="32"/>
    </row>
    <row r="5382" spans="21:21" ht="12.5">
      <c r="U5382" s="32"/>
    </row>
    <row r="5383" spans="21:21" ht="12.5">
      <c r="U5383" s="32"/>
    </row>
    <row r="5384" spans="21:21" ht="12.5">
      <c r="U5384" s="32"/>
    </row>
    <row r="5385" spans="21:21" ht="12.5">
      <c r="U5385" s="32"/>
    </row>
    <row r="5386" spans="21:21" ht="12.5">
      <c r="U5386" s="32"/>
    </row>
    <row r="5387" spans="21:21" ht="12.5">
      <c r="U5387" s="32"/>
    </row>
    <row r="5388" spans="21:21" ht="12.5">
      <c r="U5388" s="32"/>
    </row>
    <row r="5389" spans="21:21" ht="12.5">
      <c r="U5389" s="32"/>
    </row>
    <row r="5390" spans="21:21" ht="12.5">
      <c r="U5390" s="32"/>
    </row>
    <row r="5391" spans="21:21" ht="12.5">
      <c r="U5391" s="32"/>
    </row>
    <row r="5392" spans="21:21" ht="12.5">
      <c r="U5392" s="32"/>
    </row>
    <row r="5393" spans="21:21" ht="12.5">
      <c r="U5393" s="32"/>
    </row>
    <row r="5394" spans="21:21" ht="12.5">
      <c r="U5394" s="32"/>
    </row>
    <row r="5395" spans="21:21" ht="12.5">
      <c r="U5395" s="32"/>
    </row>
    <row r="5396" spans="21:21" ht="12.5">
      <c r="U5396" s="32"/>
    </row>
    <row r="5397" spans="21:21" ht="12.5">
      <c r="U5397" s="32"/>
    </row>
    <row r="5398" spans="21:21" ht="12.5">
      <c r="U5398" s="32"/>
    </row>
    <row r="5399" spans="21:21" ht="12.5">
      <c r="U5399" s="32"/>
    </row>
    <row r="5400" spans="21:21" ht="12.5">
      <c r="U5400" s="32"/>
    </row>
    <row r="5401" spans="21:21" ht="12.5">
      <c r="U5401" s="32"/>
    </row>
    <row r="5402" spans="21:21" ht="12.5">
      <c r="U5402" s="32"/>
    </row>
    <row r="5403" spans="21:21" ht="12.5">
      <c r="U5403" s="32"/>
    </row>
    <row r="5404" spans="21:21" ht="12.5">
      <c r="U5404" s="32"/>
    </row>
    <row r="5405" spans="21:21" ht="12.5">
      <c r="U5405" s="32"/>
    </row>
    <row r="5406" spans="21:21" ht="12.5">
      <c r="U5406" s="32"/>
    </row>
    <row r="5407" spans="21:21" ht="12.5">
      <c r="U5407" s="32"/>
    </row>
    <row r="5408" spans="21:21" ht="12.5">
      <c r="U5408" s="32"/>
    </row>
    <row r="5409" spans="21:21" ht="12.5">
      <c r="U5409" s="32"/>
    </row>
    <row r="5410" spans="21:21" ht="12.5">
      <c r="U5410" s="32"/>
    </row>
    <row r="5411" spans="21:21" ht="12.5">
      <c r="U5411" s="32"/>
    </row>
    <row r="5412" spans="21:21" ht="12.5">
      <c r="U5412" s="32"/>
    </row>
    <row r="5413" spans="21:21" ht="12.5">
      <c r="U5413" s="32"/>
    </row>
    <row r="5414" spans="21:21" ht="12.5">
      <c r="U5414" s="32"/>
    </row>
    <row r="5415" spans="21:21" ht="12.5">
      <c r="U5415" s="32"/>
    </row>
    <row r="5416" spans="21:21" ht="12.5">
      <c r="U5416" s="32"/>
    </row>
    <row r="5417" spans="21:21" ht="12.5">
      <c r="U5417" s="32"/>
    </row>
    <row r="5418" spans="21:21" ht="12.5">
      <c r="U5418" s="32"/>
    </row>
    <row r="5419" spans="21:21" ht="12.5">
      <c r="U5419" s="32"/>
    </row>
    <row r="5420" spans="21:21" ht="12.5">
      <c r="U5420" s="32"/>
    </row>
    <row r="5421" spans="21:21" ht="12.5">
      <c r="U5421" s="32"/>
    </row>
    <row r="5422" spans="21:21" ht="12.5">
      <c r="U5422" s="32"/>
    </row>
    <row r="5423" spans="21:21" ht="12.5">
      <c r="U5423" s="32"/>
    </row>
    <row r="5424" spans="21:21" ht="12.5">
      <c r="U5424" s="32"/>
    </row>
    <row r="5425" spans="21:21" ht="12.5">
      <c r="U5425" s="32"/>
    </row>
    <row r="5426" spans="21:21" ht="12.5">
      <c r="U5426" s="32"/>
    </row>
    <row r="5427" spans="21:21" ht="12.5">
      <c r="U5427" s="32"/>
    </row>
    <row r="5428" spans="21:21" ht="12.5">
      <c r="U5428" s="32"/>
    </row>
    <row r="5429" spans="21:21" ht="12.5">
      <c r="U5429" s="32"/>
    </row>
    <row r="5430" spans="21:21" ht="12.5">
      <c r="U5430" s="32"/>
    </row>
    <row r="5431" spans="21:21" ht="12.5">
      <c r="U5431" s="32"/>
    </row>
    <row r="5432" spans="21:21" ht="12.5">
      <c r="U5432" s="32"/>
    </row>
    <row r="5433" spans="21:21" ht="12.5">
      <c r="U5433" s="32"/>
    </row>
    <row r="5434" spans="21:21" ht="12.5">
      <c r="U5434" s="32"/>
    </row>
    <row r="5435" spans="21:21" ht="12.5">
      <c r="U5435" s="32"/>
    </row>
    <row r="5436" spans="21:21" ht="12.5">
      <c r="U5436" s="32"/>
    </row>
    <row r="5437" spans="21:21" ht="12.5">
      <c r="U5437" s="32"/>
    </row>
    <row r="5438" spans="21:21" ht="12.5">
      <c r="U5438" s="32"/>
    </row>
    <row r="5439" spans="21:21" ht="12.5">
      <c r="U5439" s="32"/>
    </row>
    <row r="5440" spans="21:21" ht="12.5">
      <c r="U5440" s="32"/>
    </row>
    <row r="5441" spans="21:21" ht="12.5">
      <c r="U5441" s="32"/>
    </row>
    <row r="5442" spans="21:21" ht="12.5">
      <c r="U5442" s="32"/>
    </row>
    <row r="5443" spans="21:21" ht="12.5">
      <c r="U5443" s="32"/>
    </row>
    <row r="5444" spans="21:21" ht="12.5">
      <c r="U5444" s="32"/>
    </row>
    <row r="5445" spans="21:21" ht="12.5">
      <c r="U5445" s="32"/>
    </row>
    <row r="5446" spans="21:21" ht="12.5">
      <c r="U5446" s="32"/>
    </row>
    <row r="5447" spans="21:21" ht="12.5">
      <c r="U5447" s="32"/>
    </row>
    <row r="5448" spans="21:21" ht="12.5">
      <c r="U5448" s="32"/>
    </row>
    <row r="5449" spans="21:21" ht="12.5">
      <c r="U5449" s="32"/>
    </row>
    <row r="5450" spans="21:21" ht="12.5">
      <c r="U5450" s="32"/>
    </row>
    <row r="5451" spans="21:21" ht="12.5">
      <c r="U5451" s="32"/>
    </row>
    <row r="5452" spans="21:21" ht="12.5">
      <c r="U5452" s="32"/>
    </row>
    <row r="5453" spans="21:21" ht="12.5">
      <c r="U5453" s="32"/>
    </row>
    <row r="5454" spans="21:21" ht="12.5">
      <c r="U5454" s="32"/>
    </row>
    <row r="5455" spans="21:21" ht="12.5">
      <c r="U5455" s="32"/>
    </row>
    <row r="5456" spans="21:21" ht="12.5">
      <c r="U5456" s="32"/>
    </row>
    <row r="5457" spans="21:21" ht="12.5">
      <c r="U5457" s="32"/>
    </row>
    <row r="5458" spans="21:21" ht="12.5">
      <c r="U5458" s="32"/>
    </row>
    <row r="5459" spans="21:21" ht="12.5">
      <c r="U5459" s="32"/>
    </row>
    <row r="5460" spans="21:21" ht="12.5">
      <c r="U5460" s="32"/>
    </row>
    <row r="5461" spans="21:21" ht="12.5">
      <c r="U5461" s="32"/>
    </row>
    <row r="5462" spans="21:21" ht="12.5">
      <c r="U5462" s="32"/>
    </row>
    <row r="5463" spans="21:21" ht="12.5">
      <c r="U5463" s="32"/>
    </row>
    <row r="5464" spans="21:21" ht="12.5">
      <c r="U5464" s="32"/>
    </row>
    <row r="5465" spans="21:21" ht="12.5">
      <c r="U5465" s="32"/>
    </row>
    <row r="5466" spans="21:21" ht="12.5">
      <c r="U5466" s="32"/>
    </row>
    <row r="5467" spans="21:21" ht="12.5">
      <c r="U5467" s="32"/>
    </row>
    <row r="5468" spans="21:21" ht="12.5">
      <c r="U5468" s="32"/>
    </row>
    <row r="5469" spans="21:21" ht="12.5">
      <c r="U5469" s="32"/>
    </row>
    <row r="5470" spans="21:21" ht="12.5">
      <c r="U5470" s="32"/>
    </row>
    <row r="5471" spans="21:21" ht="12.5">
      <c r="U5471" s="32"/>
    </row>
    <row r="5472" spans="21:21" ht="12.5">
      <c r="U5472" s="32"/>
    </row>
    <row r="5473" spans="21:21" ht="12.5">
      <c r="U5473" s="32"/>
    </row>
    <row r="5474" spans="21:21" ht="12.5">
      <c r="U5474" s="32"/>
    </row>
    <row r="5475" spans="21:21" ht="12.5">
      <c r="U5475" s="32"/>
    </row>
    <row r="5476" spans="21:21" ht="12.5">
      <c r="U5476" s="32"/>
    </row>
    <row r="5477" spans="21:21" ht="12.5">
      <c r="U5477" s="32"/>
    </row>
    <row r="5478" spans="21:21" ht="12.5">
      <c r="U5478" s="32"/>
    </row>
    <row r="5479" spans="21:21" ht="12.5">
      <c r="U5479" s="32"/>
    </row>
    <row r="5480" spans="21:21" ht="12.5">
      <c r="U5480" s="32"/>
    </row>
    <row r="5481" spans="21:21" ht="12.5">
      <c r="U5481" s="32"/>
    </row>
    <row r="5482" spans="21:21" ht="12.5">
      <c r="U5482" s="32"/>
    </row>
    <row r="5483" spans="21:21" ht="12.5">
      <c r="U5483" s="32"/>
    </row>
    <row r="5484" spans="21:21" ht="12.5">
      <c r="U5484" s="32"/>
    </row>
    <row r="5485" spans="21:21" ht="12.5">
      <c r="U5485" s="32"/>
    </row>
    <row r="5486" spans="21:21" ht="12.5">
      <c r="U5486" s="32"/>
    </row>
    <row r="5487" spans="21:21" ht="12.5">
      <c r="U5487" s="32"/>
    </row>
    <row r="5488" spans="21:21" ht="12.5">
      <c r="U5488" s="32"/>
    </row>
    <row r="5489" spans="21:21" ht="12.5">
      <c r="U5489" s="32"/>
    </row>
    <row r="5490" spans="21:21" ht="12.5">
      <c r="U5490" s="32"/>
    </row>
    <row r="5491" spans="21:21" ht="12.5">
      <c r="U5491" s="32"/>
    </row>
    <row r="5492" spans="21:21" ht="12.5">
      <c r="U5492" s="32"/>
    </row>
    <row r="5493" spans="21:21" ht="12.5">
      <c r="U5493" s="32"/>
    </row>
    <row r="5494" spans="21:21" ht="12.5">
      <c r="U5494" s="32"/>
    </row>
    <row r="5495" spans="21:21" ht="12.5">
      <c r="U5495" s="32"/>
    </row>
    <row r="5496" spans="21:21" ht="12.5">
      <c r="U5496" s="32"/>
    </row>
    <row r="5497" spans="21:21" ht="12.5">
      <c r="U5497" s="32"/>
    </row>
    <row r="5498" spans="21:21" ht="12.5">
      <c r="U5498" s="32"/>
    </row>
    <row r="5499" spans="21:21" ht="12.5">
      <c r="U5499" s="32"/>
    </row>
    <row r="5500" spans="21:21" ht="12.5">
      <c r="U5500" s="32"/>
    </row>
    <row r="5501" spans="21:21" ht="12.5">
      <c r="U5501" s="32"/>
    </row>
    <row r="5502" spans="21:21" ht="12.5">
      <c r="U5502" s="32"/>
    </row>
    <row r="5503" spans="21:21" ht="12.5">
      <c r="U5503" s="32"/>
    </row>
    <row r="5504" spans="21:21" ht="12.5">
      <c r="U5504" s="32"/>
    </row>
    <row r="5505" spans="21:21" ht="12.5">
      <c r="U5505" s="32"/>
    </row>
    <row r="5506" spans="21:21" ht="12.5">
      <c r="U5506" s="32"/>
    </row>
    <row r="5507" spans="21:21" ht="12.5">
      <c r="U5507" s="32"/>
    </row>
    <row r="5508" spans="21:21" ht="12.5">
      <c r="U5508" s="32"/>
    </row>
    <row r="5509" spans="21:21" ht="12.5">
      <c r="U5509" s="32"/>
    </row>
    <row r="5510" spans="21:21" ht="12.5">
      <c r="U5510" s="32"/>
    </row>
    <row r="5511" spans="21:21" ht="12.5">
      <c r="U5511" s="32"/>
    </row>
    <row r="5512" spans="21:21" ht="12.5">
      <c r="U5512" s="32"/>
    </row>
    <row r="5513" spans="21:21" ht="12.5">
      <c r="U5513" s="32"/>
    </row>
    <row r="5514" spans="21:21" ht="12.5">
      <c r="U5514" s="32"/>
    </row>
    <row r="5515" spans="21:21" ht="12.5">
      <c r="U5515" s="32"/>
    </row>
    <row r="5516" spans="21:21" ht="12.5">
      <c r="U5516" s="32"/>
    </row>
    <row r="5517" spans="21:21" ht="12.5">
      <c r="U5517" s="32"/>
    </row>
    <row r="5518" spans="21:21" ht="12.5">
      <c r="U5518" s="32"/>
    </row>
    <row r="5519" spans="21:21" ht="12.5">
      <c r="U5519" s="32"/>
    </row>
    <row r="5520" spans="21:21" ht="12.5">
      <c r="U5520" s="32"/>
    </row>
    <row r="5521" spans="21:21" ht="12.5">
      <c r="U5521" s="32"/>
    </row>
    <row r="5522" spans="21:21" ht="12.5">
      <c r="U5522" s="32"/>
    </row>
    <row r="5523" spans="21:21" ht="12.5">
      <c r="U5523" s="32"/>
    </row>
    <row r="5524" spans="21:21" ht="12.5">
      <c r="U5524" s="32"/>
    </row>
    <row r="5525" spans="21:21" ht="12.5">
      <c r="U5525" s="32"/>
    </row>
    <row r="5526" spans="21:21" ht="12.5">
      <c r="U5526" s="32"/>
    </row>
    <row r="5527" spans="21:21" ht="12.5">
      <c r="U5527" s="32"/>
    </row>
    <row r="5528" spans="21:21" ht="12.5">
      <c r="U5528" s="32"/>
    </row>
    <row r="5529" spans="21:21" ht="12.5">
      <c r="U5529" s="32"/>
    </row>
    <row r="5530" spans="21:21" ht="12.5">
      <c r="U5530" s="32"/>
    </row>
    <row r="5531" spans="21:21" ht="12.5">
      <c r="U5531" s="32"/>
    </row>
    <row r="5532" spans="21:21" ht="12.5">
      <c r="U5532" s="32"/>
    </row>
    <row r="5533" spans="21:21" ht="12.5">
      <c r="U5533" s="32"/>
    </row>
    <row r="5534" spans="21:21" ht="12.5">
      <c r="U5534" s="32"/>
    </row>
    <row r="5535" spans="21:21" ht="12.5">
      <c r="U5535" s="32"/>
    </row>
    <row r="5536" spans="21:21" ht="12.5">
      <c r="U5536" s="32"/>
    </row>
    <row r="5537" spans="21:21" ht="12.5">
      <c r="U5537" s="32"/>
    </row>
    <row r="5538" spans="21:21" ht="12.5">
      <c r="U5538" s="32"/>
    </row>
    <row r="5539" spans="21:21" ht="12.5">
      <c r="U5539" s="32"/>
    </row>
    <row r="5540" spans="21:21" ht="12.5">
      <c r="U5540" s="32"/>
    </row>
    <row r="5541" spans="21:21" ht="12.5">
      <c r="U5541" s="32"/>
    </row>
    <row r="5542" spans="21:21" ht="12.5">
      <c r="U5542" s="32"/>
    </row>
    <row r="5543" spans="21:21" ht="12.5">
      <c r="U5543" s="32"/>
    </row>
    <row r="5544" spans="21:21" ht="12.5">
      <c r="U5544" s="32"/>
    </row>
    <row r="5545" spans="21:21" ht="12.5">
      <c r="U5545" s="32"/>
    </row>
    <row r="5546" spans="21:21" ht="12.5">
      <c r="U5546" s="32"/>
    </row>
    <row r="5547" spans="21:21" ht="12.5">
      <c r="U5547" s="32"/>
    </row>
    <row r="5548" spans="21:21" ht="12.5">
      <c r="U5548" s="32"/>
    </row>
    <row r="5549" spans="21:21" ht="12.5">
      <c r="U5549" s="32"/>
    </row>
    <row r="5550" spans="21:21" ht="12.5">
      <c r="U5550" s="32"/>
    </row>
    <row r="5551" spans="21:21" ht="12.5">
      <c r="U5551" s="32"/>
    </row>
    <row r="5552" spans="21:21" ht="12.5">
      <c r="U5552" s="32"/>
    </row>
    <row r="5553" spans="21:21" ht="12.5">
      <c r="U5553" s="32"/>
    </row>
    <row r="5554" spans="21:21" ht="12.5">
      <c r="U5554" s="32"/>
    </row>
    <row r="5555" spans="21:21" ht="12.5">
      <c r="U5555" s="32"/>
    </row>
    <row r="5556" spans="21:21" ht="12.5">
      <c r="U5556" s="32"/>
    </row>
    <row r="5557" spans="21:21" ht="12.5">
      <c r="U5557" s="32"/>
    </row>
    <row r="5558" spans="21:21" ht="12.5">
      <c r="U5558" s="32"/>
    </row>
    <row r="5559" spans="21:21" ht="12.5">
      <c r="U5559" s="32"/>
    </row>
    <row r="5560" spans="21:21" ht="12.5">
      <c r="U5560" s="32"/>
    </row>
    <row r="5561" spans="21:21" ht="12.5">
      <c r="U5561" s="32"/>
    </row>
    <row r="5562" spans="21:21" ht="12.5">
      <c r="U5562" s="32"/>
    </row>
    <row r="5563" spans="21:21" ht="12.5">
      <c r="U5563" s="32"/>
    </row>
    <row r="5564" spans="21:21" ht="12.5">
      <c r="U5564" s="32"/>
    </row>
    <row r="5565" spans="21:21" ht="12.5">
      <c r="U5565" s="32"/>
    </row>
    <row r="5566" spans="21:21" ht="12.5">
      <c r="U5566" s="32"/>
    </row>
    <row r="5567" spans="21:21" ht="12.5">
      <c r="U5567" s="32"/>
    </row>
    <row r="5568" spans="21:21" ht="12.5">
      <c r="U5568" s="32"/>
    </row>
    <row r="5569" spans="21:21" ht="12.5">
      <c r="U5569" s="32"/>
    </row>
    <row r="5570" spans="21:21" ht="12.5">
      <c r="U5570" s="32"/>
    </row>
    <row r="5571" spans="21:21" ht="12.5">
      <c r="U5571" s="32"/>
    </row>
    <row r="5572" spans="21:21" ht="12.5">
      <c r="U5572" s="32"/>
    </row>
    <row r="5573" spans="21:21" ht="12.5">
      <c r="U5573" s="32"/>
    </row>
    <row r="5574" spans="21:21" ht="12.5">
      <c r="U5574" s="32"/>
    </row>
    <row r="5575" spans="21:21" ht="12.5">
      <c r="U5575" s="32"/>
    </row>
    <row r="5576" spans="21:21" ht="12.5">
      <c r="U5576" s="32"/>
    </row>
    <row r="5577" spans="21:21" ht="12.5">
      <c r="U5577" s="32"/>
    </row>
    <row r="5578" spans="21:21" ht="12.5">
      <c r="U5578" s="32"/>
    </row>
    <row r="5579" spans="21:21" ht="12.5">
      <c r="U5579" s="32"/>
    </row>
    <row r="5580" spans="21:21" ht="12.5">
      <c r="U5580" s="32"/>
    </row>
    <row r="5581" spans="21:21" ht="12.5">
      <c r="U5581" s="32"/>
    </row>
    <row r="5582" spans="21:21" ht="12.5">
      <c r="U5582" s="32"/>
    </row>
    <row r="5583" spans="21:21" ht="12.5">
      <c r="U5583" s="32"/>
    </row>
    <row r="5584" spans="21:21" ht="12.5">
      <c r="U5584" s="32"/>
    </row>
    <row r="5585" spans="21:21" ht="12.5">
      <c r="U5585" s="32"/>
    </row>
    <row r="5586" spans="21:21" ht="12.5">
      <c r="U5586" s="32"/>
    </row>
    <row r="5587" spans="21:21" ht="12.5">
      <c r="U5587" s="32"/>
    </row>
    <row r="5588" spans="21:21" ht="12.5">
      <c r="U5588" s="32"/>
    </row>
    <row r="5589" spans="21:21" ht="12.5">
      <c r="U5589" s="32"/>
    </row>
    <row r="5590" spans="21:21" ht="12.5">
      <c r="U5590" s="32"/>
    </row>
    <row r="5591" spans="21:21" ht="12.5">
      <c r="U5591" s="32"/>
    </row>
    <row r="5592" spans="21:21" ht="12.5">
      <c r="U5592" s="32"/>
    </row>
    <row r="5593" spans="21:21" ht="12.5">
      <c r="U5593" s="32"/>
    </row>
    <row r="5594" spans="21:21" ht="12.5">
      <c r="U5594" s="32"/>
    </row>
    <row r="5595" spans="21:21" ht="12.5">
      <c r="U5595" s="32"/>
    </row>
    <row r="5596" spans="21:21" ht="12.5">
      <c r="U5596" s="32"/>
    </row>
    <row r="5597" spans="21:21" ht="12.5">
      <c r="U5597" s="32"/>
    </row>
    <row r="5598" spans="21:21" ht="12.5">
      <c r="U5598" s="32"/>
    </row>
    <row r="5599" spans="21:21" ht="12.5">
      <c r="U5599" s="32"/>
    </row>
    <row r="5600" spans="21:21" ht="12.5">
      <c r="U5600" s="32"/>
    </row>
    <row r="5601" spans="21:21" ht="12.5">
      <c r="U5601" s="32"/>
    </row>
    <row r="5602" spans="21:21" ht="12.5">
      <c r="U5602" s="32"/>
    </row>
    <row r="5603" spans="21:21" ht="12.5">
      <c r="U5603" s="32"/>
    </row>
    <row r="5604" spans="21:21" ht="12.5">
      <c r="U5604" s="32"/>
    </row>
    <row r="5605" spans="21:21" ht="12.5">
      <c r="U5605" s="32"/>
    </row>
    <row r="5606" spans="21:21" ht="12.5">
      <c r="U5606" s="32"/>
    </row>
    <row r="5607" spans="21:21" ht="12.5">
      <c r="U5607" s="32"/>
    </row>
    <row r="5608" spans="21:21" ht="12.5">
      <c r="U5608" s="32"/>
    </row>
    <row r="5609" spans="21:21" ht="12.5">
      <c r="U5609" s="32"/>
    </row>
    <row r="5610" spans="21:21" ht="12.5">
      <c r="U5610" s="32"/>
    </row>
    <row r="5611" spans="21:21" ht="12.5">
      <c r="U5611" s="32"/>
    </row>
    <row r="5612" spans="21:21" ht="12.5">
      <c r="U5612" s="32"/>
    </row>
    <row r="5613" spans="21:21" ht="12.5">
      <c r="U5613" s="32"/>
    </row>
    <row r="5614" spans="21:21" ht="12.5">
      <c r="U5614" s="32"/>
    </row>
    <row r="5615" spans="21:21" ht="12.5">
      <c r="U5615" s="32"/>
    </row>
    <row r="5616" spans="21:21" ht="12.5">
      <c r="U5616" s="32"/>
    </row>
    <row r="5617" spans="21:21" ht="12.5">
      <c r="U5617" s="32"/>
    </row>
    <row r="5618" spans="21:21" ht="12.5">
      <c r="U5618" s="32"/>
    </row>
    <row r="5619" spans="21:21" ht="12.5">
      <c r="U5619" s="32"/>
    </row>
    <row r="5620" spans="21:21" ht="12.5">
      <c r="U5620" s="32"/>
    </row>
    <row r="5621" spans="21:21" ht="12.5">
      <c r="U5621" s="32"/>
    </row>
    <row r="5622" spans="21:21" ht="12.5">
      <c r="U5622" s="32"/>
    </row>
    <row r="5623" spans="21:21" ht="12.5">
      <c r="U5623" s="32"/>
    </row>
    <row r="5624" spans="21:21" ht="12.5">
      <c r="U5624" s="32"/>
    </row>
    <row r="5625" spans="21:21" ht="12.5">
      <c r="U5625" s="32"/>
    </row>
    <row r="5626" spans="21:21" ht="12.5">
      <c r="U5626" s="32"/>
    </row>
    <row r="5627" spans="21:21" ht="12.5">
      <c r="U5627" s="32"/>
    </row>
    <row r="5628" spans="21:21" ht="12.5">
      <c r="U5628" s="32"/>
    </row>
    <row r="5629" spans="21:21" ht="12.5">
      <c r="U5629" s="32"/>
    </row>
    <row r="5630" spans="21:21" ht="12.5">
      <c r="U5630" s="32"/>
    </row>
    <row r="5631" spans="21:21" ht="12.5">
      <c r="U5631" s="32"/>
    </row>
    <row r="5632" spans="21:21" ht="12.5">
      <c r="U5632" s="32"/>
    </row>
    <row r="5633" spans="21:21" ht="12.5">
      <c r="U5633" s="32"/>
    </row>
    <row r="5634" spans="21:21" ht="12.5">
      <c r="U5634" s="32"/>
    </row>
    <row r="5635" spans="21:21" ht="12.5">
      <c r="U5635" s="32"/>
    </row>
    <row r="5636" spans="21:21" ht="12.5">
      <c r="U5636" s="32"/>
    </row>
    <row r="5637" spans="21:21" ht="12.5">
      <c r="U5637" s="32"/>
    </row>
    <row r="5638" spans="21:21" ht="12.5">
      <c r="U5638" s="32"/>
    </row>
    <row r="5639" spans="21:21" ht="12.5">
      <c r="U5639" s="32"/>
    </row>
    <row r="5640" spans="21:21" ht="12.5">
      <c r="U5640" s="32"/>
    </row>
    <row r="5641" spans="21:21" ht="12.5">
      <c r="U5641" s="32"/>
    </row>
    <row r="5642" spans="21:21" ht="12.5">
      <c r="U5642" s="32"/>
    </row>
    <row r="5643" spans="21:21" ht="12.5">
      <c r="U5643" s="32"/>
    </row>
    <row r="5644" spans="21:21" ht="12.5">
      <c r="U5644" s="32"/>
    </row>
    <row r="5645" spans="21:21" ht="12.5">
      <c r="U5645" s="32"/>
    </row>
    <row r="5646" spans="21:21" ht="12.5">
      <c r="U5646" s="32"/>
    </row>
    <row r="5647" spans="21:21" ht="12.5">
      <c r="U5647" s="32"/>
    </row>
    <row r="5648" spans="21:21" ht="12.5">
      <c r="U5648" s="32"/>
    </row>
    <row r="5649" spans="21:21" ht="12.5">
      <c r="U5649" s="32"/>
    </row>
    <row r="5650" spans="21:21" ht="12.5">
      <c r="U5650" s="32"/>
    </row>
    <row r="5651" spans="21:21" ht="12.5">
      <c r="U5651" s="32"/>
    </row>
    <row r="5652" spans="21:21" ht="12.5">
      <c r="U5652" s="32"/>
    </row>
    <row r="5653" spans="21:21" ht="12.5">
      <c r="U5653" s="32"/>
    </row>
    <row r="5654" spans="21:21" ht="12.5">
      <c r="U5654" s="32"/>
    </row>
    <row r="5655" spans="21:21" ht="12.5">
      <c r="U5655" s="32"/>
    </row>
    <row r="5656" spans="21:21" ht="12.5">
      <c r="U5656" s="32"/>
    </row>
    <row r="5657" spans="21:21" ht="12.5">
      <c r="U5657" s="32"/>
    </row>
    <row r="5658" spans="21:21" ht="12.5">
      <c r="U5658" s="32"/>
    </row>
    <row r="5659" spans="21:21" ht="12.5">
      <c r="U5659" s="32"/>
    </row>
    <row r="5660" spans="21:21" ht="12.5">
      <c r="U5660" s="32"/>
    </row>
    <row r="5661" spans="21:21" ht="12.5">
      <c r="U5661" s="32"/>
    </row>
    <row r="5662" spans="21:21" ht="12.5">
      <c r="U5662" s="32"/>
    </row>
    <row r="5663" spans="21:21" ht="12.5">
      <c r="U5663" s="32"/>
    </row>
    <row r="5664" spans="21:21" ht="12.5">
      <c r="U5664" s="32"/>
    </row>
    <row r="5665" spans="21:21" ht="12.5">
      <c r="U5665" s="32"/>
    </row>
    <row r="5666" spans="21:21" ht="12.5">
      <c r="U5666" s="32"/>
    </row>
    <row r="5667" spans="21:21" ht="12.5">
      <c r="U5667" s="32"/>
    </row>
    <row r="5668" spans="21:21" ht="12.5">
      <c r="U5668" s="32"/>
    </row>
    <row r="5669" spans="21:21" ht="12.5">
      <c r="U5669" s="32"/>
    </row>
    <row r="5670" spans="21:21" ht="12.5">
      <c r="U5670" s="32"/>
    </row>
    <row r="5671" spans="21:21" ht="12.5">
      <c r="U5671" s="32"/>
    </row>
    <row r="5672" spans="21:21" ht="12.5">
      <c r="U5672" s="32"/>
    </row>
    <row r="5673" spans="21:21" ht="12.5">
      <c r="U5673" s="32"/>
    </row>
    <row r="5674" spans="21:21" ht="12.5">
      <c r="U5674" s="32"/>
    </row>
    <row r="5675" spans="21:21" ht="12.5">
      <c r="U5675" s="32"/>
    </row>
    <row r="5676" spans="21:21" ht="12.5">
      <c r="U5676" s="32"/>
    </row>
    <row r="5677" spans="21:21" ht="12.5">
      <c r="U5677" s="32"/>
    </row>
    <row r="5678" spans="21:21" ht="12.5">
      <c r="U5678" s="32"/>
    </row>
    <row r="5679" spans="21:21" ht="12.5">
      <c r="U5679" s="32"/>
    </row>
    <row r="5680" spans="21:21" ht="12.5">
      <c r="U5680" s="32"/>
    </row>
    <row r="5681" spans="21:21" ht="12.5">
      <c r="U5681" s="32"/>
    </row>
    <row r="5682" spans="21:21" ht="12.5">
      <c r="U5682" s="32"/>
    </row>
    <row r="5683" spans="21:21" ht="12.5">
      <c r="U5683" s="32"/>
    </row>
    <row r="5684" spans="21:21" ht="12.5">
      <c r="U5684" s="32"/>
    </row>
    <row r="5685" spans="21:21" ht="12.5">
      <c r="U5685" s="32"/>
    </row>
    <row r="5686" spans="21:21" ht="12.5">
      <c r="U5686" s="32"/>
    </row>
    <row r="5687" spans="21:21" ht="12.5">
      <c r="U5687" s="32"/>
    </row>
    <row r="5688" spans="21:21" ht="12.5">
      <c r="U5688" s="32"/>
    </row>
    <row r="5689" spans="21:21" ht="12.5">
      <c r="U5689" s="32"/>
    </row>
    <row r="5690" spans="21:21" ht="12.5">
      <c r="U5690" s="32"/>
    </row>
    <row r="5691" spans="21:21" ht="12.5">
      <c r="U5691" s="32"/>
    </row>
    <row r="5692" spans="21:21" ht="12.5">
      <c r="U5692" s="32"/>
    </row>
    <row r="5693" spans="21:21" ht="12.5">
      <c r="U5693" s="32"/>
    </row>
    <row r="5694" spans="21:21" ht="12.5">
      <c r="U5694" s="32"/>
    </row>
    <row r="5695" spans="21:21" ht="12.5">
      <c r="U5695" s="32"/>
    </row>
    <row r="5696" spans="21:21" ht="12.5">
      <c r="U5696" s="32"/>
    </row>
    <row r="5697" spans="21:21" ht="12.5">
      <c r="U5697" s="32"/>
    </row>
    <row r="5698" spans="21:21" ht="12.5">
      <c r="U5698" s="32"/>
    </row>
    <row r="5699" spans="21:21" ht="12.5">
      <c r="U5699" s="32"/>
    </row>
    <row r="5700" spans="21:21" ht="12.5">
      <c r="U5700" s="32"/>
    </row>
    <row r="5701" spans="21:21" ht="12.5">
      <c r="U5701" s="32"/>
    </row>
    <row r="5702" spans="21:21" ht="12.5">
      <c r="U5702" s="32"/>
    </row>
    <row r="5703" spans="21:21" ht="12.5">
      <c r="U5703" s="32"/>
    </row>
    <row r="5704" spans="21:21" ht="12.5">
      <c r="U5704" s="32"/>
    </row>
    <row r="5705" spans="21:21" ht="12.5">
      <c r="U5705" s="32"/>
    </row>
    <row r="5706" spans="21:21" ht="12.5">
      <c r="U5706" s="32"/>
    </row>
    <row r="5707" spans="21:21" ht="12.5">
      <c r="U5707" s="32"/>
    </row>
    <row r="5708" spans="21:21" ht="12.5">
      <c r="U5708" s="32"/>
    </row>
    <row r="5709" spans="21:21" ht="12.5">
      <c r="U5709" s="32"/>
    </row>
    <row r="5710" spans="21:21" ht="12.5">
      <c r="U5710" s="32"/>
    </row>
    <row r="5711" spans="21:21" ht="12.5">
      <c r="U5711" s="32"/>
    </row>
    <row r="5712" spans="21:21" ht="12.5">
      <c r="U5712" s="32"/>
    </row>
    <row r="5713" spans="21:21" ht="12.5">
      <c r="U5713" s="32"/>
    </row>
    <row r="5714" spans="21:21" ht="12.5">
      <c r="U5714" s="32"/>
    </row>
    <row r="5715" spans="21:21" ht="12.5">
      <c r="U5715" s="32"/>
    </row>
    <row r="5716" spans="21:21" ht="12.5">
      <c r="U5716" s="32"/>
    </row>
    <row r="5717" spans="21:21" ht="12.5">
      <c r="U5717" s="32"/>
    </row>
    <row r="5718" spans="21:21" ht="12.5">
      <c r="U5718" s="32"/>
    </row>
    <row r="5719" spans="21:21" ht="12.5">
      <c r="U5719" s="32"/>
    </row>
    <row r="5720" spans="21:21" ht="12.5">
      <c r="U5720" s="32"/>
    </row>
    <row r="5721" spans="21:21" ht="12.5">
      <c r="U5721" s="32"/>
    </row>
    <row r="5722" spans="21:21" ht="12.5">
      <c r="U5722" s="32"/>
    </row>
    <row r="5723" spans="21:21" ht="12.5">
      <c r="U5723" s="32"/>
    </row>
    <row r="5724" spans="21:21" ht="12.5">
      <c r="U5724" s="32"/>
    </row>
    <row r="5725" spans="21:21" ht="12.5">
      <c r="U5725" s="32"/>
    </row>
    <row r="5726" spans="21:21" ht="12.5">
      <c r="U5726" s="32"/>
    </row>
    <row r="5727" spans="21:21" ht="12.5">
      <c r="U5727" s="32"/>
    </row>
    <row r="5728" spans="21:21" ht="12.5">
      <c r="U5728" s="32"/>
    </row>
    <row r="5729" spans="21:21" ht="12.5">
      <c r="U5729" s="32"/>
    </row>
    <row r="5730" spans="21:21" ht="12.5">
      <c r="U5730" s="32"/>
    </row>
    <row r="5731" spans="21:21" ht="12.5">
      <c r="U5731" s="32"/>
    </row>
    <row r="5732" spans="21:21" ht="12.5">
      <c r="U5732" s="32"/>
    </row>
    <row r="5733" spans="21:21" ht="12.5">
      <c r="U5733" s="32"/>
    </row>
    <row r="5734" spans="21:21" ht="12.5">
      <c r="U5734" s="32"/>
    </row>
    <row r="5735" spans="21:21" ht="12.5">
      <c r="U5735" s="32"/>
    </row>
    <row r="5736" spans="21:21" ht="12.5">
      <c r="U5736" s="32"/>
    </row>
    <row r="5737" spans="21:21" ht="12.5">
      <c r="U5737" s="32"/>
    </row>
    <row r="5738" spans="21:21" ht="12.5">
      <c r="U5738" s="32"/>
    </row>
    <row r="5739" spans="21:21" ht="12.5">
      <c r="U5739" s="32"/>
    </row>
    <row r="5740" spans="21:21" ht="12.5">
      <c r="U5740" s="32"/>
    </row>
    <row r="5741" spans="21:21" ht="12.5">
      <c r="U5741" s="32"/>
    </row>
    <row r="5742" spans="21:21" ht="12.5">
      <c r="U5742" s="32"/>
    </row>
    <row r="5743" spans="21:21" ht="12.5">
      <c r="U5743" s="32"/>
    </row>
    <row r="5744" spans="21:21" ht="12.5">
      <c r="U5744" s="32"/>
    </row>
    <row r="5745" spans="21:21" ht="12.5">
      <c r="U5745" s="32"/>
    </row>
    <row r="5746" spans="21:21" ht="12.5">
      <c r="U5746" s="32"/>
    </row>
    <row r="5747" spans="21:21" ht="12.5">
      <c r="U5747" s="32"/>
    </row>
    <row r="5748" spans="21:21" ht="12.5">
      <c r="U5748" s="32"/>
    </row>
    <row r="5749" spans="21:21" ht="12.5">
      <c r="U5749" s="32"/>
    </row>
    <row r="5750" spans="21:21" ht="12.5">
      <c r="U5750" s="32"/>
    </row>
    <row r="5751" spans="21:21" ht="12.5">
      <c r="U5751" s="32"/>
    </row>
    <row r="5752" spans="21:21" ht="12.5">
      <c r="U5752" s="32"/>
    </row>
    <row r="5753" spans="21:21" ht="12.5">
      <c r="U5753" s="32"/>
    </row>
    <row r="5754" spans="21:21" ht="12.5">
      <c r="U5754" s="32"/>
    </row>
    <row r="5755" spans="21:21" ht="12.5">
      <c r="U5755" s="32"/>
    </row>
    <row r="5756" spans="21:21" ht="12.5">
      <c r="U5756" s="32"/>
    </row>
    <row r="5757" spans="21:21" ht="12.5">
      <c r="U5757" s="32"/>
    </row>
    <row r="5758" spans="21:21" ht="12.5">
      <c r="U5758" s="32"/>
    </row>
    <row r="5759" spans="21:21" ht="12.5">
      <c r="U5759" s="32"/>
    </row>
    <row r="5760" spans="21:21" ht="12.5">
      <c r="U5760" s="32"/>
    </row>
    <row r="5761" spans="21:21" ht="12.5">
      <c r="U5761" s="32"/>
    </row>
    <row r="5762" spans="21:21" ht="12.5">
      <c r="U5762" s="32"/>
    </row>
    <row r="5763" spans="21:21" ht="12.5">
      <c r="U5763" s="32"/>
    </row>
    <row r="5764" spans="21:21" ht="12.5">
      <c r="U5764" s="32"/>
    </row>
    <row r="5765" spans="21:21" ht="12.5">
      <c r="U5765" s="32"/>
    </row>
    <row r="5766" spans="21:21" ht="12.5">
      <c r="U5766" s="32"/>
    </row>
    <row r="5767" spans="21:21" ht="12.5">
      <c r="U5767" s="32"/>
    </row>
    <row r="5768" spans="21:21" ht="12.5">
      <c r="U5768" s="32"/>
    </row>
    <row r="5769" spans="21:21" ht="12.5">
      <c r="U5769" s="32"/>
    </row>
    <row r="5770" spans="21:21" ht="12.5">
      <c r="U5770" s="32"/>
    </row>
    <row r="5771" spans="21:21" ht="12.5">
      <c r="U5771" s="32"/>
    </row>
    <row r="5772" spans="21:21" ht="12.5">
      <c r="U5772" s="32"/>
    </row>
    <row r="5773" spans="21:21" ht="12.5">
      <c r="U5773" s="32"/>
    </row>
    <row r="5774" spans="21:21" ht="12.5">
      <c r="U5774" s="32"/>
    </row>
    <row r="5775" spans="21:21" ht="12.5">
      <c r="U5775" s="32"/>
    </row>
    <row r="5776" spans="21:21" ht="12.5">
      <c r="U5776" s="32"/>
    </row>
    <row r="5777" spans="21:21" ht="12.5">
      <c r="U5777" s="32"/>
    </row>
    <row r="5778" spans="21:21" ht="12.5">
      <c r="U5778" s="32"/>
    </row>
    <row r="5779" spans="21:21" ht="12.5">
      <c r="U5779" s="32"/>
    </row>
    <row r="5780" spans="21:21" ht="12.5">
      <c r="U5780" s="32"/>
    </row>
    <row r="5781" spans="21:21" ht="12.5">
      <c r="U5781" s="32"/>
    </row>
    <row r="5782" spans="21:21" ht="12.5">
      <c r="U5782" s="32"/>
    </row>
    <row r="5783" spans="21:21" ht="12.5">
      <c r="U5783" s="32"/>
    </row>
    <row r="5784" spans="21:21" ht="12.5">
      <c r="U5784" s="32"/>
    </row>
    <row r="5785" spans="21:21" ht="12.5">
      <c r="U5785" s="32"/>
    </row>
    <row r="5786" spans="21:21" ht="12.5">
      <c r="U5786" s="32"/>
    </row>
    <row r="5787" spans="21:21" ht="12.5">
      <c r="U5787" s="32"/>
    </row>
    <row r="5788" spans="21:21" ht="12.5">
      <c r="U5788" s="32"/>
    </row>
    <row r="5789" spans="21:21" ht="12.5">
      <c r="U5789" s="32"/>
    </row>
    <row r="5790" spans="21:21" ht="12.5">
      <c r="U5790" s="32"/>
    </row>
    <row r="5791" spans="21:21" ht="12.5">
      <c r="U5791" s="32"/>
    </row>
    <row r="5792" spans="21:21" ht="12.5">
      <c r="U5792" s="32"/>
    </row>
    <row r="5793" spans="21:21" ht="12.5">
      <c r="U5793" s="32"/>
    </row>
    <row r="5794" spans="21:21" ht="12.5">
      <c r="U5794" s="32"/>
    </row>
    <row r="5795" spans="21:21" ht="12.5">
      <c r="U5795" s="32"/>
    </row>
    <row r="5796" spans="21:21" ht="12.5">
      <c r="U5796" s="32"/>
    </row>
    <row r="5797" spans="21:21" ht="12.5">
      <c r="U5797" s="32"/>
    </row>
    <row r="5798" spans="21:21" ht="12.5">
      <c r="U5798" s="32"/>
    </row>
    <row r="5799" spans="21:21" ht="12.5">
      <c r="U5799" s="32"/>
    </row>
    <row r="5800" spans="21:21" ht="12.5">
      <c r="U5800" s="32"/>
    </row>
    <row r="5801" spans="21:21" ht="12.5">
      <c r="U5801" s="32"/>
    </row>
    <row r="5802" spans="21:21" ht="12.5">
      <c r="U5802" s="32"/>
    </row>
    <row r="5803" spans="21:21" ht="12.5">
      <c r="U5803" s="32"/>
    </row>
    <row r="5804" spans="21:21" ht="12.5">
      <c r="U5804" s="32"/>
    </row>
    <row r="5805" spans="21:21" ht="12.5">
      <c r="U5805" s="32"/>
    </row>
    <row r="5806" spans="21:21" ht="12.5">
      <c r="U5806" s="32"/>
    </row>
    <row r="5807" spans="21:21" ht="12.5">
      <c r="U5807" s="32"/>
    </row>
    <row r="5808" spans="21:21" ht="12.5">
      <c r="U5808" s="32"/>
    </row>
    <row r="5809" spans="21:21" ht="12.5">
      <c r="U5809" s="32"/>
    </row>
    <row r="5810" spans="21:21" ht="12.5">
      <c r="U5810" s="32"/>
    </row>
    <row r="5811" spans="21:21" ht="12.5">
      <c r="U5811" s="32"/>
    </row>
    <row r="5812" spans="21:21" ht="12.5">
      <c r="U5812" s="32"/>
    </row>
    <row r="5813" spans="21:21" ht="12.5">
      <c r="U5813" s="32"/>
    </row>
    <row r="5814" spans="21:21" ht="12.5">
      <c r="U5814" s="32"/>
    </row>
    <row r="5815" spans="21:21" ht="12.5">
      <c r="U5815" s="32"/>
    </row>
    <row r="5816" spans="21:21" ht="12.5">
      <c r="U5816" s="32"/>
    </row>
    <row r="5817" spans="21:21" ht="12.5">
      <c r="U5817" s="32"/>
    </row>
    <row r="5818" spans="21:21" ht="12.5">
      <c r="U5818" s="32"/>
    </row>
    <row r="5819" spans="21:21" ht="12.5">
      <c r="U5819" s="32"/>
    </row>
    <row r="5820" spans="21:21" ht="12.5">
      <c r="U5820" s="32"/>
    </row>
    <row r="5821" spans="21:21" ht="12.5">
      <c r="U5821" s="32"/>
    </row>
    <row r="5822" spans="21:21" ht="12.5">
      <c r="U5822" s="32"/>
    </row>
    <row r="5823" spans="21:21" ht="12.5">
      <c r="U5823" s="32"/>
    </row>
    <row r="5824" spans="21:21" ht="12.5">
      <c r="U5824" s="32"/>
    </row>
    <row r="5825" spans="21:21" ht="12.5">
      <c r="U5825" s="32"/>
    </row>
    <row r="5826" spans="21:21" ht="12.5">
      <c r="U5826" s="32"/>
    </row>
    <row r="5827" spans="21:21" ht="12.5">
      <c r="U5827" s="32"/>
    </row>
    <row r="5828" spans="21:21" ht="12.5">
      <c r="U5828" s="32"/>
    </row>
    <row r="5829" spans="21:21" ht="12.5">
      <c r="U5829" s="32"/>
    </row>
    <row r="5830" spans="21:21" ht="12.5">
      <c r="U5830" s="32"/>
    </row>
    <row r="5831" spans="21:21" ht="12.5">
      <c r="U5831" s="32"/>
    </row>
    <row r="5832" spans="21:21" ht="12.5">
      <c r="U5832" s="32"/>
    </row>
    <row r="5833" spans="21:21" ht="12.5">
      <c r="U5833" s="32"/>
    </row>
    <row r="5834" spans="21:21" ht="12.5">
      <c r="U5834" s="32"/>
    </row>
    <row r="5835" spans="21:21" ht="12.5">
      <c r="U5835" s="32"/>
    </row>
    <row r="5836" spans="21:21" ht="12.5">
      <c r="U5836" s="32"/>
    </row>
    <row r="5837" spans="21:21" ht="12.5">
      <c r="U5837" s="32"/>
    </row>
    <row r="5838" spans="21:21" ht="12.5">
      <c r="U5838" s="32"/>
    </row>
    <row r="5839" spans="21:21" ht="12.5">
      <c r="U5839" s="32"/>
    </row>
    <row r="5840" spans="21:21" ht="12.5">
      <c r="U5840" s="32"/>
    </row>
    <row r="5841" spans="21:21" ht="12.5">
      <c r="U5841" s="32"/>
    </row>
    <row r="5842" spans="21:21" ht="12.5">
      <c r="U5842" s="32"/>
    </row>
    <row r="5843" spans="21:21" ht="12.5">
      <c r="U5843" s="32"/>
    </row>
    <row r="5844" spans="21:21" ht="12.5">
      <c r="U5844" s="32"/>
    </row>
    <row r="5845" spans="21:21" ht="12.5">
      <c r="U5845" s="32"/>
    </row>
    <row r="5846" spans="21:21" ht="12.5">
      <c r="U5846" s="32"/>
    </row>
    <row r="5847" spans="21:21" ht="12.5">
      <c r="U5847" s="32"/>
    </row>
    <row r="5848" spans="21:21" ht="12.5">
      <c r="U5848" s="32"/>
    </row>
    <row r="5849" spans="21:21" ht="12.5">
      <c r="U5849" s="32"/>
    </row>
    <row r="5850" spans="21:21" ht="12.5">
      <c r="U5850" s="32"/>
    </row>
    <row r="5851" spans="21:21" ht="12.5">
      <c r="U5851" s="32"/>
    </row>
    <row r="5852" spans="21:21" ht="12.5">
      <c r="U5852" s="32"/>
    </row>
    <row r="5853" spans="21:21" ht="12.5">
      <c r="U5853" s="32"/>
    </row>
    <row r="5854" spans="21:21" ht="12.5">
      <c r="U5854" s="32"/>
    </row>
    <row r="5855" spans="21:21" ht="12.5">
      <c r="U5855" s="32"/>
    </row>
    <row r="5856" spans="21:21" ht="12.5">
      <c r="U5856" s="32"/>
    </row>
    <row r="5857" spans="21:21" ht="12.5">
      <c r="U5857" s="32"/>
    </row>
    <row r="5858" spans="21:21" ht="12.5">
      <c r="U5858" s="32"/>
    </row>
    <row r="5859" spans="21:21" ht="12.5">
      <c r="U5859" s="32"/>
    </row>
    <row r="5860" spans="21:21" ht="12.5">
      <c r="U5860" s="32"/>
    </row>
    <row r="5861" spans="21:21" ht="12.5">
      <c r="U5861" s="32"/>
    </row>
    <row r="5862" spans="21:21" ht="12.5">
      <c r="U5862" s="32"/>
    </row>
    <row r="5863" spans="21:21" ht="12.5">
      <c r="U5863" s="32"/>
    </row>
    <row r="5864" spans="21:21" ht="12.5">
      <c r="U5864" s="32"/>
    </row>
    <row r="5865" spans="21:21" ht="12.5">
      <c r="U5865" s="32"/>
    </row>
    <row r="5866" spans="21:21" ht="12.5">
      <c r="U5866" s="32"/>
    </row>
    <row r="5867" spans="21:21" ht="12.5">
      <c r="U5867" s="32"/>
    </row>
    <row r="5868" spans="21:21" ht="12.5">
      <c r="U5868" s="32"/>
    </row>
    <row r="5869" spans="21:21" ht="12.5">
      <c r="U5869" s="32"/>
    </row>
    <row r="5870" spans="21:21" ht="12.5">
      <c r="U5870" s="32"/>
    </row>
    <row r="5871" spans="21:21" ht="12.5">
      <c r="U5871" s="32"/>
    </row>
    <row r="5872" spans="21:21" ht="12.5">
      <c r="U5872" s="32"/>
    </row>
    <row r="5873" spans="21:21" ht="12.5">
      <c r="U5873" s="32"/>
    </row>
    <row r="5874" spans="21:21" ht="12.5">
      <c r="U5874" s="32"/>
    </row>
    <row r="5875" spans="21:21" ht="12.5">
      <c r="U5875" s="32"/>
    </row>
    <row r="5876" spans="21:21" ht="12.5">
      <c r="U5876" s="32"/>
    </row>
    <row r="5877" spans="21:21" ht="12.5">
      <c r="U5877" s="32"/>
    </row>
    <row r="5878" spans="21:21" ht="12.5">
      <c r="U5878" s="32"/>
    </row>
    <row r="5879" spans="21:21" ht="12.5">
      <c r="U5879" s="32"/>
    </row>
    <row r="5880" spans="21:21" ht="12.5">
      <c r="U5880" s="32"/>
    </row>
    <row r="5881" spans="21:21" ht="12.5">
      <c r="U5881" s="32"/>
    </row>
    <row r="5882" spans="21:21" ht="12.5">
      <c r="U5882" s="32"/>
    </row>
    <row r="5883" spans="21:21" ht="12.5">
      <c r="U5883" s="32"/>
    </row>
    <row r="5884" spans="21:21" ht="12.5">
      <c r="U5884" s="32"/>
    </row>
    <row r="5885" spans="21:21" ht="12.5">
      <c r="U5885" s="32"/>
    </row>
    <row r="5886" spans="21:21" ht="12.5">
      <c r="U5886" s="32"/>
    </row>
    <row r="5887" spans="21:21" ht="12.5">
      <c r="U5887" s="32"/>
    </row>
    <row r="5888" spans="21:21" ht="12.5">
      <c r="U5888" s="32"/>
    </row>
    <row r="5889" spans="21:21" ht="12.5">
      <c r="U5889" s="32"/>
    </row>
    <row r="5890" spans="21:21" ht="12.5">
      <c r="U5890" s="32"/>
    </row>
    <row r="5891" spans="21:21" ht="12.5">
      <c r="U5891" s="32"/>
    </row>
    <row r="5892" spans="21:21" ht="12.5">
      <c r="U5892" s="32"/>
    </row>
    <row r="5893" spans="21:21" ht="12.5">
      <c r="U5893" s="32"/>
    </row>
    <row r="5894" spans="21:21" ht="12.5">
      <c r="U5894" s="32"/>
    </row>
    <row r="5895" spans="21:21" ht="12.5">
      <c r="U5895" s="32"/>
    </row>
    <row r="5896" spans="21:21" ht="12.5">
      <c r="U5896" s="32"/>
    </row>
    <row r="5897" spans="21:21" ht="12.5">
      <c r="U5897" s="32"/>
    </row>
    <row r="5898" spans="21:21" ht="12.5">
      <c r="U5898" s="32"/>
    </row>
    <row r="5899" spans="21:21" ht="12.5">
      <c r="U5899" s="32"/>
    </row>
    <row r="5900" spans="21:21" ht="12.5">
      <c r="U5900" s="32"/>
    </row>
    <row r="5901" spans="21:21" ht="12.5">
      <c r="U5901" s="32"/>
    </row>
    <row r="5902" spans="21:21" ht="12.5">
      <c r="U5902" s="32"/>
    </row>
    <row r="5903" spans="21:21" ht="12.5">
      <c r="U5903" s="32"/>
    </row>
    <row r="5904" spans="21:21" ht="12.5">
      <c r="U5904" s="32"/>
    </row>
    <row r="5905" spans="21:21" ht="12.5">
      <c r="U5905" s="32"/>
    </row>
    <row r="5906" spans="21:21" ht="12.5">
      <c r="U5906" s="32"/>
    </row>
    <row r="5907" spans="21:21" ht="12.5">
      <c r="U5907" s="32"/>
    </row>
    <row r="5908" spans="21:21" ht="12.5">
      <c r="U5908" s="32"/>
    </row>
    <row r="5909" spans="21:21" ht="12.5">
      <c r="U5909" s="32"/>
    </row>
    <row r="5910" spans="21:21" ht="12.5">
      <c r="U5910" s="32"/>
    </row>
    <row r="5911" spans="21:21" ht="12.5">
      <c r="U5911" s="32"/>
    </row>
    <row r="5912" spans="21:21" ht="12.5">
      <c r="U5912" s="32"/>
    </row>
    <row r="5913" spans="21:21" ht="12.5">
      <c r="U5913" s="32"/>
    </row>
    <row r="5914" spans="21:21" ht="12.5">
      <c r="U5914" s="32"/>
    </row>
    <row r="5915" spans="21:21" ht="12.5">
      <c r="U5915" s="32"/>
    </row>
    <row r="5916" spans="21:21" ht="12.5">
      <c r="U5916" s="32"/>
    </row>
    <row r="5917" spans="21:21" ht="12.5">
      <c r="U5917" s="32"/>
    </row>
    <row r="5918" spans="21:21" ht="12.5">
      <c r="U5918" s="32"/>
    </row>
    <row r="5919" spans="21:21" ht="12.5">
      <c r="U5919" s="32"/>
    </row>
    <row r="5920" spans="21:21" ht="12.5">
      <c r="U5920" s="32"/>
    </row>
    <row r="5921" spans="21:21" ht="12.5">
      <c r="U5921" s="32"/>
    </row>
    <row r="5922" spans="21:21" ht="12.5">
      <c r="U5922" s="32"/>
    </row>
    <row r="5923" spans="21:21" ht="12.5">
      <c r="U5923" s="32"/>
    </row>
    <row r="5924" spans="21:21" ht="12.5">
      <c r="U5924" s="32"/>
    </row>
    <row r="5925" spans="21:21" ht="12.5">
      <c r="U5925" s="32"/>
    </row>
    <row r="5926" spans="21:21" ht="12.5">
      <c r="U5926" s="32"/>
    </row>
    <row r="5927" spans="21:21" ht="12.5">
      <c r="U5927" s="32"/>
    </row>
    <row r="5928" spans="21:21" ht="12.5">
      <c r="U5928" s="32"/>
    </row>
    <row r="5929" spans="21:21" ht="12.5">
      <c r="U5929" s="32"/>
    </row>
    <row r="5930" spans="21:21" ht="12.5">
      <c r="U5930" s="32"/>
    </row>
    <row r="5931" spans="21:21" ht="12.5">
      <c r="U5931" s="32"/>
    </row>
    <row r="5932" spans="21:21" ht="12.5">
      <c r="U5932" s="32"/>
    </row>
    <row r="5933" spans="21:21" ht="12.5">
      <c r="U5933" s="32"/>
    </row>
    <row r="5934" spans="21:21" ht="12.5">
      <c r="U5934" s="32"/>
    </row>
    <row r="5935" spans="21:21" ht="12.5">
      <c r="U5935" s="32"/>
    </row>
    <row r="5936" spans="21:21" ht="12.5">
      <c r="U5936" s="32"/>
    </row>
    <row r="5937" spans="21:21" ht="12.5">
      <c r="U5937" s="32"/>
    </row>
    <row r="5938" spans="21:21" ht="12.5">
      <c r="U5938" s="32"/>
    </row>
    <row r="5939" spans="21:21" ht="12.5">
      <c r="U5939" s="32"/>
    </row>
    <row r="5940" spans="21:21" ht="12.5">
      <c r="U5940" s="32"/>
    </row>
    <row r="5941" spans="21:21" ht="12.5">
      <c r="U5941" s="32"/>
    </row>
    <row r="5942" spans="21:21" ht="12.5">
      <c r="U5942" s="32"/>
    </row>
    <row r="5943" spans="21:21" ht="12.5">
      <c r="U5943" s="32"/>
    </row>
    <row r="5944" spans="21:21" ht="12.5">
      <c r="U5944" s="32"/>
    </row>
    <row r="5945" spans="21:21" ht="12.5">
      <c r="U5945" s="32"/>
    </row>
    <row r="5946" spans="21:21" ht="12.5">
      <c r="U5946" s="32"/>
    </row>
    <row r="5947" spans="21:21" ht="12.5">
      <c r="U5947" s="32"/>
    </row>
    <row r="5948" spans="21:21" ht="12.5">
      <c r="U5948" s="32"/>
    </row>
    <row r="5949" spans="21:21" ht="12.5">
      <c r="U5949" s="32"/>
    </row>
    <row r="5950" spans="21:21" ht="12.5">
      <c r="U5950" s="32"/>
    </row>
    <row r="5951" spans="21:21" ht="12.5">
      <c r="U5951" s="32"/>
    </row>
    <row r="5952" spans="21:21" ht="12.5">
      <c r="U5952" s="32"/>
    </row>
    <row r="5953" spans="21:21" ht="12.5">
      <c r="U5953" s="32"/>
    </row>
    <row r="5954" spans="21:21" ht="12.5">
      <c r="U5954" s="32"/>
    </row>
    <row r="5955" spans="21:21" ht="12.5">
      <c r="U5955" s="32"/>
    </row>
    <row r="5956" spans="21:21" ht="12.5">
      <c r="U5956" s="32"/>
    </row>
    <row r="5957" spans="21:21" ht="12.5">
      <c r="U5957" s="32"/>
    </row>
    <row r="5958" spans="21:21" ht="12.5">
      <c r="U5958" s="32"/>
    </row>
    <row r="5959" spans="21:21" ht="12.5">
      <c r="U5959" s="32"/>
    </row>
    <row r="5960" spans="21:21" ht="12.5">
      <c r="U5960" s="32"/>
    </row>
    <row r="5961" spans="21:21" ht="12.5">
      <c r="U5961" s="32"/>
    </row>
    <row r="5962" spans="21:21" ht="12.5">
      <c r="U5962" s="32"/>
    </row>
    <row r="5963" spans="21:21" ht="12.5">
      <c r="U5963" s="32"/>
    </row>
    <row r="5964" spans="21:21" ht="12.5">
      <c r="U5964" s="32"/>
    </row>
    <row r="5965" spans="21:21" ht="12.5">
      <c r="U5965" s="32"/>
    </row>
    <row r="5966" spans="21:21" ht="12.5">
      <c r="U5966" s="32"/>
    </row>
    <row r="5967" spans="21:21" ht="12.5">
      <c r="U5967" s="32"/>
    </row>
    <row r="5968" spans="21:21" ht="12.5">
      <c r="U5968" s="32"/>
    </row>
    <row r="5969" spans="21:21" ht="12.5">
      <c r="U5969" s="32"/>
    </row>
    <row r="5970" spans="21:21" ht="12.5">
      <c r="U5970" s="32"/>
    </row>
    <row r="5971" spans="21:21" ht="12.5">
      <c r="U5971" s="32"/>
    </row>
    <row r="5972" spans="21:21" ht="12.5">
      <c r="U5972" s="32"/>
    </row>
    <row r="5973" spans="21:21" ht="12.5">
      <c r="U5973" s="32"/>
    </row>
    <row r="5974" spans="21:21" ht="12.5">
      <c r="U5974" s="32"/>
    </row>
    <row r="5975" spans="21:21" ht="12.5">
      <c r="U5975" s="32"/>
    </row>
    <row r="5976" spans="21:21" ht="12.5">
      <c r="U5976" s="32"/>
    </row>
    <row r="5977" spans="21:21" ht="12.5">
      <c r="U5977" s="32"/>
    </row>
    <row r="5978" spans="21:21" ht="12.5">
      <c r="U5978" s="32"/>
    </row>
    <row r="5979" spans="21:21" ht="12.5">
      <c r="U5979" s="32"/>
    </row>
    <row r="5980" spans="21:21" ht="12.5">
      <c r="U5980" s="32"/>
    </row>
    <row r="5981" spans="21:21" ht="12.5">
      <c r="U5981" s="32"/>
    </row>
    <row r="5982" spans="21:21" ht="12.5">
      <c r="U5982" s="32"/>
    </row>
    <row r="5983" spans="21:21" ht="12.5">
      <c r="U5983" s="32"/>
    </row>
    <row r="5984" spans="21:21" ht="12.5">
      <c r="U5984" s="32"/>
    </row>
    <row r="5985" spans="21:21" ht="12.5">
      <c r="U5985" s="32"/>
    </row>
    <row r="5986" spans="21:21" ht="12.5">
      <c r="U5986" s="32"/>
    </row>
    <row r="5987" spans="21:21" ht="12.5">
      <c r="U5987" s="32"/>
    </row>
    <row r="5988" spans="21:21" ht="12.5">
      <c r="U5988" s="32"/>
    </row>
    <row r="5989" spans="21:21" ht="12.5">
      <c r="U5989" s="32"/>
    </row>
    <row r="5990" spans="21:21" ht="12.5">
      <c r="U5990" s="32"/>
    </row>
    <row r="5991" spans="21:21" ht="12.5">
      <c r="U5991" s="32"/>
    </row>
    <row r="5992" spans="21:21" ht="12.5">
      <c r="U5992" s="32"/>
    </row>
    <row r="5993" spans="21:21" ht="12.5">
      <c r="U5993" s="32"/>
    </row>
    <row r="5994" spans="21:21" ht="12.5">
      <c r="U5994" s="32"/>
    </row>
    <row r="5995" spans="21:21" ht="12.5">
      <c r="U5995" s="32"/>
    </row>
    <row r="5996" spans="21:21" ht="12.5">
      <c r="U5996" s="32"/>
    </row>
    <row r="5997" spans="21:21" ht="12.5">
      <c r="U5997" s="32"/>
    </row>
    <row r="5998" spans="21:21" ht="12.5">
      <c r="U5998" s="32"/>
    </row>
    <row r="5999" spans="21:21" ht="12.5">
      <c r="U5999" s="32"/>
    </row>
    <row r="6000" spans="21:21" ht="12.5">
      <c r="U6000" s="32"/>
    </row>
    <row r="6001" spans="21:21" ht="12.5">
      <c r="U6001" s="32"/>
    </row>
    <row r="6002" spans="21:21" ht="12.5">
      <c r="U6002" s="32"/>
    </row>
    <row r="6003" spans="21:21" ht="12.5">
      <c r="U6003" s="32"/>
    </row>
    <row r="6004" spans="21:21" ht="12.5">
      <c r="U6004" s="32"/>
    </row>
    <row r="6005" spans="21:21" ht="12.5">
      <c r="U6005" s="32"/>
    </row>
    <row r="6006" spans="21:21" ht="12.5">
      <c r="U6006" s="32"/>
    </row>
    <row r="6007" spans="21:21" ht="12.5">
      <c r="U6007" s="32"/>
    </row>
    <row r="6008" spans="21:21" ht="12.5">
      <c r="U6008" s="32"/>
    </row>
    <row r="6009" spans="21:21" ht="12.5">
      <c r="U6009" s="32"/>
    </row>
    <row r="6010" spans="21:21" ht="12.5">
      <c r="U6010" s="32"/>
    </row>
    <row r="6011" spans="21:21" ht="12.5">
      <c r="U6011" s="32"/>
    </row>
    <row r="6012" spans="21:21" ht="12.5">
      <c r="U6012" s="32"/>
    </row>
    <row r="6013" spans="21:21" ht="12.5">
      <c r="U6013" s="32"/>
    </row>
    <row r="6014" spans="21:21" ht="12.5">
      <c r="U6014" s="32"/>
    </row>
    <row r="6015" spans="21:21" ht="12.5">
      <c r="U6015" s="32"/>
    </row>
    <row r="6016" spans="21:21" ht="12.5">
      <c r="U6016" s="32"/>
    </row>
    <row r="6017" spans="21:21" ht="12.5">
      <c r="U6017" s="32"/>
    </row>
    <row r="6018" spans="21:21" ht="12.5">
      <c r="U6018" s="32"/>
    </row>
    <row r="6019" spans="21:21" ht="12.5">
      <c r="U6019" s="32"/>
    </row>
    <row r="6020" spans="21:21" ht="12.5">
      <c r="U6020" s="32"/>
    </row>
    <row r="6021" spans="21:21" ht="12.5">
      <c r="U6021" s="32"/>
    </row>
    <row r="6022" spans="21:21" ht="12.5">
      <c r="U6022" s="32"/>
    </row>
    <row r="6023" spans="21:21" ht="12.5">
      <c r="U6023" s="32"/>
    </row>
    <row r="6024" spans="21:21" ht="12.5">
      <c r="U6024" s="32"/>
    </row>
    <row r="6025" spans="21:21" ht="12.5">
      <c r="U6025" s="32"/>
    </row>
    <row r="6026" spans="21:21" ht="12.5">
      <c r="U6026" s="32"/>
    </row>
    <row r="6027" spans="21:21" ht="12.5">
      <c r="U6027" s="32"/>
    </row>
    <row r="6028" spans="21:21" ht="12.5">
      <c r="U6028" s="32"/>
    </row>
    <row r="6029" spans="21:21" ht="12.5">
      <c r="U6029" s="32"/>
    </row>
    <row r="6030" spans="21:21" ht="12.5">
      <c r="U6030" s="32"/>
    </row>
    <row r="6031" spans="21:21" ht="12.5">
      <c r="U6031" s="32"/>
    </row>
    <row r="6032" spans="21:21" ht="12.5">
      <c r="U6032" s="32"/>
    </row>
    <row r="6033" spans="21:21" ht="12.5">
      <c r="U6033" s="32"/>
    </row>
    <row r="6034" spans="21:21" ht="12.5">
      <c r="U6034" s="32"/>
    </row>
    <row r="6035" spans="21:21" ht="12.5">
      <c r="U6035" s="32"/>
    </row>
    <row r="6036" spans="21:21" ht="12.5">
      <c r="U6036" s="32"/>
    </row>
    <row r="6037" spans="21:21" ht="12.5">
      <c r="U6037" s="32"/>
    </row>
    <row r="6038" spans="21:21" ht="12.5">
      <c r="U6038" s="32"/>
    </row>
    <row r="6039" spans="21:21" ht="12.5">
      <c r="U6039" s="32"/>
    </row>
    <row r="6040" spans="21:21" ht="12.5">
      <c r="U6040" s="32"/>
    </row>
    <row r="6041" spans="21:21" ht="12.5">
      <c r="U6041" s="32"/>
    </row>
    <row r="6042" spans="21:21" ht="12.5">
      <c r="U6042" s="32"/>
    </row>
    <row r="6043" spans="21:21" ht="12.5">
      <c r="U6043" s="32"/>
    </row>
    <row r="6044" spans="21:21" ht="12.5">
      <c r="U6044" s="32"/>
    </row>
    <row r="6045" spans="21:21" ht="12.5">
      <c r="U6045" s="32"/>
    </row>
    <row r="6046" spans="21:21" ht="12.5">
      <c r="U6046" s="32"/>
    </row>
    <row r="6047" spans="21:21" ht="12.5">
      <c r="U6047" s="32"/>
    </row>
    <row r="6048" spans="21:21" ht="12.5">
      <c r="U6048" s="32"/>
    </row>
    <row r="6049" spans="21:21" ht="12.5">
      <c r="U6049" s="32"/>
    </row>
    <row r="6050" spans="21:21" ht="12.5">
      <c r="U6050" s="32"/>
    </row>
    <row r="6051" spans="21:21" ht="12.5">
      <c r="U6051" s="32"/>
    </row>
    <row r="6052" spans="21:21" ht="12.5">
      <c r="U6052" s="32"/>
    </row>
    <row r="6053" spans="21:21" ht="12.5">
      <c r="U6053" s="32"/>
    </row>
    <row r="6054" spans="21:21" ht="12.5">
      <c r="U6054" s="32"/>
    </row>
    <row r="6055" spans="21:21" ht="12.5">
      <c r="U6055" s="32"/>
    </row>
    <row r="6056" spans="21:21" ht="12.5">
      <c r="U6056" s="32"/>
    </row>
    <row r="6057" spans="21:21" ht="12.5">
      <c r="U6057" s="32"/>
    </row>
    <row r="6058" spans="21:21" ht="12.5">
      <c r="U6058" s="32"/>
    </row>
    <row r="6059" spans="21:21" ht="12.5">
      <c r="U6059" s="32"/>
    </row>
    <row r="6060" spans="21:21" ht="12.5">
      <c r="U6060" s="32"/>
    </row>
    <row r="6061" spans="21:21" ht="12.5">
      <c r="U6061" s="32"/>
    </row>
    <row r="6062" spans="21:21" ht="12.5">
      <c r="U6062" s="32"/>
    </row>
    <row r="6063" spans="21:21" ht="12.5">
      <c r="U6063" s="32"/>
    </row>
    <row r="6064" spans="21:21" ht="12.5">
      <c r="U6064" s="32"/>
    </row>
    <row r="6065" spans="21:21" ht="12.5">
      <c r="U6065" s="32"/>
    </row>
    <row r="6066" spans="21:21" ht="12.5">
      <c r="U6066" s="32"/>
    </row>
    <row r="6067" spans="21:21" ht="12.5">
      <c r="U6067" s="32"/>
    </row>
    <row r="6068" spans="21:21" ht="12.5">
      <c r="U6068" s="32"/>
    </row>
    <row r="6069" spans="21:21" ht="12.5">
      <c r="U6069" s="32"/>
    </row>
    <row r="6070" spans="21:21" ht="12.5">
      <c r="U6070" s="32"/>
    </row>
    <row r="6071" spans="21:21" ht="12.5">
      <c r="U6071" s="32"/>
    </row>
    <row r="6072" spans="21:21" ht="12.5">
      <c r="U6072" s="32"/>
    </row>
    <row r="6073" spans="21:21" ht="12.5">
      <c r="U6073" s="32"/>
    </row>
    <row r="6074" spans="21:21" ht="12.5">
      <c r="U6074" s="32"/>
    </row>
    <row r="6075" spans="21:21" ht="12.5">
      <c r="U6075" s="32"/>
    </row>
    <row r="6076" spans="21:21" ht="12.5">
      <c r="U6076" s="32"/>
    </row>
    <row r="6077" spans="21:21" ht="12.5">
      <c r="U6077" s="32"/>
    </row>
    <row r="6078" spans="21:21" ht="12.5">
      <c r="U6078" s="32"/>
    </row>
    <row r="6079" spans="21:21" ht="12.5">
      <c r="U6079" s="32"/>
    </row>
    <row r="6080" spans="21:21" ht="12.5">
      <c r="U6080" s="32"/>
    </row>
    <row r="6081" spans="21:21" ht="12.5">
      <c r="U6081" s="32"/>
    </row>
    <row r="6082" spans="21:21" ht="12.5">
      <c r="U6082" s="32"/>
    </row>
    <row r="6083" spans="21:21" ht="12.5">
      <c r="U6083" s="32"/>
    </row>
    <row r="6084" spans="21:21" ht="12.5">
      <c r="U6084" s="32"/>
    </row>
    <row r="6085" spans="21:21" ht="12.5">
      <c r="U6085" s="32"/>
    </row>
    <row r="6086" spans="21:21" ht="12.5">
      <c r="U6086" s="32"/>
    </row>
    <row r="6087" spans="21:21" ht="12.5">
      <c r="U6087" s="32"/>
    </row>
    <row r="6088" spans="21:21" ht="12.5">
      <c r="U6088" s="32"/>
    </row>
    <row r="6089" spans="21:21" ht="12.5">
      <c r="U6089" s="32"/>
    </row>
    <row r="6090" spans="21:21" ht="12.5">
      <c r="U6090" s="32"/>
    </row>
    <row r="6091" spans="21:21" ht="12.5">
      <c r="U6091" s="32"/>
    </row>
    <row r="6092" spans="21:21" ht="12.5">
      <c r="U6092" s="32"/>
    </row>
    <row r="6093" spans="21:21" ht="12.5">
      <c r="U6093" s="32"/>
    </row>
    <row r="6094" spans="21:21" ht="12.5">
      <c r="U6094" s="32"/>
    </row>
    <row r="6095" spans="21:21" ht="12.5">
      <c r="U6095" s="32"/>
    </row>
    <row r="6096" spans="21:21" ht="12.5">
      <c r="U6096" s="32"/>
    </row>
    <row r="6097" spans="21:21" ht="12.5">
      <c r="U6097" s="32"/>
    </row>
    <row r="6098" spans="21:21" ht="12.5">
      <c r="U6098" s="32"/>
    </row>
    <row r="6099" spans="21:21" ht="12.5">
      <c r="U6099" s="32"/>
    </row>
    <row r="6100" spans="21:21" ht="12.5">
      <c r="U6100" s="32"/>
    </row>
    <row r="6101" spans="21:21" ht="12.5">
      <c r="U6101" s="32"/>
    </row>
    <row r="6102" spans="21:21" ht="12.5">
      <c r="U6102" s="32"/>
    </row>
    <row r="6103" spans="21:21" ht="12.5">
      <c r="U6103" s="32"/>
    </row>
    <row r="6104" spans="21:21" ht="12.5">
      <c r="U6104" s="32"/>
    </row>
    <row r="6105" spans="21:21" ht="12.5">
      <c r="U6105" s="32"/>
    </row>
    <row r="6106" spans="21:21" ht="12.5">
      <c r="U6106" s="32"/>
    </row>
    <row r="6107" spans="21:21" ht="12.5">
      <c r="U6107" s="32"/>
    </row>
    <row r="6108" spans="21:21" ht="12.5">
      <c r="U6108" s="32"/>
    </row>
    <row r="6109" spans="21:21" ht="12.5">
      <c r="U6109" s="32"/>
    </row>
    <row r="6110" spans="21:21" ht="12.5">
      <c r="U6110" s="32"/>
    </row>
    <row r="6111" spans="21:21" ht="12.5">
      <c r="U6111" s="32"/>
    </row>
    <row r="6112" spans="21:21" ht="12.5">
      <c r="U6112" s="32"/>
    </row>
    <row r="6113" spans="21:21" ht="12.5">
      <c r="U6113" s="32"/>
    </row>
    <row r="6114" spans="21:21" ht="12.5">
      <c r="U6114" s="32"/>
    </row>
    <row r="6115" spans="21:21" ht="12.5">
      <c r="U6115" s="32"/>
    </row>
    <row r="6116" spans="21:21" ht="12.5">
      <c r="U6116" s="32"/>
    </row>
    <row r="6117" spans="21:21" ht="12.5">
      <c r="U6117" s="32"/>
    </row>
    <row r="6118" spans="21:21" ht="12.5">
      <c r="U6118" s="32"/>
    </row>
    <row r="6119" spans="21:21" ht="12.5">
      <c r="U6119" s="32"/>
    </row>
    <row r="6120" spans="21:21" ht="12.5">
      <c r="U6120" s="32"/>
    </row>
    <row r="6121" spans="21:21" ht="12.5">
      <c r="U6121" s="32"/>
    </row>
    <row r="6122" spans="21:21" ht="12.5">
      <c r="U6122" s="32"/>
    </row>
    <row r="6123" spans="21:21" ht="12.5">
      <c r="U6123" s="32"/>
    </row>
    <row r="6124" spans="21:21" ht="12.5">
      <c r="U6124" s="32"/>
    </row>
    <row r="6125" spans="21:21" ht="12.5">
      <c r="U6125" s="32"/>
    </row>
    <row r="6126" spans="21:21" ht="12.5">
      <c r="U6126" s="32"/>
    </row>
    <row r="6127" spans="21:21" ht="12.5">
      <c r="U6127" s="32"/>
    </row>
    <row r="6128" spans="21:21" ht="12.5">
      <c r="U6128" s="32"/>
    </row>
    <row r="6129" spans="21:21" ht="12.5">
      <c r="U6129" s="32"/>
    </row>
    <row r="6130" spans="21:21" ht="12.5">
      <c r="U6130" s="32"/>
    </row>
    <row r="6131" spans="21:21" ht="12.5">
      <c r="U6131" s="32"/>
    </row>
    <row r="6132" spans="21:21" ht="12.5">
      <c r="U6132" s="32"/>
    </row>
    <row r="6133" spans="21:21" ht="12.5">
      <c r="U6133" s="32"/>
    </row>
    <row r="6134" spans="21:21" ht="12.5">
      <c r="U6134" s="32"/>
    </row>
    <row r="6135" spans="21:21" ht="12.5">
      <c r="U6135" s="32"/>
    </row>
    <row r="6136" spans="21:21" ht="12.5">
      <c r="U6136" s="32"/>
    </row>
    <row r="6137" spans="21:21" ht="12.5">
      <c r="U6137" s="32"/>
    </row>
    <row r="6138" spans="21:21" ht="12.5">
      <c r="U6138" s="32"/>
    </row>
    <row r="6139" spans="21:21" ht="12.5">
      <c r="U6139" s="32"/>
    </row>
    <row r="6140" spans="21:21" ht="12.5">
      <c r="U6140" s="32"/>
    </row>
    <row r="6141" spans="21:21" ht="12.5">
      <c r="U6141" s="32"/>
    </row>
    <row r="6142" spans="21:21" ht="12.5">
      <c r="U6142" s="32"/>
    </row>
    <row r="6143" spans="21:21" ht="12.5">
      <c r="U6143" s="32"/>
    </row>
    <row r="6144" spans="21:21" ht="12.5">
      <c r="U6144" s="32"/>
    </row>
    <row r="6145" spans="21:21" ht="12.5">
      <c r="U6145" s="32"/>
    </row>
    <row r="6146" spans="21:21" ht="12.5">
      <c r="U6146" s="32"/>
    </row>
    <row r="6147" spans="21:21" ht="12.5">
      <c r="U6147" s="32"/>
    </row>
    <row r="6148" spans="21:21" ht="12.5">
      <c r="U6148" s="32"/>
    </row>
    <row r="6149" spans="21:21" ht="12.5">
      <c r="U6149" s="32"/>
    </row>
    <row r="6150" spans="21:21" ht="12.5">
      <c r="U6150" s="32"/>
    </row>
    <row r="6151" spans="21:21" ht="12.5">
      <c r="U6151" s="32"/>
    </row>
    <row r="6152" spans="21:21" ht="12.5">
      <c r="U6152" s="32"/>
    </row>
    <row r="6153" spans="21:21" ht="12.5">
      <c r="U6153" s="32"/>
    </row>
    <row r="6154" spans="21:21" ht="12.5">
      <c r="U6154" s="32"/>
    </row>
    <row r="6155" spans="21:21" ht="12.5">
      <c r="U6155" s="32"/>
    </row>
    <row r="6156" spans="21:21" ht="12.5">
      <c r="U6156" s="32"/>
    </row>
    <row r="6157" spans="21:21" ht="12.5">
      <c r="U6157" s="32"/>
    </row>
    <row r="6158" spans="21:21" ht="12.5">
      <c r="U6158" s="32"/>
    </row>
    <row r="6159" spans="21:21" ht="12.5">
      <c r="U6159" s="32"/>
    </row>
    <row r="6160" spans="21:21" ht="12.5">
      <c r="U6160" s="32"/>
    </row>
    <row r="6161" spans="21:21" ht="12.5">
      <c r="U6161" s="32"/>
    </row>
    <row r="6162" spans="21:21" ht="12.5">
      <c r="U6162" s="32"/>
    </row>
    <row r="6163" spans="21:21" ht="12.5">
      <c r="U6163" s="32"/>
    </row>
    <row r="6164" spans="21:21" ht="12.5">
      <c r="U6164" s="32"/>
    </row>
    <row r="6165" spans="21:21" ht="12.5">
      <c r="U6165" s="32"/>
    </row>
    <row r="6166" spans="21:21" ht="12.5">
      <c r="U6166" s="32"/>
    </row>
    <row r="6167" spans="21:21" ht="12.5">
      <c r="U6167" s="32"/>
    </row>
    <row r="6168" spans="21:21" ht="12.5">
      <c r="U6168" s="32"/>
    </row>
    <row r="6169" spans="21:21" ht="12.5">
      <c r="U6169" s="32"/>
    </row>
    <row r="6170" spans="21:21" ht="12.5">
      <c r="U6170" s="32"/>
    </row>
    <row r="6171" spans="21:21" ht="12.5">
      <c r="U6171" s="32"/>
    </row>
    <row r="6172" spans="21:21" ht="12.5">
      <c r="U6172" s="32"/>
    </row>
    <row r="6173" spans="21:21" ht="12.5">
      <c r="U6173" s="32"/>
    </row>
    <row r="6174" spans="21:21" ht="12.5">
      <c r="U6174" s="32"/>
    </row>
    <row r="6175" spans="21:21" ht="12.5">
      <c r="U6175" s="32"/>
    </row>
    <row r="6176" spans="21:21" ht="12.5">
      <c r="U6176" s="32"/>
    </row>
    <row r="6177" spans="21:21" ht="12.5">
      <c r="U6177" s="32"/>
    </row>
    <row r="6178" spans="21:21" ht="12.5">
      <c r="U6178" s="32"/>
    </row>
    <row r="6179" spans="21:21" ht="12.5">
      <c r="U6179" s="32"/>
    </row>
    <row r="6180" spans="21:21" ht="12.5">
      <c r="U6180" s="32"/>
    </row>
    <row r="6181" spans="21:21" ht="12.5">
      <c r="U6181" s="32"/>
    </row>
    <row r="6182" spans="21:21" ht="12.5">
      <c r="U6182" s="32"/>
    </row>
    <row r="6183" spans="21:21" ht="12.5">
      <c r="U6183" s="32"/>
    </row>
    <row r="6184" spans="21:21" ht="12.5">
      <c r="U6184" s="32"/>
    </row>
    <row r="6185" spans="21:21" ht="12.5">
      <c r="U6185" s="32"/>
    </row>
    <row r="6186" spans="21:21" ht="12.5">
      <c r="U6186" s="32"/>
    </row>
    <row r="6187" spans="21:21" ht="12.5">
      <c r="U6187" s="32"/>
    </row>
    <row r="6188" spans="21:21" ht="12.5">
      <c r="U6188" s="32"/>
    </row>
    <row r="6189" spans="21:21" ht="12.5">
      <c r="U6189" s="32"/>
    </row>
    <row r="6190" spans="21:21" ht="12.5">
      <c r="U6190" s="32"/>
    </row>
    <row r="6191" spans="21:21" ht="12.5">
      <c r="U6191" s="32"/>
    </row>
    <row r="6192" spans="21:21" ht="12.5">
      <c r="U6192" s="32"/>
    </row>
    <row r="6193" spans="21:21" ht="12.5">
      <c r="U6193" s="32"/>
    </row>
    <row r="6194" spans="21:21" ht="12.5">
      <c r="U6194" s="32"/>
    </row>
    <row r="6195" spans="21:21" ht="12.5">
      <c r="U6195" s="32"/>
    </row>
    <row r="6196" spans="21:21" ht="12.5">
      <c r="U6196" s="32"/>
    </row>
    <row r="6197" spans="21:21" ht="12.5">
      <c r="U6197" s="32"/>
    </row>
    <row r="6198" spans="21:21" ht="12.5">
      <c r="U6198" s="32"/>
    </row>
    <row r="6199" spans="21:21" ht="12.5">
      <c r="U6199" s="32"/>
    </row>
    <row r="6200" spans="21:21" ht="12.5">
      <c r="U6200" s="32"/>
    </row>
    <row r="6201" spans="21:21" ht="12.5">
      <c r="U6201" s="32"/>
    </row>
    <row r="6202" spans="21:21" ht="12.5">
      <c r="U6202" s="32"/>
    </row>
    <row r="6203" spans="21:21" ht="12.5">
      <c r="U6203" s="32"/>
    </row>
    <row r="6204" spans="21:21" ht="12.5">
      <c r="U6204" s="32"/>
    </row>
    <row r="6205" spans="21:21" ht="12.5">
      <c r="U6205" s="32"/>
    </row>
    <row r="6206" spans="21:21" ht="12.5">
      <c r="U6206" s="32"/>
    </row>
    <row r="6207" spans="21:21" ht="12.5">
      <c r="U6207" s="32"/>
    </row>
    <row r="6208" spans="21:21" ht="12.5">
      <c r="U6208" s="32"/>
    </row>
    <row r="6209" spans="21:21" ht="12.5">
      <c r="U6209" s="32"/>
    </row>
    <row r="6210" spans="21:21" ht="12.5">
      <c r="U6210" s="32"/>
    </row>
    <row r="6211" spans="21:21" ht="12.5">
      <c r="U6211" s="32"/>
    </row>
    <row r="6212" spans="21:21" ht="12.5">
      <c r="U6212" s="32"/>
    </row>
    <row r="6213" spans="21:21" ht="12.5">
      <c r="U6213" s="32"/>
    </row>
    <row r="6214" spans="21:21" ht="12.5">
      <c r="U6214" s="32"/>
    </row>
    <row r="6215" spans="21:21" ht="12.5">
      <c r="U6215" s="32"/>
    </row>
    <row r="6216" spans="21:21" ht="12.5">
      <c r="U6216" s="32"/>
    </row>
    <row r="6217" spans="21:21" ht="12.5">
      <c r="U6217" s="32"/>
    </row>
    <row r="6218" spans="21:21" ht="12.5">
      <c r="U6218" s="32"/>
    </row>
    <row r="6219" spans="21:21" ht="12.5">
      <c r="U6219" s="32"/>
    </row>
    <row r="6220" spans="21:21" ht="12.5">
      <c r="U6220" s="32"/>
    </row>
    <row r="6221" spans="21:21" ht="12.5">
      <c r="U6221" s="32"/>
    </row>
    <row r="6222" spans="21:21" ht="12.5">
      <c r="U6222" s="32"/>
    </row>
    <row r="6223" spans="21:21" ht="12.5">
      <c r="U6223" s="32"/>
    </row>
    <row r="6224" spans="21:21" ht="12.5">
      <c r="U6224" s="32"/>
    </row>
    <row r="6225" spans="21:21" ht="12.5">
      <c r="U6225" s="32"/>
    </row>
    <row r="6226" spans="21:21" ht="12.5">
      <c r="U6226" s="32"/>
    </row>
    <row r="6227" spans="21:21" ht="12.5">
      <c r="U6227" s="32"/>
    </row>
    <row r="6228" spans="21:21" ht="12.5">
      <c r="U6228" s="32"/>
    </row>
    <row r="6229" spans="21:21" ht="12.5">
      <c r="U6229" s="32"/>
    </row>
    <row r="6230" spans="21:21" ht="12.5">
      <c r="U6230" s="32"/>
    </row>
    <row r="6231" spans="21:21" ht="12.5">
      <c r="U6231" s="32"/>
    </row>
    <row r="6232" spans="21:21" ht="12.5">
      <c r="U6232" s="32"/>
    </row>
    <row r="6233" spans="21:21" ht="12.5">
      <c r="U6233" s="32"/>
    </row>
    <row r="6234" spans="21:21" ht="12.5">
      <c r="U6234" s="32"/>
    </row>
    <row r="6235" spans="21:21" ht="12.5">
      <c r="U6235" s="32"/>
    </row>
    <row r="6236" spans="21:21" ht="12.5">
      <c r="U6236" s="32"/>
    </row>
    <row r="6237" spans="21:21" ht="12.5">
      <c r="U6237" s="32"/>
    </row>
    <row r="6238" spans="21:21" ht="12.5">
      <c r="U6238" s="32"/>
    </row>
    <row r="6239" spans="21:21" ht="12.5">
      <c r="U6239" s="32"/>
    </row>
    <row r="6240" spans="21:21" ht="12.5">
      <c r="U6240" s="32"/>
    </row>
    <row r="6241" spans="21:21" ht="12.5">
      <c r="U6241" s="32"/>
    </row>
    <row r="6242" spans="21:21" ht="12.5">
      <c r="U6242" s="32"/>
    </row>
    <row r="6243" spans="21:21" ht="12.5">
      <c r="U6243" s="32"/>
    </row>
    <row r="6244" spans="21:21" ht="12.5">
      <c r="U6244" s="32"/>
    </row>
    <row r="6245" spans="21:21" ht="12.5">
      <c r="U6245" s="32"/>
    </row>
    <row r="6246" spans="21:21" ht="12.5">
      <c r="U6246" s="32"/>
    </row>
    <row r="6247" spans="21:21" ht="12.5">
      <c r="U6247" s="32"/>
    </row>
    <row r="6248" spans="21:21" ht="12.5">
      <c r="U6248" s="32"/>
    </row>
    <row r="6249" spans="21:21" ht="12.5">
      <c r="U6249" s="32"/>
    </row>
    <row r="6250" spans="21:21" ht="12.5">
      <c r="U6250" s="32"/>
    </row>
    <row r="6251" spans="21:21" ht="12.5">
      <c r="U6251" s="32"/>
    </row>
    <row r="6252" spans="21:21" ht="12.5">
      <c r="U6252" s="32"/>
    </row>
    <row r="6253" spans="21:21" ht="12.5">
      <c r="U6253" s="32"/>
    </row>
    <row r="6254" spans="21:21" ht="12.5">
      <c r="U6254" s="32"/>
    </row>
    <row r="6255" spans="21:21" ht="12.5">
      <c r="U6255" s="32"/>
    </row>
    <row r="6256" spans="21:21" ht="12.5">
      <c r="U6256" s="32"/>
    </row>
    <row r="6257" spans="21:21" ht="12.5">
      <c r="U6257" s="32"/>
    </row>
    <row r="6258" spans="21:21" ht="12.5">
      <c r="U6258" s="32"/>
    </row>
    <row r="6259" spans="21:21" ht="12.5">
      <c r="U6259" s="32"/>
    </row>
    <row r="6260" spans="21:21" ht="12.5">
      <c r="U6260" s="32"/>
    </row>
    <row r="6261" spans="21:21" ht="12.5">
      <c r="U6261" s="32"/>
    </row>
    <row r="6262" spans="21:21" ht="12.5">
      <c r="U6262" s="32"/>
    </row>
    <row r="6263" spans="21:21" ht="12.5">
      <c r="U6263" s="32"/>
    </row>
    <row r="6264" spans="21:21" ht="12.5">
      <c r="U6264" s="32"/>
    </row>
    <row r="6265" spans="21:21" ht="12.5">
      <c r="U6265" s="32"/>
    </row>
    <row r="6266" spans="21:21" ht="12.5">
      <c r="U6266" s="32"/>
    </row>
    <row r="6267" spans="21:21" ht="12.5">
      <c r="U6267" s="32"/>
    </row>
    <row r="6268" spans="21:21" ht="12.5">
      <c r="U6268" s="32"/>
    </row>
    <row r="6269" spans="21:21" ht="12.5">
      <c r="U6269" s="32"/>
    </row>
    <row r="6270" spans="21:21" ht="12.5">
      <c r="U6270" s="32"/>
    </row>
    <row r="6271" spans="21:21" ht="12.5">
      <c r="U6271" s="32"/>
    </row>
    <row r="6272" spans="21:21" ht="12.5">
      <c r="U6272" s="32"/>
    </row>
    <row r="6273" spans="21:21" ht="12.5">
      <c r="U6273" s="32"/>
    </row>
    <row r="6274" spans="21:21" ht="12.5">
      <c r="U6274" s="32"/>
    </row>
    <row r="6275" spans="21:21" ht="12.5">
      <c r="U6275" s="32"/>
    </row>
    <row r="6276" spans="21:21" ht="12.5">
      <c r="U6276" s="32"/>
    </row>
    <row r="6277" spans="21:21" ht="12.5">
      <c r="U6277" s="32"/>
    </row>
    <row r="6278" spans="21:21" ht="12.5">
      <c r="U6278" s="32"/>
    </row>
    <row r="6279" spans="21:21" ht="12.5">
      <c r="U6279" s="32"/>
    </row>
    <row r="6280" spans="21:21" ht="12.5">
      <c r="U6280" s="32"/>
    </row>
    <row r="6281" spans="21:21" ht="12.5">
      <c r="U6281" s="32"/>
    </row>
    <row r="6282" spans="21:21" ht="12.5">
      <c r="U6282" s="32"/>
    </row>
    <row r="6283" spans="21:21" ht="12.5">
      <c r="U6283" s="32"/>
    </row>
    <row r="6284" spans="21:21" ht="12.5">
      <c r="U6284" s="32"/>
    </row>
    <row r="6285" spans="21:21" ht="12.5">
      <c r="U6285" s="32"/>
    </row>
    <row r="6286" spans="21:21" ht="12.5">
      <c r="U6286" s="32"/>
    </row>
    <row r="6287" spans="21:21" ht="12.5">
      <c r="U6287" s="32"/>
    </row>
    <row r="6288" spans="21:21" ht="12.5">
      <c r="U6288" s="32"/>
    </row>
    <row r="6289" spans="21:21" ht="12.5">
      <c r="U6289" s="32"/>
    </row>
    <row r="6290" spans="21:21" ht="12.5">
      <c r="U6290" s="32"/>
    </row>
    <row r="6291" spans="21:21" ht="12.5">
      <c r="U6291" s="32"/>
    </row>
    <row r="6292" spans="21:21" ht="12.5">
      <c r="U6292" s="32"/>
    </row>
    <row r="6293" spans="21:21" ht="12.5">
      <c r="U6293" s="32"/>
    </row>
    <row r="6294" spans="21:21" ht="12.5">
      <c r="U6294" s="32"/>
    </row>
    <row r="6295" spans="21:21" ht="12.5">
      <c r="U6295" s="32"/>
    </row>
    <row r="6296" spans="21:21" ht="12.5">
      <c r="U6296" s="32"/>
    </row>
    <row r="6297" spans="21:21" ht="12.5">
      <c r="U6297" s="32"/>
    </row>
    <row r="6298" spans="21:21" ht="12.5">
      <c r="U6298" s="32"/>
    </row>
    <row r="6299" spans="21:21" ht="12.5">
      <c r="U6299" s="32"/>
    </row>
    <row r="6300" spans="21:21" ht="12.5">
      <c r="U6300" s="32"/>
    </row>
    <row r="6301" spans="21:21" ht="12.5">
      <c r="U6301" s="32"/>
    </row>
    <row r="6302" spans="21:21" ht="12.5">
      <c r="U6302" s="32"/>
    </row>
    <row r="6303" spans="21:21" ht="12.5">
      <c r="U6303" s="32"/>
    </row>
    <row r="6304" spans="21:21" ht="12.5">
      <c r="U6304" s="32"/>
    </row>
    <row r="6305" spans="21:21" ht="12.5">
      <c r="U6305" s="32"/>
    </row>
    <row r="6306" spans="21:21" ht="12.5">
      <c r="U6306" s="32"/>
    </row>
    <row r="6307" spans="21:21" ht="12.5">
      <c r="U6307" s="32"/>
    </row>
    <row r="6308" spans="21:21" ht="12.5">
      <c r="U6308" s="32"/>
    </row>
    <row r="6309" spans="21:21" ht="12.5">
      <c r="U6309" s="32"/>
    </row>
    <row r="6310" spans="21:21" ht="12.5">
      <c r="U6310" s="32"/>
    </row>
    <row r="6311" spans="21:21" ht="12.5">
      <c r="U6311" s="32"/>
    </row>
    <row r="6312" spans="21:21" ht="12.5">
      <c r="U6312" s="32"/>
    </row>
    <row r="6313" spans="21:21" ht="12.5">
      <c r="U6313" s="32"/>
    </row>
    <row r="6314" spans="21:21" ht="12.5">
      <c r="U6314" s="32"/>
    </row>
    <row r="6315" spans="21:21" ht="12.5">
      <c r="U6315" s="32"/>
    </row>
    <row r="6316" spans="21:21" ht="12.5">
      <c r="U6316" s="32"/>
    </row>
    <row r="6317" spans="21:21" ht="12.5">
      <c r="U6317" s="32"/>
    </row>
    <row r="6318" spans="21:21" ht="12.5">
      <c r="U6318" s="32"/>
    </row>
    <row r="6319" spans="21:21" ht="12.5">
      <c r="U6319" s="32"/>
    </row>
    <row r="6320" spans="21:21" ht="12.5">
      <c r="U6320" s="32"/>
    </row>
    <row r="6321" spans="21:21" ht="12.5">
      <c r="U6321" s="32"/>
    </row>
    <row r="6322" spans="21:21" ht="12.5">
      <c r="U6322" s="32"/>
    </row>
    <row r="6323" spans="21:21" ht="12.5">
      <c r="U6323" s="32"/>
    </row>
    <row r="6324" spans="21:21" ht="12.5">
      <c r="U6324" s="32"/>
    </row>
    <row r="6325" spans="21:21" ht="12.5">
      <c r="U6325" s="32"/>
    </row>
    <row r="6326" spans="21:21" ht="12.5">
      <c r="U6326" s="32"/>
    </row>
    <row r="6327" spans="21:21" ht="12.5">
      <c r="U6327" s="32"/>
    </row>
    <row r="6328" spans="21:21" ht="12.5">
      <c r="U6328" s="32"/>
    </row>
    <row r="6329" spans="21:21" ht="12.5">
      <c r="U6329" s="32"/>
    </row>
    <row r="6330" spans="21:21" ht="12.5">
      <c r="U6330" s="32"/>
    </row>
    <row r="6331" spans="21:21" ht="12.5">
      <c r="U6331" s="32"/>
    </row>
    <row r="6332" spans="21:21" ht="12.5">
      <c r="U6332" s="32"/>
    </row>
    <row r="6333" spans="21:21" ht="12.5">
      <c r="U6333" s="32"/>
    </row>
    <row r="6334" spans="21:21" ht="12.5">
      <c r="U6334" s="32"/>
    </row>
    <row r="6335" spans="21:21" ht="12.5">
      <c r="U6335" s="32"/>
    </row>
    <row r="6336" spans="21:21" ht="12.5">
      <c r="U6336" s="32"/>
    </row>
    <row r="6337" spans="21:21" ht="12.5">
      <c r="U6337" s="32"/>
    </row>
    <row r="6338" spans="21:21" ht="12.5">
      <c r="U6338" s="32"/>
    </row>
    <row r="6339" spans="21:21" ht="12.5">
      <c r="U6339" s="32"/>
    </row>
    <row r="6340" spans="21:21" ht="12.5">
      <c r="U6340" s="32"/>
    </row>
    <row r="6341" spans="21:21" ht="12.5">
      <c r="U6341" s="32"/>
    </row>
    <row r="6342" spans="21:21" ht="12.5">
      <c r="U6342" s="32"/>
    </row>
    <row r="6343" spans="21:21" ht="12.5">
      <c r="U6343" s="32"/>
    </row>
    <row r="6344" spans="21:21" ht="12.5">
      <c r="U6344" s="32"/>
    </row>
    <row r="6345" spans="21:21" ht="12.5">
      <c r="U6345" s="32"/>
    </row>
    <row r="6346" spans="21:21" ht="12.5">
      <c r="U6346" s="32"/>
    </row>
    <row r="6347" spans="21:21" ht="12.5">
      <c r="U6347" s="32"/>
    </row>
    <row r="6348" spans="21:21" ht="12.5">
      <c r="U6348" s="32"/>
    </row>
    <row r="6349" spans="21:21" ht="12.5">
      <c r="U6349" s="32"/>
    </row>
    <row r="6350" spans="21:21" ht="12.5">
      <c r="U6350" s="32"/>
    </row>
    <row r="6351" spans="21:21" ht="12.5">
      <c r="U6351" s="32"/>
    </row>
    <row r="6352" spans="21:21" ht="12.5">
      <c r="U6352" s="32"/>
    </row>
    <row r="6353" spans="21:21" ht="12.5">
      <c r="U6353" s="32"/>
    </row>
    <row r="6354" spans="21:21" ht="12.5">
      <c r="U6354" s="32"/>
    </row>
    <row r="6355" spans="21:21" ht="12.5">
      <c r="U6355" s="32"/>
    </row>
    <row r="6356" spans="21:21" ht="12.5">
      <c r="U6356" s="32"/>
    </row>
    <row r="6357" spans="21:21" ht="12.5">
      <c r="U6357" s="32"/>
    </row>
    <row r="6358" spans="21:21" ht="12.5">
      <c r="U6358" s="32"/>
    </row>
    <row r="6359" spans="21:21" ht="12.5">
      <c r="U6359" s="32"/>
    </row>
    <row r="6360" spans="21:21" ht="12.5">
      <c r="U6360" s="32"/>
    </row>
    <row r="6361" spans="21:21" ht="12.5">
      <c r="U6361" s="32"/>
    </row>
    <row r="6362" spans="21:21" ht="12.5">
      <c r="U6362" s="32"/>
    </row>
    <row r="6363" spans="21:21" ht="12.5">
      <c r="U6363" s="32"/>
    </row>
    <row r="6364" spans="21:21" ht="12.5">
      <c r="U6364" s="32"/>
    </row>
    <row r="6365" spans="21:21" ht="12.5">
      <c r="U6365" s="32"/>
    </row>
    <row r="6366" spans="21:21" ht="12.5">
      <c r="U6366" s="32"/>
    </row>
    <row r="6367" spans="21:21" ht="12.5">
      <c r="U6367" s="32"/>
    </row>
    <row r="6368" spans="21:21" ht="12.5">
      <c r="U6368" s="32"/>
    </row>
    <row r="6369" spans="21:21" ht="12.5">
      <c r="U6369" s="32"/>
    </row>
    <row r="6370" spans="21:21" ht="12.5">
      <c r="U6370" s="32"/>
    </row>
    <row r="6371" spans="21:21" ht="12.5">
      <c r="U6371" s="32"/>
    </row>
    <row r="6372" spans="21:21" ht="12.5">
      <c r="U6372" s="32"/>
    </row>
    <row r="6373" spans="21:21" ht="12.5">
      <c r="U6373" s="32"/>
    </row>
    <row r="6374" spans="21:21" ht="12.5">
      <c r="U6374" s="32"/>
    </row>
    <row r="6375" spans="21:21" ht="12.5">
      <c r="U6375" s="32"/>
    </row>
    <row r="6376" spans="21:21" ht="12.5">
      <c r="U6376" s="32"/>
    </row>
    <row r="6377" spans="21:21" ht="12.5">
      <c r="U6377" s="32"/>
    </row>
    <row r="6378" spans="21:21" ht="12.5">
      <c r="U6378" s="32"/>
    </row>
    <row r="6379" spans="21:21" ht="12.5">
      <c r="U6379" s="32"/>
    </row>
    <row r="6380" spans="21:21" ht="12.5">
      <c r="U6380" s="32"/>
    </row>
    <row r="6381" spans="21:21" ht="12.5">
      <c r="U6381" s="32"/>
    </row>
    <row r="6382" spans="21:21" ht="12.5">
      <c r="U6382" s="32"/>
    </row>
    <row r="6383" spans="21:21" ht="12.5">
      <c r="U6383" s="32"/>
    </row>
    <row r="6384" spans="21:21" ht="12.5">
      <c r="U6384" s="32"/>
    </row>
    <row r="6385" spans="21:21" ht="12.5">
      <c r="U6385" s="32"/>
    </row>
    <row r="6386" spans="21:21" ht="12.5">
      <c r="U6386" s="32"/>
    </row>
    <row r="6387" spans="21:21" ht="12.5">
      <c r="U6387" s="32"/>
    </row>
    <row r="6388" spans="21:21" ht="12.5">
      <c r="U6388" s="32"/>
    </row>
    <row r="6389" spans="21:21" ht="12.5">
      <c r="U6389" s="32"/>
    </row>
    <row r="6390" spans="21:21" ht="12.5">
      <c r="U6390" s="32"/>
    </row>
    <row r="6391" spans="21:21" ht="12.5">
      <c r="U6391" s="32"/>
    </row>
    <row r="6392" spans="21:21" ht="12.5">
      <c r="U6392" s="32"/>
    </row>
    <row r="6393" spans="21:21" ht="12.5">
      <c r="U6393" s="32"/>
    </row>
    <row r="6394" spans="21:21" ht="12.5">
      <c r="U6394" s="32"/>
    </row>
    <row r="6395" spans="21:21" ht="12.5">
      <c r="U6395" s="32"/>
    </row>
    <row r="6396" spans="21:21" ht="12.5">
      <c r="U6396" s="32"/>
    </row>
    <row r="6397" spans="21:21" ht="12.5">
      <c r="U6397" s="32"/>
    </row>
    <row r="6398" spans="21:21" ht="12.5">
      <c r="U6398" s="32"/>
    </row>
    <row r="6399" spans="21:21" ht="12.5">
      <c r="U6399" s="32"/>
    </row>
    <row r="6400" spans="21:21" ht="12.5">
      <c r="U6400" s="32"/>
    </row>
    <row r="6401" spans="21:21" ht="12.5">
      <c r="U6401" s="32"/>
    </row>
    <row r="6402" spans="21:21" ht="12.5">
      <c r="U6402" s="32"/>
    </row>
    <row r="6403" spans="21:21" ht="12.5">
      <c r="U6403" s="32"/>
    </row>
    <row r="6404" spans="21:21" ht="12.5">
      <c r="U6404" s="32"/>
    </row>
    <row r="6405" spans="21:21" ht="12.5">
      <c r="U6405" s="32"/>
    </row>
    <row r="6406" spans="21:21" ht="12.5">
      <c r="U6406" s="32"/>
    </row>
    <row r="6407" spans="21:21" ht="12.5">
      <c r="U6407" s="32"/>
    </row>
    <row r="6408" spans="21:21" ht="12.5">
      <c r="U6408" s="32"/>
    </row>
    <row r="6409" spans="21:21" ht="12.5">
      <c r="U6409" s="32"/>
    </row>
    <row r="6410" spans="21:21" ht="12.5">
      <c r="U6410" s="32"/>
    </row>
    <row r="6411" spans="21:21" ht="12.5">
      <c r="U6411" s="32"/>
    </row>
    <row r="6412" spans="21:21" ht="12.5">
      <c r="U6412" s="32"/>
    </row>
    <row r="6413" spans="21:21" ht="12.5">
      <c r="U6413" s="32"/>
    </row>
    <row r="6414" spans="21:21" ht="12.5">
      <c r="U6414" s="32"/>
    </row>
    <row r="6415" spans="21:21" ht="12.5">
      <c r="U6415" s="32"/>
    </row>
    <row r="6416" spans="21:21" ht="12.5">
      <c r="U6416" s="32"/>
    </row>
    <row r="6417" spans="21:21" ht="12.5">
      <c r="U6417" s="32"/>
    </row>
    <row r="6418" spans="21:21" ht="12.5">
      <c r="U6418" s="32"/>
    </row>
    <row r="6419" spans="21:21" ht="12.5">
      <c r="U6419" s="32"/>
    </row>
    <row r="6420" spans="21:21" ht="12.5">
      <c r="U6420" s="32"/>
    </row>
    <row r="6421" spans="21:21" ht="12.5">
      <c r="U6421" s="32"/>
    </row>
    <row r="6422" spans="21:21" ht="12.5">
      <c r="U6422" s="32"/>
    </row>
    <row r="6423" spans="21:21" ht="12.5">
      <c r="U6423" s="32"/>
    </row>
    <row r="6424" spans="21:21" ht="12.5">
      <c r="U6424" s="32"/>
    </row>
    <row r="6425" spans="21:21" ht="12.5">
      <c r="U6425" s="32"/>
    </row>
    <row r="6426" spans="21:21" ht="12.5">
      <c r="U6426" s="32"/>
    </row>
    <row r="6427" spans="21:21" ht="12.5">
      <c r="U6427" s="32"/>
    </row>
    <row r="6428" spans="21:21" ht="12.5">
      <c r="U6428" s="32"/>
    </row>
    <row r="6429" spans="21:21" ht="12.5">
      <c r="U6429" s="32"/>
    </row>
    <row r="6430" spans="21:21" ht="12.5">
      <c r="U6430" s="32"/>
    </row>
    <row r="6431" spans="21:21" ht="12.5">
      <c r="U6431" s="32"/>
    </row>
    <row r="6432" spans="21:21" ht="12.5">
      <c r="U6432" s="32"/>
    </row>
    <row r="6433" spans="21:21" ht="12.5">
      <c r="U6433" s="32"/>
    </row>
    <row r="6434" spans="21:21" ht="12.5">
      <c r="U6434" s="32"/>
    </row>
    <row r="6435" spans="21:21" ht="12.5">
      <c r="U6435" s="32"/>
    </row>
    <row r="6436" spans="21:21" ht="12.5">
      <c r="U6436" s="32"/>
    </row>
    <row r="6437" spans="21:21" ht="12.5">
      <c r="U6437" s="32"/>
    </row>
    <row r="6438" spans="21:21" ht="12.5">
      <c r="U6438" s="32"/>
    </row>
    <row r="6439" spans="21:21" ht="12.5">
      <c r="U6439" s="32"/>
    </row>
    <row r="6440" spans="21:21" ht="12.5">
      <c r="U6440" s="32"/>
    </row>
    <row r="6441" spans="21:21" ht="12.5">
      <c r="U6441" s="32"/>
    </row>
    <row r="6442" spans="21:21" ht="12.5">
      <c r="U6442" s="32"/>
    </row>
    <row r="6443" spans="21:21" ht="12.5">
      <c r="U6443" s="32"/>
    </row>
    <row r="6444" spans="21:21" ht="12.5">
      <c r="U6444" s="32"/>
    </row>
    <row r="6445" spans="21:21" ht="12.5">
      <c r="U6445" s="32"/>
    </row>
    <row r="6446" spans="21:21" ht="12.5">
      <c r="U6446" s="32"/>
    </row>
    <row r="6447" spans="21:21" ht="12.5">
      <c r="U6447" s="32"/>
    </row>
    <row r="6448" spans="21:21" ht="12.5">
      <c r="U6448" s="32"/>
    </row>
    <row r="6449" spans="21:21" ht="12.5">
      <c r="U6449" s="32"/>
    </row>
    <row r="6450" spans="21:21" ht="12.5">
      <c r="U6450" s="32"/>
    </row>
    <row r="6451" spans="21:21" ht="12.5">
      <c r="U6451" s="32"/>
    </row>
    <row r="6452" spans="21:21" ht="12.5">
      <c r="U6452" s="32"/>
    </row>
    <row r="6453" spans="21:21" ht="12.5">
      <c r="U6453" s="32"/>
    </row>
    <row r="6454" spans="21:21" ht="12.5">
      <c r="U6454" s="32"/>
    </row>
    <row r="6455" spans="21:21" ht="12.5">
      <c r="U6455" s="32"/>
    </row>
    <row r="6456" spans="21:21" ht="12.5">
      <c r="U6456" s="32"/>
    </row>
    <row r="6457" spans="21:21" ht="12.5">
      <c r="U6457" s="32"/>
    </row>
    <row r="6458" spans="21:21" ht="12.5">
      <c r="U6458" s="32"/>
    </row>
    <row r="6459" spans="21:21" ht="12.5">
      <c r="U6459" s="32"/>
    </row>
    <row r="6460" spans="21:21" ht="12.5">
      <c r="U6460" s="32"/>
    </row>
    <row r="6461" spans="21:21" ht="12.5">
      <c r="U6461" s="32"/>
    </row>
    <row r="6462" spans="21:21" ht="12.5">
      <c r="U6462" s="32"/>
    </row>
    <row r="6463" spans="21:21" ht="12.5">
      <c r="U6463" s="32"/>
    </row>
    <row r="6464" spans="21:21" ht="12.5">
      <c r="U6464" s="32"/>
    </row>
    <row r="6465" spans="21:21" ht="12.5">
      <c r="U6465" s="32"/>
    </row>
    <row r="6466" spans="21:21" ht="12.5">
      <c r="U6466" s="32"/>
    </row>
    <row r="6467" spans="21:21" ht="12.5">
      <c r="U6467" s="32"/>
    </row>
    <row r="6468" spans="21:21" ht="12.5">
      <c r="U6468" s="32"/>
    </row>
    <row r="6469" spans="21:21" ht="12.5">
      <c r="U6469" s="32"/>
    </row>
    <row r="6470" spans="21:21" ht="12.5">
      <c r="U6470" s="32"/>
    </row>
    <row r="6471" spans="21:21" ht="12.5">
      <c r="U6471" s="32"/>
    </row>
    <row r="6472" spans="21:21" ht="12.5">
      <c r="U6472" s="32"/>
    </row>
    <row r="6473" spans="21:21" ht="12.5">
      <c r="U6473" s="32"/>
    </row>
    <row r="6474" spans="21:21" ht="12.5">
      <c r="U6474" s="32"/>
    </row>
    <row r="6475" spans="21:21" ht="12.5">
      <c r="U6475" s="32"/>
    </row>
    <row r="6476" spans="21:21" ht="12.5">
      <c r="U6476" s="32"/>
    </row>
    <row r="6477" spans="21:21" ht="12.5">
      <c r="U6477" s="32"/>
    </row>
    <row r="6478" spans="21:21" ht="12.5">
      <c r="U6478" s="32"/>
    </row>
    <row r="6479" spans="21:21" ht="12.5">
      <c r="U6479" s="32"/>
    </row>
    <row r="6480" spans="21:21" ht="12.5">
      <c r="U6480" s="32"/>
    </row>
    <row r="6481" spans="21:21" ht="12.5">
      <c r="U6481" s="32"/>
    </row>
    <row r="6482" spans="21:21" ht="12.5">
      <c r="U6482" s="32"/>
    </row>
    <row r="6483" spans="21:21" ht="12.5">
      <c r="U6483" s="32"/>
    </row>
    <row r="6484" spans="21:21" ht="12.5">
      <c r="U6484" s="32"/>
    </row>
    <row r="6485" spans="21:21" ht="12.5">
      <c r="U6485" s="32"/>
    </row>
    <row r="6486" spans="21:21" ht="12.5">
      <c r="U6486" s="32"/>
    </row>
    <row r="6487" spans="21:21" ht="12.5">
      <c r="U6487" s="32"/>
    </row>
    <row r="6488" spans="21:21" ht="12.5">
      <c r="U6488" s="32"/>
    </row>
    <row r="6489" spans="21:21" ht="12.5">
      <c r="U6489" s="32"/>
    </row>
    <row r="6490" spans="21:21" ht="12.5">
      <c r="U6490" s="32"/>
    </row>
    <row r="6491" spans="21:21" ht="12.5">
      <c r="U6491" s="32"/>
    </row>
    <row r="6492" spans="21:21" ht="12.5">
      <c r="U6492" s="32"/>
    </row>
    <row r="6493" spans="21:21" ht="12.5">
      <c r="U6493" s="32"/>
    </row>
    <row r="6494" spans="21:21" ht="12.5">
      <c r="U6494" s="32"/>
    </row>
    <row r="6495" spans="21:21" ht="12.5">
      <c r="U6495" s="32"/>
    </row>
    <row r="6496" spans="21:21" ht="12.5">
      <c r="U6496" s="32"/>
    </row>
    <row r="6497" spans="21:21" ht="12.5">
      <c r="U6497" s="32"/>
    </row>
    <row r="6498" spans="21:21" ht="12.5">
      <c r="U6498" s="32"/>
    </row>
    <row r="6499" spans="21:21" ht="12.5">
      <c r="U6499" s="32"/>
    </row>
    <row r="6500" spans="21:21" ht="12.5">
      <c r="U6500" s="32"/>
    </row>
    <row r="6501" spans="21:21" ht="12.5">
      <c r="U6501" s="32"/>
    </row>
    <row r="6502" spans="21:21" ht="12.5">
      <c r="U6502" s="32"/>
    </row>
    <row r="6503" spans="21:21" ht="12.5">
      <c r="U6503" s="32"/>
    </row>
    <row r="6504" spans="21:21" ht="12.5">
      <c r="U6504" s="32"/>
    </row>
    <row r="6505" spans="21:21" ht="12.5">
      <c r="U6505" s="32"/>
    </row>
    <row r="6506" spans="21:21" ht="12.5">
      <c r="U6506" s="32"/>
    </row>
    <row r="6507" spans="21:21" ht="12.5">
      <c r="U6507" s="32"/>
    </row>
    <row r="6508" spans="21:21" ht="12.5">
      <c r="U6508" s="32"/>
    </row>
    <row r="6509" spans="21:21" ht="12.5">
      <c r="U6509" s="32"/>
    </row>
    <row r="6510" spans="21:21" ht="12.5">
      <c r="U6510" s="32"/>
    </row>
    <row r="6511" spans="21:21" ht="12.5">
      <c r="U6511" s="32"/>
    </row>
    <row r="6512" spans="21:21" ht="12.5">
      <c r="U6512" s="32"/>
    </row>
    <row r="6513" spans="21:21" ht="12.5">
      <c r="U6513" s="32"/>
    </row>
    <row r="6514" spans="21:21" ht="12.5">
      <c r="U6514" s="32"/>
    </row>
    <row r="6515" spans="21:21" ht="12.5">
      <c r="U6515" s="32"/>
    </row>
    <row r="6516" spans="21:21" ht="12.5">
      <c r="U6516" s="32"/>
    </row>
    <row r="6517" spans="21:21" ht="12.5">
      <c r="U6517" s="32"/>
    </row>
    <row r="6518" spans="21:21" ht="12.5">
      <c r="U6518" s="32"/>
    </row>
    <row r="6519" spans="21:21" ht="12.5">
      <c r="U6519" s="32"/>
    </row>
    <row r="6520" spans="21:21" ht="12.5">
      <c r="U6520" s="32"/>
    </row>
    <row r="6521" spans="21:21" ht="12.5">
      <c r="U6521" s="32"/>
    </row>
    <row r="6522" spans="21:21" ht="12.5">
      <c r="U6522" s="32"/>
    </row>
    <row r="6523" spans="21:21" ht="12.5">
      <c r="U6523" s="32"/>
    </row>
    <row r="6524" spans="21:21" ht="12.5">
      <c r="U6524" s="32"/>
    </row>
    <row r="6525" spans="21:21" ht="12.5">
      <c r="U6525" s="32"/>
    </row>
    <row r="6526" spans="21:21" ht="12.5">
      <c r="U6526" s="32"/>
    </row>
    <row r="6527" spans="21:21" ht="12.5">
      <c r="U6527" s="32"/>
    </row>
    <row r="6528" spans="21:21" ht="12.5">
      <c r="U6528" s="32"/>
    </row>
    <row r="6529" spans="21:21" ht="12.5">
      <c r="U6529" s="32"/>
    </row>
    <row r="6530" spans="21:21" ht="12.5">
      <c r="U6530" s="32"/>
    </row>
    <row r="6531" spans="21:21" ht="12.5">
      <c r="U6531" s="32"/>
    </row>
    <row r="6532" spans="21:21" ht="12.5">
      <c r="U6532" s="32"/>
    </row>
    <row r="6533" spans="21:21" ht="12.5">
      <c r="U6533" s="32"/>
    </row>
    <row r="6534" spans="21:21" ht="12.5">
      <c r="U6534" s="32"/>
    </row>
    <row r="6535" spans="21:21" ht="12.5">
      <c r="U6535" s="32"/>
    </row>
    <row r="6536" spans="21:21" ht="12.5">
      <c r="U6536" s="32"/>
    </row>
    <row r="6537" spans="21:21" ht="12.5">
      <c r="U6537" s="32"/>
    </row>
    <row r="6538" spans="21:21" ht="12.5">
      <c r="U6538" s="32"/>
    </row>
    <row r="6539" spans="21:21" ht="12.5">
      <c r="U6539" s="32"/>
    </row>
    <row r="6540" spans="21:21" ht="12.5">
      <c r="U6540" s="32"/>
    </row>
    <row r="6541" spans="21:21" ht="12.5">
      <c r="U6541" s="32"/>
    </row>
    <row r="6542" spans="21:21" ht="12.5">
      <c r="U6542" s="32"/>
    </row>
    <row r="6543" spans="21:21" ht="12.5">
      <c r="U6543" s="32"/>
    </row>
    <row r="6544" spans="21:21" ht="12.5">
      <c r="U6544" s="32"/>
    </row>
    <row r="6545" spans="21:21" ht="12.5">
      <c r="U6545" s="32"/>
    </row>
    <row r="6546" spans="21:21" ht="12.5">
      <c r="U6546" s="32"/>
    </row>
    <row r="6547" spans="21:21" ht="12.5">
      <c r="U6547" s="32"/>
    </row>
    <row r="6548" spans="21:21" ht="12.5">
      <c r="U6548" s="32"/>
    </row>
    <row r="6549" spans="21:21" ht="12.5">
      <c r="U6549" s="32"/>
    </row>
    <row r="6550" spans="21:21" ht="12.5">
      <c r="U6550" s="32"/>
    </row>
    <row r="6551" spans="21:21" ht="12.5">
      <c r="U6551" s="32"/>
    </row>
    <row r="6552" spans="21:21" ht="12.5">
      <c r="U6552" s="32"/>
    </row>
    <row r="6553" spans="21:21" ht="12.5">
      <c r="U6553" s="32"/>
    </row>
    <row r="6554" spans="21:21" ht="12.5">
      <c r="U6554" s="32"/>
    </row>
    <row r="6555" spans="21:21" ht="12.5">
      <c r="U6555" s="32"/>
    </row>
    <row r="6556" spans="21:21" ht="12.5">
      <c r="U6556" s="32"/>
    </row>
    <row r="6557" spans="21:21" ht="12.5">
      <c r="U6557" s="32"/>
    </row>
    <row r="6558" spans="21:21" ht="12.5">
      <c r="U6558" s="32"/>
    </row>
    <row r="6559" spans="21:21" ht="12.5">
      <c r="U6559" s="32"/>
    </row>
    <row r="6560" spans="21:21" ht="12.5">
      <c r="U6560" s="32"/>
    </row>
    <row r="6561" spans="21:21" ht="12.5">
      <c r="U6561" s="32"/>
    </row>
    <row r="6562" spans="21:21" ht="12.5">
      <c r="U6562" s="32"/>
    </row>
    <row r="6563" spans="21:21" ht="12.5">
      <c r="U6563" s="32"/>
    </row>
    <row r="6564" spans="21:21" ht="12.5">
      <c r="U6564" s="32"/>
    </row>
    <row r="6565" spans="21:21" ht="12.5">
      <c r="U6565" s="32"/>
    </row>
    <row r="6566" spans="21:21" ht="12.5">
      <c r="U6566" s="32"/>
    </row>
    <row r="6567" spans="21:21" ht="12.5">
      <c r="U6567" s="32"/>
    </row>
    <row r="6568" spans="21:21" ht="12.5">
      <c r="U6568" s="32"/>
    </row>
    <row r="6569" spans="21:21" ht="12.5">
      <c r="U6569" s="32"/>
    </row>
    <row r="6570" spans="21:21" ht="12.5">
      <c r="U6570" s="32"/>
    </row>
    <row r="6571" spans="21:21" ht="12.5">
      <c r="U6571" s="32"/>
    </row>
    <row r="6572" spans="21:21" ht="12.5">
      <c r="U6572" s="32"/>
    </row>
    <row r="6573" spans="21:21" ht="12.5">
      <c r="U6573" s="32"/>
    </row>
    <row r="6574" spans="21:21" ht="12.5">
      <c r="U6574" s="32"/>
    </row>
    <row r="6575" spans="21:21" ht="12.5">
      <c r="U6575" s="32"/>
    </row>
    <row r="6576" spans="21:21" ht="12.5">
      <c r="U6576" s="32"/>
    </row>
    <row r="6577" spans="21:21" ht="12.5">
      <c r="U6577" s="32"/>
    </row>
    <row r="6578" spans="21:21" ht="12.5">
      <c r="U6578" s="32"/>
    </row>
    <row r="6579" spans="21:21" ht="12.5">
      <c r="U6579" s="32"/>
    </row>
    <row r="6580" spans="21:21" ht="12.5">
      <c r="U6580" s="32"/>
    </row>
    <row r="6581" spans="21:21" ht="12.5">
      <c r="U6581" s="32"/>
    </row>
    <row r="6582" spans="21:21" ht="12.5">
      <c r="U6582" s="32"/>
    </row>
    <row r="6583" spans="21:21" ht="12.5">
      <c r="U6583" s="32"/>
    </row>
    <row r="6584" spans="21:21" ht="12.5">
      <c r="U6584" s="32"/>
    </row>
    <row r="6585" spans="21:21" ht="12.5">
      <c r="U6585" s="32"/>
    </row>
    <row r="6586" spans="21:21" ht="12.5">
      <c r="U6586" s="32"/>
    </row>
    <row r="6587" spans="21:21" ht="12.5">
      <c r="U6587" s="32"/>
    </row>
    <row r="6588" spans="21:21" ht="12.5">
      <c r="U6588" s="32"/>
    </row>
    <row r="6589" spans="21:21" ht="12.5">
      <c r="U6589" s="32"/>
    </row>
    <row r="6590" spans="21:21" ht="12.5">
      <c r="U6590" s="32"/>
    </row>
    <row r="6591" spans="21:21" ht="12.5">
      <c r="U6591" s="32"/>
    </row>
    <row r="6592" spans="21:21" ht="12.5">
      <c r="U6592" s="32"/>
    </row>
    <row r="6593" spans="21:21" ht="12.5">
      <c r="U6593" s="32"/>
    </row>
    <row r="6594" spans="21:21" ht="12.5">
      <c r="U6594" s="32"/>
    </row>
    <row r="6595" spans="21:21" ht="12.5">
      <c r="U6595" s="32"/>
    </row>
    <row r="6596" spans="21:21" ht="12.5">
      <c r="U6596" s="32"/>
    </row>
    <row r="6597" spans="21:21" ht="12.5">
      <c r="U6597" s="32"/>
    </row>
    <row r="6598" spans="21:21" ht="12.5">
      <c r="U6598" s="32"/>
    </row>
    <row r="6599" spans="21:21" ht="12.5">
      <c r="U6599" s="32"/>
    </row>
    <row r="6600" spans="21:21" ht="12.5">
      <c r="U6600" s="32"/>
    </row>
    <row r="6601" spans="21:21" ht="12.5">
      <c r="U6601" s="32"/>
    </row>
    <row r="6602" spans="21:21" ht="12.5">
      <c r="U6602" s="32"/>
    </row>
    <row r="6603" spans="21:21" ht="12.5">
      <c r="U6603" s="32"/>
    </row>
    <row r="6604" spans="21:21" ht="12.5">
      <c r="U6604" s="32"/>
    </row>
    <row r="6605" spans="21:21" ht="12.5">
      <c r="U6605" s="32"/>
    </row>
    <row r="6606" spans="21:21" ht="12.5">
      <c r="U6606" s="32"/>
    </row>
    <row r="6607" spans="21:21" ht="12.5">
      <c r="U6607" s="32"/>
    </row>
    <row r="6608" spans="21:21" ht="12.5">
      <c r="U6608" s="32"/>
    </row>
    <row r="6609" spans="21:21" ht="12.5">
      <c r="U6609" s="32"/>
    </row>
    <row r="6610" spans="21:21" ht="12.5">
      <c r="U6610" s="32"/>
    </row>
    <row r="6611" spans="21:21" ht="12.5">
      <c r="U6611" s="32"/>
    </row>
    <row r="6612" spans="21:21" ht="12.5">
      <c r="U6612" s="32"/>
    </row>
    <row r="6613" spans="21:21" ht="12.5">
      <c r="U6613" s="32"/>
    </row>
    <row r="6614" spans="21:21" ht="12.5">
      <c r="U6614" s="32"/>
    </row>
    <row r="6615" spans="21:21" ht="12.5">
      <c r="U6615" s="32"/>
    </row>
    <row r="6616" spans="21:21" ht="12.5">
      <c r="U6616" s="32"/>
    </row>
    <row r="6617" spans="21:21" ht="12.5">
      <c r="U6617" s="32"/>
    </row>
    <row r="6618" spans="21:21" ht="12.5">
      <c r="U6618" s="32"/>
    </row>
    <row r="6619" spans="21:21" ht="12.5">
      <c r="U6619" s="32"/>
    </row>
    <row r="6620" spans="21:21" ht="12.5">
      <c r="U6620" s="32"/>
    </row>
    <row r="6621" spans="21:21" ht="12.5">
      <c r="U6621" s="32"/>
    </row>
    <row r="6622" spans="21:21" ht="12.5">
      <c r="U6622" s="32"/>
    </row>
    <row r="6623" spans="21:21" ht="12.5">
      <c r="U6623" s="32"/>
    </row>
    <row r="6624" spans="21:21" ht="12.5">
      <c r="U6624" s="32"/>
    </row>
    <row r="6625" spans="21:21" ht="12.5">
      <c r="U6625" s="32"/>
    </row>
    <row r="6626" spans="21:21" ht="12.5">
      <c r="U6626" s="32"/>
    </row>
    <row r="6627" spans="21:21" ht="12.5">
      <c r="U6627" s="32"/>
    </row>
    <row r="6628" spans="21:21" ht="12.5">
      <c r="U6628" s="32"/>
    </row>
    <row r="6629" spans="21:21" ht="12.5">
      <c r="U6629" s="32"/>
    </row>
    <row r="6630" spans="21:21" ht="12.5">
      <c r="U6630" s="32"/>
    </row>
    <row r="6631" spans="21:21" ht="12.5">
      <c r="U6631" s="32"/>
    </row>
    <row r="6632" spans="21:21" ht="12.5">
      <c r="U6632" s="32"/>
    </row>
    <row r="6633" spans="21:21" ht="12.5">
      <c r="U6633" s="32"/>
    </row>
    <row r="6634" spans="21:21" ht="12.5">
      <c r="U6634" s="32"/>
    </row>
    <row r="6635" spans="21:21" ht="12.5">
      <c r="U6635" s="32"/>
    </row>
    <row r="6636" spans="21:21" ht="12.5">
      <c r="U6636" s="32"/>
    </row>
    <row r="6637" spans="21:21" ht="12.5">
      <c r="U6637" s="32"/>
    </row>
    <row r="6638" spans="21:21" ht="12.5">
      <c r="U6638" s="32"/>
    </row>
    <row r="6639" spans="21:21" ht="12.5">
      <c r="U6639" s="32"/>
    </row>
    <row r="6640" spans="21:21" ht="12.5">
      <c r="U6640" s="32"/>
    </row>
    <row r="6641" spans="21:21" ht="12.5">
      <c r="U6641" s="32"/>
    </row>
    <row r="6642" spans="21:21" ht="12.5">
      <c r="U6642" s="32"/>
    </row>
    <row r="6643" spans="21:21" ht="12.5">
      <c r="U6643" s="32"/>
    </row>
    <row r="6644" spans="21:21" ht="12.5">
      <c r="U6644" s="32"/>
    </row>
    <row r="6645" spans="21:21" ht="12.5">
      <c r="U6645" s="32"/>
    </row>
    <row r="6646" spans="21:21" ht="12.5">
      <c r="U6646" s="32"/>
    </row>
    <row r="6647" spans="21:21" ht="12.5">
      <c r="U6647" s="32"/>
    </row>
    <row r="6648" spans="21:21" ht="12.5">
      <c r="U6648" s="32"/>
    </row>
    <row r="6649" spans="21:21" ht="12.5">
      <c r="U6649" s="32"/>
    </row>
    <row r="6650" spans="21:21" ht="12.5">
      <c r="U6650" s="32"/>
    </row>
    <row r="6651" spans="21:21" ht="12.5">
      <c r="U6651" s="32"/>
    </row>
    <row r="6652" spans="21:21" ht="12.5">
      <c r="U6652" s="32"/>
    </row>
    <row r="6653" spans="21:21" ht="12.5">
      <c r="U6653" s="32"/>
    </row>
    <row r="6654" spans="21:21" ht="12.5">
      <c r="U6654" s="32"/>
    </row>
    <row r="6655" spans="21:21" ht="12.5">
      <c r="U6655" s="32"/>
    </row>
    <row r="6656" spans="21:21" ht="12.5">
      <c r="U6656" s="32"/>
    </row>
    <row r="6657" spans="21:21" ht="12.5">
      <c r="U6657" s="32"/>
    </row>
    <row r="6658" spans="21:21" ht="12.5">
      <c r="U6658" s="32"/>
    </row>
    <row r="6659" spans="21:21" ht="12.5">
      <c r="U6659" s="32"/>
    </row>
    <row r="6660" spans="21:21" ht="12.5">
      <c r="U6660" s="32"/>
    </row>
    <row r="6661" spans="21:21" ht="12.5">
      <c r="U6661" s="32"/>
    </row>
    <row r="6662" spans="21:21" ht="12.5">
      <c r="U6662" s="32"/>
    </row>
    <row r="6663" spans="21:21" ht="12.5">
      <c r="U6663" s="32"/>
    </row>
    <row r="6664" spans="21:21" ht="12.5">
      <c r="U6664" s="32"/>
    </row>
    <row r="6665" spans="21:21" ht="12.5">
      <c r="U6665" s="32"/>
    </row>
    <row r="6666" spans="21:21" ht="12.5">
      <c r="U6666" s="32"/>
    </row>
    <row r="6667" spans="21:21" ht="12.5">
      <c r="U6667" s="32"/>
    </row>
    <row r="6668" spans="21:21" ht="12.5">
      <c r="U6668" s="32"/>
    </row>
    <row r="6669" spans="21:21" ht="12.5">
      <c r="U6669" s="32"/>
    </row>
    <row r="6670" spans="21:21" ht="12.5">
      <c r="U6670" s="32"/>
    </row>
    <row r="6671" spans="21:21" ht="12.5">
      <c r="U6671" s="32"/>
    </row>
    <row r="6672" spans="21:21" ht="12.5">
      <c r="U6672" s="32"/>
    </row>
    <row r="6673" spans="21:21" ht="12.5">
      <c r="U6673" s="32"/>
    </row>
    <row r="6674" spans="21:21" ht="12.5">
      <c r="U6674" s="32"/>
    </row>
    <row r="6675" spans="21:21" ht="12.5">
      <c r="U6675" s="32"/>
    </row>
    <row r="6676" spans="21:21" ht="12.5">
      <c r="U6676" s="32"/>
    </row>
    <row r="6677" spans="21:21" ht="12.5">
      <c r="U6677" s="32"/>
    </row>
    <row r="6678" spans="21:21" ht="12.5">
      <c r="U6678" s="32"/>
    </row>
    <row r="6679" spans="21:21" ht="12.5">
      <c r="U6679" s="32"/>
    </row>
    <row r="6680" spans="21:21" ht="12.5">
      <c r="U6680" s="32"/>
    </row>
    <row r="6681" spans="21:21" ht="12.5">
      <c r="U6681" s="32"/>
    </row>
    <row r="6682" spans="21:21" ht="12.5">
      <c r="U6682" s="32"/>
    </row>
    <row r="6683" spans="21:21" ht="12.5">
      <c r="U6683" s="32"/>
    </row>
    <row r="6684" spans="21:21" ht="12.5">
      <c r="U6684" s="32"/>
    </row>
    <row r="6685" spans="21:21" ht="12.5">
      <c r="U6685" s="32"/>
    </row>
    <row r="6686" spans="21:21" ht="12.5">
      <c r="U6686" s="32"/>
    </row>
    <row r="6687" spans="21:21" ht="12.5">
      <c r="U6687" s="32"/>
    </row>
    <row r="6688" spans="21:21" ht="12.5">
      <c r="U6688" s="32"/>
    </row>
    <row r="6689" spans="21:21" ht="12.5">
      <c r="U6689" s="32"/>
    </row>
    <row r="6690" spans="21:21" ht="12.5">
      <c r="U6690" s="32"/>
    </row>
    <row r="6691" spans="21:21" ht="12.5">
      <c r="U6691" s="32"/>
    </row>
    <row r="6692" spans="21:21" ht="12.5">
      <c r="U6692" s="32"/>
    </row>
    <row r="6693" spans="21:21" ht="12.5">
      <c r="U6693" s="32"/>
    </row>
    <row r="6694" spans="21:21" ht="12.5">
      <c r="U6694" s="32"/>
    </row>
    <row r="6695" spans="21:21" ht="12.5">
      <c r="U6695" s="32"/>
    </row>
    <row r="6696" spans="21:21" ht="12.5">
      <c r="U6696" s="32"/>
    </row>
    <row r="6697" spans="21:21" ht="12.5">
      <c r="U6697" s="32"/>
    </row>
    <row r="6698" spans="21:21" ht="12.5">
      <c r="U6698" s="32"/>
    </row>
    <row r="6699" spans="21:21" ht="12.5">
      <c r="U6699" s="32"/>
    </row>
    <row r="6700" spans="21:21" ht="12.5">
      <c r="U6700" s="32"/>
    </row>
    <row r="6701" spans="21:21" ht="12.5">
      <c r="U6701" s="32"/>
    </row>
    <row r="6702" spans="21:21" ht="12.5">
      <c r="U6702" s="32"/>
    </row>
    <row r="6703" spans="21:21" ht="12.5">
      <c r="U6703" s="32"/>
    </row>
    <row r="6704" spans="21:21" ht="12.5">
      <c r="U6704" s="32"/>
    </row>
    <row r="6705" spans="21:21" ht="12.5">
      <c r="U6705" s="32"/>
    </row>
    <row r="6706" spans="21:21" ht="12.5">
      <c r="U6706" s="32"/>
    </row>
    <row r="6707" spans="21:21" ht="12.5">
      <c r="U6707" s="32"/>
    </row>
    <row r="6708" spans="21:21" ht="12.5">
      <c r="U6708" s="32"/>
    </row>
    <row r="6709" spans="21:21" ht="12.5">
      <c r="U6709" s="32"/>
    </row>
    <row r="6710" spans="21:21" ht="12.5">
      <c r="U6710" s="32"/>
    </row>
    <row r="6711" spans="21:21" ht="12.5">
      <c r="U6711" s="32"/>
    </row>
    <row r="6712" spans="21:21" ht="12.5">
      <c r="U6712" s="32"/>
    </row>
    <row r="6713" spans="21:21" ht="12.5">
      <c r="U6713" s="32"/>
    </row>
    <row r="6714" spans="21:21" ht="12.5">
      <c r="U6714" s="32"/>
    </row>
    <row r="6715" spans="21:21" ht="12.5">
      <c r="U6715" s="32"/>
    </row>
    <row r="6716" spans="21:21" ht="12.5">
      <c r="U6716" s="32"/>
    </row>
    <row r="6717" spans="21:21" ht="12.5">
      <c r="U6717" s="32"/>
    </row>
    <row r="6718" spans="21:21" ht="12.5">
      <c r="U6718" s="32"/>
    </row>
    <row r="6719" spans="21:21" ht="12.5">
      <c r="U6719" s="32"/>
    </row>
    <row r="6720" spans="21:21" ht="12.5">
      <c r="U6720" s="32"/>
    </row>
    <row r="6721" spans="21:21" ht="12.5">
      <c r="U6721" s="32"/>
    </row>
    <row r="6722" spans="21:21" ht="12.5">
      <c r="U6722" s="32"/>
    </row>
    <row r="6723" spans="21:21" ht="12.5">
      <c r="U6723" s="32"/>
    </row>
    <row r="6724" spans="21:21" ht="12.5">
      <c r="U6724" s="32"/>
    </row>
    <row r="6725" spans="21:21" ht="12.5">
      <c r="U6725" s="32"/>
    </row>
    <row r="6726" spans="21:21" ht="12.5">
      <c r="U6726" s="32"/>
    </row>
    <row r="6727" spans="21:21" ht="12.5">
      <c r="U6727" s="32"/>
    </row>
    <row r="6728" spans="21:21" ht="12.5">
      <c r="U6728" s="32"/>
    </row>
    <row r="6729" spans="21:21" ht="12.5">
      <c r="U6729" s="32"/>
    </row>
    <row r="6730" spans="21:21" ht="12.5">
      <c r="U6730" s="32"/>
    </row>
    <row r="6731" spans="21:21" ht="12.5">
      <c r="U6731" s="32"/>
    </row>
    <row r="6732" spans="21:21" ht="12.5">
      <c r="U6732" s="32"/>
    </row>
    <row r="6733" spans="21:21" ht="12.5">
      <c r="U6733" s="32"/>
    </row>
    <row r="6734" spans="21:21" ht="12.5">
      <c r="U6734" s="32"/>
    </row>
    <row r="6735" spans="21:21" ht="12.5">
      <c r="U6735" s="32"/>
    </row>
    <row r="6736" spans="21:21" ht="12.5">
      <c r="U6736" s="32"/>
    </row>
    <row r="6737" spans="21:21" ht="12.5">
      <c r="U6737" s="32"/>
    </row>
    <row r="6738" spans="21:21" ht="12.5">
      <c r="U6738" s="32"/>
    </row>
    <row r="6739" spans="21:21" ht="12.5">
      <c r="U6739" s="32"/>
    </row>
    <row r="6740" spans="21:21" ht="12.5">
      <c r="U6740" s="32"/>
    </row>
    <row r="6741" spans="21:21" ht="12.5">
      <c r="U6741" s="32"/>
    </row>
    <row r="6742" spans="21:21" ht="12.5">
      <c r="U6742" s="32"/>
    </row>
    <row r="6743" spans="21:21" ht="12.5">
      <c r="U6743" s="32"/>
    </row>
    <row r="6744" spans="21:21" ht="12.5">
      <c r="U6744" s="32"/>
    </row>
    <row r="6745" spans="21:21" ht="12.5">
      <c r="U6745" s="32"/>
    </row>
    <row r="6746" spans="21:21" ht="12.5">
      <c r="U6746" s="32"/>
    </row>
    <row r="6747" spans="21:21" ht="12.5">
      <c r="U6747" s="32"/>
    </row>
    <row r="6748" spans="21:21" ht="12.5">
      <c r="U6748" s="32"/>
    </row>
    <row r="6749" spans="21:21" ht="12.5">
      <c r="U6749" s="32"/>
    </row>
    <row r="6750" spans="21:21" ht="12.5">
      <c r="U6750" s="32"/>
    </row>
    <row r="6751" spans="21:21" ht="12.5">
      <c r="U6751" s="32"/>
    </row>
    <row r="6752" spans="21:21" ht="12.5">
      <c r="U6752" s="32"/>
    </row>
    <row r="6753" spans="21:21" ht="12.5">
      <c r="U6753" s="32"/>
    </row>
    <row r="6754" spans="21:21" ht="12.5">
      <c r="U6754" s="32"/>
    </row>
    <row r="6755" spans="21:21" ht="12.5">
      <c r="U6755" s="32"/>
    </row>
    <row r="6756" spans="21:21" ht="12.5">
      <c r="U6756" s="32"/>
    </row>
    <row r="6757" spans="21:21" ht="12.5">
      <c r="U6757" s="32"/>
    </row>
    <row r="6758" spans="21:21" ht="12.5">
      <c r="U6758" s="32"/>
    </row>
    <row r="6759" spans="21:21" ht="12.5">
      <c r="U6759" s="32"/>
    </row>
    <row r="6760" spans="21:21" ht="12.5">
      <c r="U6760" s="32"/>
    </row>
    <row r="6761" spans="21:21" ht="12.5">
      <c r="U6761" s="32"/>
    </row>
    <row r="6762" spans="21:21" ht="12.5">
      <c r="U6762" s="32"/>
    </row>
    <row r="6763" spans="21:21" ht="12.5">
      <c r="U6763" s="32"/>
    </row>
    <row r="6764" spans="21:21" ht="12.5">
      <c r="U6764" s="32"/>
    </row>
    <row r="6765" spans="21:21" ht="12.5">
      <c r="U6765" s="32"/>
    </row>
    <row r="6766" spans="21:21" ht="12.5">
      <c r="U6766" s="32"/>
    </row>
    <row r="6767" spans="21:21" ht="12.5">
      <c r="U6767" s="32"/>
    </row>
    <row r="6768" spans="21:21" ht="12.5">
      <c r="U6768" s="32"/>
    </row>
    <row r="6769" spans="21:21" ht="12.5">
      <c r="U6769" s="32"/>
    </row>
    <row r="6770" spans="21:21" ht="12.5">
      <c r="U6770" s="32"/>
    </row>
    <row r="6771" spans="21:21" ht="12.5">
      <c r="U6771" s="32"/>
    </row>
    <row r="6772" spans="21:21" ht="12.5">
      <c r="U6772" s="32"/>
    </row>
    <row r="6773" spans="21:21" ht="12.5">
      <c r="U6773" s="32"/>
    </row>
    <row r="6774" spans="21:21" ht="12.5">
      <c r="U6774" s="32"/>
    </row>
    <row r="6775" spans="21:21" ht="12.5">
      <c r="U6775" s="32"/>
    </row>
    <row r="6776" spans="21:21" ht="12.5">
      <c r="U6776" s="32"/>
    </row>
    <row r="6777" spans="21:21" ht="12.5">
      <c r="U6777" s="32"/>
    </row>
    <row r="6778" spans="21:21" ht="12.5">
      <c r="U6778" s="32"/>
    </row>
    <row r="6779" spans="21:21" ht="12.5">
      <c r="U6779" s="32"/>
    </row>
    <row r="6780" spans="21:21" ht="12.5">
      <c r="U6780" s="32"/>
    </row>
    <row r="6781" spans="21:21" ht="12.5">
      <c r="U6781" s="32"/>
    </row>
    <row r="6782" spans="21:21" ht="12.5">
      <c r="U6782" s="32"/>
    </row>
    <row r="6783" spans="21:21" ht="12.5">
      <c r="U6783" s="32"/>
    </row>
    <row r="6784" spans="21:21" ht="12.5">
      <c r="U6784" s="32"/>
    </row>
    <row r="6785" spans="21:21" ht="12.5">
      <c r="U6785" s="32"/>
    </row>
    <row r="6786" spans="21:21" ht="12.5">
      <c r="U6786" s="32"/>
    </row>
    <row r="6787" spans="21:21" ht="12.5">
      <c r="U6787" s="32"/>
    </row>
    <row r="6788" spans="21:21" ht="12.5">
      <c r="U6788" s="32"/>
    </row>
    <row r="6789" spans="21:21" ht="12.5">
      <c r="U6789" s="32"/>
    </row>
    <row r="6790" spans="21:21" ht="12.5">
      <c r="U6790" s="32"/>
    </row>
    <row r="6791" spans="21:21" ht="12.5">
      <c r="U6791" s="32"/>
    </row>
    <row r="6792" spans="21:21" ht="12.5">
      <c r="U6792" s="32"/>
    </row>
    <row r="6793" spans="21:21" ht="12.5">
      <c r="U6793" s="32"/>
    </row>
    <row r="6794" spans="21:21" ht="12.5">
      <c r="U6794" s="32"/>
    </row>
    <row r="6795" spans="21:21" ht="12.5">
      <c r="U6795" s="32"/>
    </row>
    <row r="6796" spans="21:21" ht="12.5">
      <c r="U6796" s="32"/>
    </row>
    <row r="6797" spans="21:21" ht="12.5">
      <c r="U6797" s="32"/>
    </row>
    <row r="6798" spans="21:21" ht="12.5">
      <c r="U6798" s="32"/>
    </row>
    <row r="6799" spans="21:21" ht="12.5">
      <c r="U6799" s="32"/>
    </row>
    <row r="6800" spans="21:21" ht="12.5">
      <c r="U6800" s="32"/>
    </row>
    <row r="6801" spans="21:21" ht="12.5">
      <c r="U6801" s="32"/>
    </row>
    <row r="6802" spans="21:21" ht="12.5">
      <c r="U6802" s="32"/>
    </row>
    <row r="6803" spans="21:21" ht="12.5">
      <c r="U6803" s="32"/>
    </row>
    <row r="6804" spans="21:21" ht="12.5">
      <c r="U6804" s="32"/>
    </row>
    <row r="6805" spans="21:21" ht="12.5">
      <c r="U6805" s="32"/>
    </row>
    <row r="6806" spans="21:21" ht="12.5">
      <c r="U6806" s="32"/>
    </row>
    <row r="6807" spans="21:21" ht="12.5">
      <c r="U6807" s="32"/>
    </row>
    <row r="6808" spans="21:21" ht="12.5">
      <c r="U6808" s="32"/>
    </row>
    <row r="6809" spans="21:21" ht="12.5">
      <c r="U6809" s="32"/>
    </row>
    <row r="6810" spans="21:21" ht="12.5">
      <c r="U6810" s="32"/>
    </row>
    <row r="6811" spans="21:21" ht="12.5">
      <c r="U6811" s="32"/>
    </row>
    <row r="6812" spans="21:21" ht="12.5">
      <c r="U6812" s="32"/>
    </row>
    <row r="6813" spans="21:21" ht="12.5">
      <c r="U6813" s="32"/>
    </row>
    <row r="6814" spans="21:21" ht="12.5">
      <c r="U6814" s="32"/>
    </row>
    <row r="6815" spans="21:21" ht="12.5">
      <c r="U6815" s="32"/>
    </row>
    <row r="6816" spans="21:21" ht="12.5">
      <c r="U6816" s="32"/>
    </row>
    <row r="6817" spans="21:21" ht="12.5">
      <c r="U6817" s="32"/>
    </row>
    <row r="6818" spans="21:21" ht="12.5">
      <c r="U6818" s="32"/>
    </row>
    <row r="6819" spans="21:21" ht="12.5">
      <c r="U6819" s="32"/>
    </row>
    <row r="6820" spans="21:21" ht="12.5">
      <c r="U6820" s="32"/>
    </row>
    <row r="6821" spans="21:21" ht="12.5">
      <c r="U6821" s="32"/>
    </row>
    <row r="6822" spans="21:21" ht="12.5">
      <c r="U6822" s="32"/>
    </row>
    <row r="6823" spans="21:21" ht="12.5">
      <c r="U6823" s="32"/>
    </row>
    <row r="6824" spans="21:21" ht="12.5">
      <c r="U6824" s="32"/>
    </row>
    <row r="6825" spans="21:21" ht="12.5">
      <c r="U6825" s="32"/>
    </row>
    <row r="6826" spans="21:21" ht="12.5">
      <c r="U6826" s="32"/>
    </row>
    <row r="6827" spans="21:21" ht="12.5">
      <c r="U6827" s="32"/>
    </row>
    <row r="6828" spans="21:21" ht="12.5">
      <c r="U6828" s="32"/>
    </row>
    <row r="6829" spans="21:21" ht="12.5">
      <c r="U6829" s="32"/>
    </row>
    <row r="6830" spans="21:21" ht="12.5">
      <c r="U6830" s="32"/>
    </row>
    <row r="6831" spans="21:21" ht="12.5">
      <c r="U6831" s="32"/>
    </row>
    <row r="6832" spans="21:21" ht="12.5">
      <c r="U6832" s="32"/>
    </row>
    <row r="6833" spans="21:21" ht="12.5">
      <c r="U6833" s="32"/>
    </row>
    <row r="6834" spans="21:21" ht="12.5">
      <c r="U6834" s="32"/>
    </row>
    <row r="6835" spans="21:21" ht="12.5">
      <c r="U6835" s="32"/>
    </row>
    <row r="6836" spans="21:21" ht="12.5">
      <c r="U6836" s="32"/>
    </row>
    <row r="6837" spans="21:21" ht="12.5">
      <c r="U6837" s="32"/>
    </row>
    <row r="6838" spans="21:21" ht="12.5">
      <c r="U6838" s="32"/>
    </row>
    <row r="6839" spans="21:21" ht="12.5">
      <c r="U6839" s="32"/>
    </row>
    <row r="6840" spans="21:21" ht="12.5">
      <c r="U6840" s="32"/>
    </row>
    <row r="6841" spans="21:21" ht="12.5">
      <c r="U6841" s="32"/>
    </row>
    <row r="6842" spans="21:21" ht="12.5">
      <c r="U6842" s="32"/>
    </row>
    <row r="6843" spans="21:21" ht="12.5">
      <c r="U6843" s="32"/>
    </row>
    <row r="6844" spans="21:21" ht="12.5">
      <c r="U6844" s="32"/>
    </row>
    <row r="6845" spans="21:21" ht="12.5">
      <c r="U6845" s="32"/>
    </row>
    <row r="6846" spans="21:21" ht="12.5">
      <c r="U6846" s="32"/>
    </row>
    <row r="6847" spans="21:21" ht="12.5">
      <c r="U6847" s="32"/>
    </row>
    <row r="6848" spans="21:21" ht="12.5">
      <c r="U6848" s="32"/>
    </row>
    <row r="6849" spans="21:21" ht="12.5">
      <c r="U6849" s="32"/>
    </row>
    <row r="6850" spans="21:21" ht="12.5">
      <c r="U6850" s="32"/>
    </row>
    <row r="6851" spans="21:21" ht="12.5">
      <c r="U6851" s="32"/>
    </row>
    <row r="6852" spans="21:21" ht="12.5">
      <c r="U6852" s="32"/>
    </row>
    <row r="6853" spans="21:21" ht="12.5">
      <c r="U6853" s="32"/>
    </row>
    <row r="6854" spans="21:21" ht="12.5">
      <c r="U6854" s="32"/>
    </row>
    <row r="6855" spans="21:21" ht="12.5">
      <c r="U6855" s="32"/>
    </row>
    <row r="6856" spans="21:21" ht="12.5">
      <c r="U6856" s="32"/>
    </row>
    <row r="6857" spans="21:21" ht="12.5">
      <c r="U6857" s="32"/>
    </row>
    <row r="6858" spans="21:21" ht="12.5">
      <c r="U6858" s="32"/>
    </row>
    <row r="6859" spans="21:21" ht="12.5">
      <c r="U6859" s="32"/>
    </row>
    <row r="6860" spans="21:21" ht="12.5">
      <c r="U6860" s="32"/>
    </row>
    <row r="6861" spans="21:21" ht="12.5">
      <c r="U6861" s="32"/>
    </row>
    <row r="6862" spans="21:21" ht="12.5">
      <c r="U6862" s="32"/>
    </row>
    <row r="6863" spans="21:21" ht="12.5">
      <c r="U6863" s="32"/>
    </row>
    <row r="6864" spans="21:21" ht="12.5">
      <c r="U6864" s="32"/>
    </row>
    <row r="6865" spans="21:21" ht="12.5">
      <c r="U6865" s="32"/>
    </row>
    <row r="6866" spans="21:21" ht="12.5">
      <c r="U6866" s="32"/>
    </row>
    <row r="6867" spans="21:21" ht="12.5">
      <c r="U6867" s="32"/>
    </row>
    <row r="6868" spans="21:21" ht="12.5">
      <c r="U6868" s="32"/>
    </row>
    <row r="6869" spans="21:21" ht="12.5">
      <c r="U6869" s="32"/>
    </row>
    <row r="6870" spans="21:21" ht="12.5">
      <c r="U6870" s="32"/>
    </row>
    <row r="6871" spans="21:21" ht="12.5">
      <c r="U6871" s="32"/>
    </row>
    <row r="6872" spans="21:21" ht="12.5">
      <c r="U6872" s="32"/>
    </row>
    <row r="6873" spans="21:21" ht="12.5">
      <c r="U6873" s="32"/>
    </row>
    <row r="6874" spans="21:21" ht="12.5">
      <c r="U6874" s="32"/>
    </row>
    <row r="6875" spans="21:21" ht="12.5">
      <c r="U6875" s="32"/>
    </row>
    <row r="6876" spans="21:21" ht="12.5">
      <c r="U6876" s="32"/>
    </row>
    <row r="6877" spans="21:21" ht="12.5">
      <c r="U6877" s="32"/>
    </row>
    <row r="6878" spans="21:21" ht="12.5">
      <c r="U6878" s="32"/>
    </row>
    <row r="6879" spans="21:21" ht="12.5">
      <c r="U6879" s="32"/>
    </row>
    <row r="6880" spans="21:21" ht="12.5">
      <c r="U6880" s="32"/>
    </row>
    <row r="6881" spans="21:21" ht="12.5">
      <c r="U6881" s="32"/>
    </row>
    <row r="6882" spans="21:21" ht="12.5">
      <c r="U6882" s="32"/>
    </row>
    <row r="6883" spans="21:21" ht="12.5">
      <c r="U6883" s="32"/>
    </row>
    <row r="6884" spans="21:21" ht="12.5">
      <c r="U6884" s="32"/>
    </row>
    <row r="6885" spans="21:21" ht="12.5">
      <c r="U6885" s="32"/>
    </row>
    <row r="6886" spans="21:21" ht="12.5">
      <c r="U6886" s="32"/>
    </row>
    <row r="6887" spans="21:21" ht="12.5">
      <c r="U6887" s="32"/>
    </row>
    <row r="6888" spans="21:21" ht="12.5">
      <c r="U6888" s="32"/>
    </row>
    <row r="6889" spans="21:21" ht="12.5">
      <c r="U6889" s="32"/>
    </row>
    <row r="6890" spans="21:21" ht="12.5">
      <c r="U6890" s="32"/>
    </row>
    <row r="6891" spans="21:21" ht="12.5">
      <c r="U6891" s="32"/>
    </row>
    <row r="6892" spans="21:21" ht="12.5">
      <c r="U6892" s="32"/>
    </row>
    <row r="6893" spans="21:21" ht="12.5">
      <c r="U6893" s="32"/>
    </row>
    <row r="6894" spans="21:21" ht="12.5">
      <c r="U6894" s="32"/>
    </row>
    <row r="6895" spans="21:21" ht="12.5">
      <c r="U6895" s="32"/>
    </row>
    <row r="6896" spans="21:21" ht="12.5">
      <c r="U6896" s="32"/>
    </row>
    <row r="6897" spans="21:21" ht="12.5">
      <c r="U6897" s="32"/>
    </row>
    <row r="6898" spans="21:21" ht="12.5">
      <c r="U6898" s="32"/>
    </row>
    <row r="6899" spans="21:21" ht="12.5">
      <c r="U6899" s="32"/>
    </row>
    <row r="6900" spans="21:21" ht="12.5">
      <c r="U6900" s="32"/>
    </row>
    <row r="6901" spans="21:21" ht="12.5">
      <c r="U6901" s="32"/>
    </row>
    <row r="6902" spans="21:21" ht="12.5">
      <c r="U6902" s="32"/>
    </row>
    <row r="6903" spans="21:21" ht="12.5">
      <c r="U6903" s="32"/>
    </row>
    <row r="6904" spans="21:21" ht="12.5">
      <c r="U6904" s="32"/>
    </row>
    <row r="6905" spans="21:21" ht="12.5">
      <c r="U6905" s="32"/>
    </row>
    <row r="6906" spans="21:21" ht="12.5">
      <c r="U6906" s="32"/>
    </row>
    <row r="6907" spans="21:21" ht="12.5">
      <c r="U6907" s="32"/>
    </row>
    <row r="6908" spans="21:21" ht="12.5">
      <c r="U6908" s="32"/>
    </row>
    <row r="6909" spans="21:21" ht="12.5">
      <c r="U6909" s="32"/>
    </row>
    <row r="6910" spans="21:21" ht="12.5">
      <c r="U6910" s="32"/>
    </row>
    <row r="6911" spans="21:21" ht="12.5">
      <c r="U6911" s="32"/>
    </row>
    <row r="6912" spans="21:21" ht="12.5">
      <c r="U6912" s="32"/>
    </row>
    <row r="6913" spans="21:21" ht="12.5">
      <c r="U6913" s="32"/>
    </row>
    <row r="6914" spans="21:21" ht="12.5">
      <c r="U6914" s="32"/>
    </row>
    <row r="6915" spans="21:21" ht="12.5">
      <c r="U6915" s="32"/>
    </row>
    <row r="6916" spans="21:21" ht="12.5">
      <c r="U6916" s="32"/>
    </row>
    <row r="6917" spans="21:21" ht="12.5">
      <c r="U6917" s="32"/>
    </row>
    <row r="6918" spans="21:21" ht="12.5">
      <c r="U6918" s="32"/>
    </row>
    <row r="6919" spans="21:21" ht="12.5">
      <c r="U6919" s="32"/>
    </row>
    <row r="6920" spans="21:21" ht="12.5">
      <c r="U6920" s="32"/>
    </row>
    <row r="6921" spans="21:21" ht="12.5">
      <c r="U6921" s="32"/>
    </row>
    <row r="6922" spans="21:21" ht="12.5">
      <c r="U6922" s="32"/>
    </row>
    <row r="6923" spans="21:21" ht="12.5">
      <c r="U6923" s="32"/>
    </row>
    <row r="6924" spans="21:21" ht="12.5">
      <c r="U6924" s="32"/>
    </row>
    <row r="6925" spans="21:21" ht="12.5">
      <c r="U6925" s="32"/>
    </row>
    <row r="6926" spans="21:21" ht="12.5">
      <c r="U6926" s="32"/>
    </row>
    <row r="6927" spans="21:21" ht="12.5">
      <c r="U6927" s="32"/>
    </row>
    <row r="6928" spans="21:21" ht="12.5">
      <c r="U6928" s="32"/>
    </row>
    <row r="6929" spans="21:21" ht="12.5">
      <c r="U6929" s="32"/>
    </row>
    <row r="6930" spans="21:21" ht="12.5">
      <c r="U6930" s="32"/>
    </row>
    <row r="6931" spans="21:21" ht="12.5">
      <c r="U6931" s="32"/>
    </row>
    <row r="6932" spans="21:21" ht="12.5">
      <c r="U6932" s="32"/>
    </row>
    <row r="6933" spans="21:21" ht="12.5">
      <c r="U6933" s="32"/>
    </row>
    <row r="6934" spans="21:21" ht="12.5">
      <c r="U6934" s="32"/>
    </row>
    <row r="6935" spans="21:21" ht="12.5">
      <c r="U6935" s="32"/>
    </row>
    <row r="6936" spans="21:21" ht="12.5">
      <c r="U6936" s="32"/>
    </row>
    <row r="6937" spans="21:21" ht="12.5">
      <c r="U6937" s="32"/>
    </row>
    <row r="6938" spans="21:21" ht="12.5">
      <c r="U6938" s="32"/>
    </row>
    <row r="6939" spans="21:21" ht="12.5">
      <c r="U6939" s="32"/>
    </row>
    <row r="6940" spans="21:21" ht="12.5">
      <c r="U6940" s="32"/>
    </row>
    <row r="6941" spans="21:21" ht="12.5">
      <c r="U6941" s="32"/>
    </row>
    <row r="6942" spans="21:21" ht="12.5">
      <c r="U6942" s="32"/>
    </row>
    <row r="6943" spans="21:21" ht="12.5">
      <c r="U6943" s="32"/>
    </row>
    <row r="6944" spans="21:21" ht="12.5">
      <c r="U6944" s="32"/>
    </row>
    <row r="6945" spans="21:21" ht="12.5">
      <c r="U6945" s="32"/>
    </row>
    <row r="6946" spans="21:21" ht="12.5">
      <c r="U6946" s="32"/>
    </row>
    <row r="6947" spans="21:21" ht="12.5">
      <c r="U6947" s="32"/>
    </row>
    <row r="6948" spans="21:21" ht="12.5">
      <c r="U6948" s="32"/>
    </row>
    <row r="6949" spans="21:21" ht="12.5">
      <c r="U6949" s="32"/>
    </row>
    <row r="6950" spans="21:21" ht="12.5">
      <c r="U6950" s="32"/>
    </row>
    <row r="6951" spans="21:21" ht="12.5">
      <c r="U6951" s="32"/>
    </row>
    <row r="6952" spans="21:21" ht="12.5">
      <c r="U6952" s="32"/>
    </row>
    <row r="6953" spans="21:21" ht="12.5">
      <c r="U6953" s="32"/>
    </row>
    <row r="6954" spans="21:21" ht="12.5">
      <c r="U6954" s="32"/>
    </row>
    <row r="6955" spans="21:21" ht="12.5">
      <c r="U6955" s="32"/>
    </row>
    <row r="6956" spans="21:21" ht="12.5">
      <c r="U6956" s="32"/>
    </row>
    <row r="6957" spans="21:21" ht="12.5">
      <c r="U6957" s="32"/>
    </row>
    <row r="6958" spans="21:21" ht="12.5">
      <c r="U6958" s="32"/>
    </row>
    <row r="6959" spans="21:21" ht="12.5">
      <c r="U6959" s="32"/>
    </row>
    <row r="6960" spans="21:21" ht="12.5">
      <c r="U6960" s="32"/>
    </row>
    <row r="6961" spans="21:21" ht="12.5">
      <c r="U6961" s="32"/>
    </row>
    <row r="6962" spans="21:21" ht="12.5">
      <c r="U6962" s="32"/>
    </row>
    <row r="6963" spans="21:21" ht="12.5">
      <c r="U6963" s="32"/>
    </row>
    <row r="6964" spans="21:21" ht="12.5">
      <c r="U6964" s="32"/>
    </row>
    <row r="6965" spans="21:21" ht="12.5">
      <c r="U6965" s="32"/>
    </row>
    <row r="6966" spans="21:21" ht="12.5">
      <c r="U6966" s="32"/>
    </row>
    <row r="6967" spans="21:21" ht="12.5">
      <c r="U6967" s="32"/>
    </row>
    <row r="6968" spans="21:21" ht="12.5">
      <c r="U6968" s="32"/>
    </row>
    <row r="6969" spans="21:21" ht="12.5">
      <c r="U6969" s="32"/>
    </row>
    <row r="6970" spans="21:21" ht="12.5">
      <c r="U6970" s="32"/>
    </row>
    <row r="6971" spans="21:21" ht="12.5">
      <c r="U6971" s="32"/>
    </row>
    <row r="6972" spans="21:21" ht="12.5">
      <c r="U6972" s="32"/>
    </row>
    <row r="6973" spans="21:21" ht="12.5">
      <c r="U6973" s="32"/>
    </row>
    <row r="6974" spans="21:21" ht="12.5">
      <c r="U6974" s="32"/>
    </row>
    <row r="6975" spans="21:21" ht="12.5">
      <c r="U6975" s="32"/>
    </row>
    <row r="6976" spans="21:21" ht="12.5">
      <c r="U6976" s="32"/>
    </row>
    <row r="6977" spans="21:21" ht="12.5">
      <c r="U6977" s="32"/>
    </row>
    <row r="6978" spans="21:21" ht="12.5">
      <c r="U6978" s="32"/>
    </row>
    <row r="6979" spans="21:21" ht="12.5">
      <c r="U6979" s="32"/>
    </row>
    <row r="6980" spans="21:21" ht="12.5">
      <c r="U6980" s="32"/>
    </row>
    <row r="6981" spans="21:21" ht="12.5">
      <c r="U6981" s="32"/>
    </row>
    <row r="6982" spans="21:21" ht="12.5">
      <c r="U6982" s="32"/>
    </row>
    <row r="6983" spans="21:21" ht="12.5">
      <c r="U6983" s="32"/>
    </row>
    <row r="6984" spans="21:21" ht="12.5">
      <c r="U6984" s="32"/>
    </row>
    <row r="6985" spans="21:21" ht="12.5">
      <c r="U6985" s="32"/>
    </row>
    <row r="6986" spans="21:21" ht="12.5">
      <c r="U6986" s="32"/>
    </row>
    <row r="6987" spans="21:21" ht="12.5">
      <c r="U6987" s="32"/>
    </row>
    <row r="6988" spans="21:21" ht="12.5">
      <c r="U6988" s="32"/>
    </row>
    <row r="6989" spans="21:21" ht="12.5">
      <c r="U6989" s="32"/>
    </row>
    <row r="6990" spans="21:21" ht="12.5">
      <c r="U6990" s="32"/>
    </row>
    <row r="6991" spans="21:21" ht="12.5">
      <c r="U6991" s="32"/>
    </row>
    <row r="6992" spans="21:21" ht="12.5">
      <c r="U6992" s="32"/>
    </row>
    <row r="6993" spans="21:21" ht="12.5">
      <c r="U6993" s="32"/>
    </row>
    <row r="6994" spans="21:21" ht="12.5">
      <c r="U6994" s="32"/>
    </row>
    <row r="6995" spans="21:21" ht="12.5">
      <c r="U6995" s="32"/>
    </row>
    <row r="6996" spans="21:21" ht="12.5">
      <c r="U6996" s="32"/>
    </row>
    <row r="6997" spans="21:21" ht="12.5">
      <c r="U6997" s="32"/>
    </row>
    <row r="6998" spans="21:21" ht="12.5">
      <c r="U6998" s="32"/>
    </row>
    <row r="6999" spans="21:21" ht="12.5">
      <c r="U6999" s="32"/>
    </row>
    <row r="7000" spans="21:21" ht="12.5">
      <c r="U7000" s="32"/>
    </row>
    <row r="7001" spans="21:21" ht="12.5">
      <c r="U7001" s="32"/>
    </row>
    <row r="7002" spans="21:21" ht="12.5">
      <c r="U7002" s="32"/>
    </row>
    <row r="7003" spans="21:21" ht="12.5">
      <c r="U7003" s="32"/>
    </row>
    <row r="7004" spans="21:21" ht="12.5">
      <c r="U7004" s="32"/>
    </row>
    <row r="7005" spans="21:21" ht="12.5">
      <c r="U7005" s="32"/>
    </row>
    <row r="7006" spans="21:21" ht="12.5">
      <c r="U7006" s="32"/>
    </row>
    <row r="7007" spans="21:21" ht="12.5">
      <c r="U7007" s="32"/>
    </row>
    <row r="7008" spans="21:21" ht="12.5">
      <c r="U7008" s="32"/>
    </row>
    <row r="7009" spans="21:21" ht="12.5">
      <c r="U7009" s="32"/>
    </row>
    <row r="7010" spans="21:21" ht="12.5">
      <c r="U7010" s="32"/>
    </row>
    <row r="7011" spans="21:21" ht="12.5">
      <c r="U7011" s="32"/>
    </row>
    <row r="7012" spans="21:21" ht="12.5">
      <c r="U7012" s="32"/>
    </row>
    <row r="7013" spans="21:21" ht="12.5">
      <c r="U7013" s="32"/>
    </row>
    <row r="7014" spans="21:21" ht="12.5">
      <c r="U7014" s="32"/>
    </row>
    <row r="7015" spans="21:21" ht="12.5">
      <c r="U7015" s="32"/>
    </row>
    <row r="7016" spans="21:21" ht="12.5">
      <c r="U7016" s="32"/>
    </row>
    <row r="7017" spans="21:21" ht="12.5">
      <c r="U7017" s="32"/>
    </row>
    <row r="7018" spans="21:21" ht="12.5">
      <c r="U7018" s="32"/>
    </row>
    <row r="7019" spans="21:21" ht="12.5">
      <c r="U7019" s="32"/>
    </row>
    <row r="7020" spans="21:21" ht="12.5">
      <c r="U7020" s="32"/>
    </row>
    <row r="7021" spans="21:21" ht="12.5">
      <c r="U7021" s="32"/>
    </row>
    <row r="7022" spans="21:21" ht="12.5">
      <c r="U7022" s="32"/>
    </row>
    <row r="7023" spans="21:21" ht="12.5">
      <c r="U7023" s="32"/>
    </row>
    <row r="7024" spans="21:21" ht="12.5">
      <c r="U7024" s="32"/>
    </row>
    <row r="7025" spans="21:21" ht="12.5">
      <c r="U7025" s="32"/>
    </row>
    <row r="7026" spans="21:21" ht="12.5">
      <c r="U7026" s="32"/>
    </row>
    <row r="7027" spans="21:21" ht="12.5">
      <c r="U7027" s="32"/>
    </row>
    <row r="7028" spans="21:21" ht="12.5">
      <c r="U7028" s="32"/>
    </row>
    <row r="7029" spans="21:21" ht="12.5">
      <c r="U7029" s="32"/>
    </row>
    <row r="7030" spans="21:21" ht="12.5">
      <c r="U7030" s="32"/>
    </row>
    <row r="7031" spans="21:21" ht="12.5">
      <c r="U7031" s="32"/>
    </row>
    <row r="7032" spans="21:21" ht="12.5">
      <c r="U7032" s="32"/>
    </row>
    <row r="7033" spans="21:21" ht="12.5">
      <c r="U7033" s="32"/>
    </row>
    <row r="7034" spans="21:21" ht="12.5">
      <c r="U7034" s="32"/>
    </row>
    <row r="7035" spans="21:21" ht="12.5">
      <c r="U7035" s="32"/>
    </row>
    <row r="7036" spans="21:21" ht="12.5">
      <c r="U7036" s="32"/>
    </row>
    <row r="7037" spans="21:21" ht="12.5">
      <c r="U7037" s="32"/>
    </row>
    <row r="7038" spans="21:21" ht="12.5">
      <c r="U7038" s="32"/>
    </row>
    <row r="7039" spans="21:21" ht="12.5">
      <c r="U7039" s="32"/>
    </row>
    <row r="7040" spans="21:21" ht="12.5">
      <c r="U7040" s="32"/>
    </row>
    <row r="7041" spans="21:21" ht="12.5">
      <c r="U7041" s="32"/>
    </row>
    <row r="7042" spans="21:21" ht="12.5">
      <c r="U7042" s="32"/>
    </row>
    <row r="7043" spans="21:21" ht="12.5">
      <c r="U7043" s="32"/>
    </row>
    <row r="7044" spans="21:21" ht="12.5">
      <c r="U7044" s="32"/>
    </row>
    <row r="7045" spans="21:21" ht="12.5">
      <c r="U7045" s="32"/>
    </row>
    <row r="7046" spans="21:21" ht="12.5">
      <c r="U7046" s="32"/>
    </row>
    <row r="7047" spans="21:21" ht="12.5">
      <c r="U7047" s="32"/>
    </row>
    <row r="7048" spans="21:21" ht="12.5">
      <c r="U7048" s="32"/>
    </row>
    <row r="7049" spans="21:21" ht="12.5">
      <c r="U7049" s="32"/>
    </row>
    <row r="7050" spans="21:21" ht="12.5">
      <c r="U7050" s="32"/>
    </row>
    <row r="7051" spans="21:21" ht="12.5">
      <c r="U7051" s="32"/>
    </row>
    <row r="7052" spans="21:21" ht="12.5">
      <c r="U7052" s="32"/>
    </row>
    <row r="7053" spans="21:21" ht="12.5">
      <c r="U7053" s="32"/>
    </row>
    <row r="7054" spans="21:21" ht="12.5">
      <c r="U7054" s="32"/>
    </row>
    <row r="7055" spans="21:21" ht="12.5">
      <c r="U7055" s="32"/>
    </row>
    <row r="7056" spans="21:21" ht="12.5">
      <c r="U7056" s="32"/>
    </row>
    <row r="7057" spans="21:21" ht="12.5">
      <c r="U7057" s="32"/>
    </row>
    <row r="7058" spans="21:21" ht="12.5">
      <c r="U7058" s="32"/>
    </row>
    <row r="7059" spans="21:21" ht="12.5">
      <c r="U7059" s="32"/>
    </row>
    <row r="7060" spans="21:21" ht="12.5">
      <c r="U7060" s="32"/>
    </row>
    <row r="7061" spans="21:21" ht="12.5">
      <c r="U7061" s="32"/>
    </row>
    <row r="7062" spans="21:21" ht="12.5">
      <c r="U7062" s="32"/>
    </row>
    <row r="7063" spans="21:21" ht="12.5">
      <c r="U7063" s="32"/>
    </row>
    <row r="7064" spans="21:21" ht="12.5">
      <c r="U7064" s="32"/>
    </row>
    <row r="7065" spans="21:21" ht="12.5">
      <c r="U7065" s="32"/>
    </row>
    <row r="7066" spans="21:21" ht="12.5">
      <c r="U7066" s="32"/>
    </row>
    <row r="7067" spans="21:21" ht="12.5">
      <c r="U7067" s="32"/>
    </row>
    <row r="7068" spans="21:21" ht="12.5">
      <c r="U7068" s="32"/>
    </row>
    <row r="7069" spans="21:21" ht="12.5">
      <c r="U7069" s="32"/>
    </row>
    <row r="7070" spans="21:21" ht="12.5">
      <c r="U7070" s="32"/>
    </row>
    <row r="7071" spans="21:21" ht="12.5">
      <c r="U7071" s="32"/>
    </row>
    <row r="7072" spans="21:21" ht="12.5">
      <c r="U7072" s="32"/>
    </row>
    <row r="7073" spans="21:21" ht="12.5">
      <c r="U7073" s="32"/>
    </row>
    <row r="7074" spans="21:21" ht="12.5">
      <c r="U7074" s="32"/>
    </row>
    <row r="7075" spans="21:21" ht="12.5">
      <c r="U7075" s="32"/>
    </row>
    <row r="7076" spans="21:21" ht="12.5">
      <c r="U7076" s="32"/>
    </row>
    <row r="7077" spans="21:21" ht="12.5">
      <c r="U7077" s="32"/>
    </row>
    <row r="7078" spans="21:21" ht="12.5">
      <c r="U7078" s="32"/>
    </row>
    <row r="7079" spans="21:21" ht="12.5">
      <c r="U7079" s="32"/>
    </row>
    <row r="7080" spans="21:21" ht="12.5">
      <c r="U7080" s="32"/>
    </row>
    <row r="7081" spans="21:21" ht="12.5">
      <c r="U7081" s="32"/>
    </row>
    <row r="7082" spans="21:21" ht="12.5">
      <c r="U7082" s="32"/>
    </row>
    <row r="7083" spans="21:21" ht="12.5">
      <c r="U7083" s="32"/>
    </row>
    <row r="7084" spans="21:21" ht="12.5">
      <c r="U7084" s="32"/>
    </row>
    <row r="7085" spans="21:21" ht="12.5">
      <c r="U7085" s="32"/>
    </row>
    <row r="7086" spans="21:21" ht="12.5">
      <c r="U7086" s="32"/>
    </row>
    <row r="7087" spans="21:21" ht="12.5">
      <c r="U7087" s="32"/>
    </row>
    <row r="7088" spans="21:21" ht="12.5">
      <c r="U7088" s="32"/>
    </row>
    <row r="7089" spans="21:21" ht="12.5">
      <c r="U7089" s="32"/>
    </row>
    <row r="7090" spans="21:21" ht="12.5">
      <c r="U7090" s="32"/>
    </row>
    <row r="7091" spans="21:21" ht="12.5">
      <c r="U7091" s="32"/>
    </row>
    <row r="7092" spans="21:21" ht="12.5">
      <c r="U7092" s="32"/>
    </row>
    <row r="7093" spans="21:21" ht="12.5">
      <c r="U7093" s="32"/>
    </row>
    <row r="7094" spans="21:21" ht="12.5">
      <c r="U7094" s="32"/>
    </row>
    <row r="7095" spans="21:21" ht="12.5">
      <c r="U7095" s="32"/>
    </row>
    <row r="7096" spans="21:21" ht="12.5">
      <c r="U7096" s="32"/>
    </row>
    <row r="7097" spans="21:21" ht="12.5">
      <c r="U7097" s="32"/>
    </row>
    <row r="7098" spans="21:21" ht="12.5">
      <c r="U7098" s="32"/>
    </row>
    <row r="7099" spans="21:21" ht="12.5">
      <c r="U7099" s="32"/>
    </row>
    <row r="7100" spans="21:21" ht="12.5">
      <c r="U7100" s="32"/>
    </row>
    <row r="7101" spans="21:21" ht="12.5">
      <c r="U7101" s="32"/>
    </row>
    <row r="7102" spans="21:21" ht="12.5">
      <c r="U7102" s="32"/>
    </row>
    <row r="7103" spans="21:21" ht="12.5">
      <c r="U7103" s="32"/>
    </row>
    <row r="7104" spans="21:21" ht="12.5">
      <c r="U7104" s="32"/>
    </row>
    <row r="7105" spans="21:21" ht="12.5">
      <c r="U7105" s="32"/>
    </row>
    <row r="7106" spans="21:21" ht="12.5">
      <c r="U7106" s="32"/>
    </row>
    <row r="7107" spans="21:21" ht="12.5">
      <c r="U7107" s="32"/>
    </row>
    <row r="7108" spans="21:21" ht="12.5">
      <c r="U7108" s="32"/>
    </row>
    <row r="7109" spans="21:21" ht="12.5">
      <c r="U7109" s="32"/>
    </row>
    <row r="7110" spans="21:21" ht="12.5">
      <c r="U7110" s="32"/>
    </row>
    <row r="7111" spans="21:21" ht="12.5">
      <c r="U7111" s="32"/>
    </row>
    <row r="7112" spans="21:21" ht="12.5">
      <c r="U7112" s="32"/>
    </row>
    <row r="7113" spans="21:21" ht="12.5">
      <c r="U7113" s="32"/>
    </row>
    <row r="7114" spans="21:21" ht="12.5">
      <c r="U7114" s="32"/>
    </row>
    <row r="7115" spans="21:21" ht="12.5">
      <c r="U7115" s="32"/>
    </row>
    <row r="7116" spans="21:21" ht="12.5">
      <c r="U7116" s="32"/>
    </row>
    <row r="7117" spans="21:21" ht="12.5">
      <c r="U7117" s="32"/>
    </row>
    <row r="7118" spans="21:21" ht="12.5">
      <c r="U7118" s="32"/>
    </row>
    <row r="7119" spans="21:21" ht="12.5">
      <c r="U7119" s="32"/>
    </row>
    <row r="7120" spans="21:21" ht="12.5">
      <c r="U7120" s="32"/>
    </row>
    <row r="7121" spans="21:21" ht="12.5">
      <c r="U7121" s="32"/>
    </row>
    <row r="7122" spans="21:21" ht="12.5">
      <c r="U7122" s="32"/>
    </row>
    <row r="7123" spans="21:21" ht="12.5">
      <c r="U7123" s="32"/>
    </row>
    <row r="7124" spans="21:21" ht="12.5">
      <c r="U7124" s="32"/>
    </row>
    <row r="7125" spans="21:21" ht="12.5">
      <c r="U7125" s="32"/>
    </row>
    <row r="7126" spans="21:21" ht="12.5">
      <c r="U7126" s="32"/>
    </row>
    <row r="7127" spans="21:21" ht="12.5">
      <c r="U7127" s="32"/>
    </row>
    <row r="7128" spans="21:21" ht="12.5">
      <c r="U7128" s="32"/>
    </row>
    <row r="7129" spans="21:21" ht="12.5">
      <c r="U7129" s="32"/>
    </row>
    <row r="7130" spans="21:21" ht="12.5">
      <c r="U7130" s="32"/>
    </row>
    <row r="7131" spans="21:21" ht="12.5">
      <c r="U7131" s="32"/>
    </row>
    <row r="7132" spans="21:21" ht="12.5">
      <c r="U7132" s="32"/>
    </row>
    <row r="7133" spans="21:21" ht="12.5">
      <c r="U7133" s="32"/>
    </row>
    <row r="7134" spans="21:21" ht="12.5">
      <c r="U7134" s="32"/>
    </row>
    <row r="7135" spans="21:21" ht="12.5">
      <c r="U7135" s="32"/>
    </row>
    <row r="7136" spans="21:21" ht="12.5">
      <c r="U7136" s="32"/>
    </row>
    <row r="7137" spans="21:21" ht="12.5">
      <c r="U7137" s="32"/>
    </row>
    <row r="7138" spans="21:21" ht="12.5">
      <c r="U7138" s="32"/>
    </row>
    <row r="7139" spans="21:21" ht="12.5">
      <c r="U7139" s="32"/>
    </row>
    <row r="7140" spans="21:21" ht="12.5">
      <c r="U7140" s="32"/>
    </row>
    <row r="7141" spans="21:21" ht="12.5">
      <c r="U7141" s="32"/>
    </row>
    <row r="7142" spans="21:21" ht="12.5">
      <c r="U7142" s="32"/>
    </row>
    <row r="7143" spans="21:21" ht="12.5">
      <c r="U7143" s="32"/>
    </row>
    <row r="7144" spans="21:21" ht="12.5">
      <c r="U7144" s="32"/>
    </row>
    <row r="7145" spans="21:21" ht="12.5">
      <c r="U7145" s="32"/>
    </row>
    <row r="7146" spans="21:21" ht="12.5">
      <c r="U7146" s="32"/>
    </row>
    <row r="7147" spans="21:21" ht="12.5">
      <c r="U7147" s="32"/>
    </row>
    <row r="7148" spans="21:21" ht="12.5">
      <c r="U7148" s="32"/>
    </row>
    <row r="7149" spans="21:21" ht="12.5">
      <c r="U7149" s="32"/>
    </row>
    <row r="7150" spans="21:21" ht="12.5">
      <c r="U7150" s="32"/>
    </row>
    <row r="7151" spans="21:21" ht="12.5">
      <c r="U7151" s="32"/>
    </row>
    <row r="7152" spans="21:21" ht="12.5">
      <c r="U7152" s="32"/>
    </row>
    <row r="7153" spans="21:21" ht="12.5">
      <c r="U7153" s="32"/>
    </row>
    <row r="7154" spans="21:21" ht="12.5">
      <c r="U7154" s="32"/>
    </row>
    <row r="7155" spans="21:21" ht="12.5">
      <c r="U7155" s="32"/>
    </row>
    <row r="7156" spans="21:21" ht="12.5">
      <c r="U7156" s="32"/>
    </row>
    <row r="7157" spans="21:21" ht="12.5">
      <c r="U7157" s="32"/>
    </row>
    <row r="7158" spans="21:21" ht="12.5">
      <c r="U7158" s="32"/>
    </row>
    <row r="7159" spans="21:21" ht="12.5">
      <c r="U7159" s="32"/>
    </row>
    <row r="7160" spans="21:21" ht="12.5">
      <c r="U7160" s="32"/>
    </row>
    <row r="7161" spans="21:21" ht="12.5">
      <c r="U7161" s="32"/>
    </row>
    <row r="7162" spans="21:21" ht="12.5">
      <c r="U7162" s="32"/>
    </row>
    <row r="7163" spans="21:21" ht="12.5">
      <c r="U7163" s="32"/>
    </row>
    <row r="7164" spans="21:21" ht="12.5">
      <c r="U7164" s="32"/>
    </row>
    <row r="7165" spans="21:21" ht="12.5">
      <c r="U7165" s="32"/>
    </row>
    <row r="7166" spans="21:21" ht="12.5">
      <c r="U7166" s="32"/>
    </row>
    <row r="7167" spans="21:21" ht="12.5">
      <c r="U7167" s="32"/>
    </row>
    <row r="7168" spans="21:21" ht="12.5">
      <c r="U7168" s="32"/>
    </row>
    <row r="7169" spans="21:21" ht="12.5">
      <c r="U7169" s="32"/>
    </row>
    <row r="7170" spans="21:21" ht="12.5">
      <c r="U7170" s="32"/>
    </row>
    <row r="7171" spans="21:21" ht="12.5">
      <c r="U7171" s="32"/>
    </row>
    <row r="7172" spans="21:21" ht="12.5">
      <c r="U7172" s="32"/>
    </row>
    <row r="7173" spans="21:21" ht="12.5">
      <c r="U7173" s="32"/>
    </row>
    <row r="7174" spans="21:21" ht="12.5">
      <c r="U7174" s="32"/>
    </row>
    <row r="7175" spans="21:21" ht="12.5">
      <c r="U7175" s="32"/>
    </row>
    <row r="7176" spans="21:21" ht="12.5">
      <c r="U7176" s="32"/>
    </row>
    <row r="7177" spans="21:21" ht="12.5">
      <c r="U7177" s="32"/>
    </row>
    <row r="7178" spans="21:21" ht="12.5">
      <c r="U7178" s="32"/>
    </row>
    <row r="7179" spans="21:21" ht="12.5">
      <c r="U7179" s="32"/>
    </row>
    <row r="7180" spans="21:21" ht="12.5">
      <c r="U7180" s="32"/>
    </row>
    <row r="7181" spans="21:21" ht="12.5">
      <c r="U7181" s="32"/>
    </row>
    <row r="7182" spans="21:21" ht="12.5">
      <c r="U7182" s="32"/>
    </row>
    <row r="7183" spans="21:21" ht="12.5">
      <c r="U7183" s="32"/>
    </row>
    <row r="7184" spans="21:21" ht="12.5">
      <c r="U7184" s="32"/>
    </row>
    <row r="7185" spans="21:21" ht="12.5">
      <c r="U7185" s="32"/>
    </row>
    <row r="7186" spans="21:21" ht="12.5">
      <c r="U7186" s="32"/>
    </row>
    <row r="7187" spans="21:21" ht="12.5">
      <c r="U7187" s="32"/>
    </row>
    <row r="7188" spans="21:21" ht="12.5">
      <c r="U7188" s="32"/>
    </row>
    <row r="7189" spans="21:21" ht="12.5">
      <c r="U7189" s="32"/>
    </row>
    <row r="7190" spans="21:21" ht="12.5">
      <c r="U7190" s="32"/>
    </row>
    <row r="7191" spans="21:21" ht="12.5">
      <c r="U7191" s="32"/>
    </row>
    <row r="7192" spans="21:21" ht="12.5">
      <c r="U7192" s="32"/>
    </row>
    <row r="7193" spans="21:21" ht="12.5">
      <c r="U7193" s="32"/>
    </row>
    <row r="7194" spans="21:21" ht="12.5">
      <c r="U7194" s="32"/>
    </row>
    <row r="7195" spans="21:21" ht="12.5">
      <c r="U7195" s="32"/>
    </row>
    <row r="7196" spans="21:21" ht="12.5">
      <c r="U7196" s="32"/>
    </row>
    <row r="7197" spans="21:21" ht="12.5">
      <c r="U7197" s="32"/>
    </row>
    <row r="7198" spans="21:21" ht="12.5">
      <c r="U7198" s="32"/>
    </row>
    <row r="7199" spans="21:21" ht="12.5">
      <c r="U7199" s="32"/>
    </row>
    <row r="7200" spans="21:21" ht="12.5">
      <c r="U7200" s="32"/>
    </row>
    <row r="7201" spans="21:21" ht="12.5">
      <c r="U7201" s="32"/>
    </row>
    <row r="7202" spans="21:21" ht="12.5">
      <c r="U7202" s="32"/>
    </row>
    <row r="7203" spans="21:21" ht="12.5">
      <c r="U7203" s="32"/>
    </row>
    <row r="7204" spans="21:21" ht="12.5">
      <c r="U7204" s="32"/>
    </row>
    <row r="7205" spans="21:21" ht="12.5">
      <c r="U7205" s="32"/>
    </row>
    <row r="7206" spans="21:21" ht="12.5">
      <c r="U7206" s="32"/>
    </row>
    <row r="7207" spans="21:21" ht="12.5">
      <c r="U7207" s="32"/>
    </row>
    <row r="7208" spans="21:21" ht="12.5">
      <c r="U7208" s="32"/>
    </row>
    <row r="7209" spans="21:21" ht="12.5">
      <c r="U7209" s="32"/>
    </row>
    <row r="7210" spans="21:21" ht="12.5">
      <c r="U7210" s="32"/>
    </row>
    <row r="7211" spans="21:21" ht="12.5">
      <c r="U7211" s="32"/>
    </row>
    <row r="7212" spans="21:21" ht="12.5">
      <c r="U7212" s="32"/>
    </row>
    <row r="7213" spans="21:21" ht="12.5">
      <c r="U7213" s="32"/>
    </row>
    <row r="7214" spans="21:21" ht="12.5">
      <c r="U7214" s="32"/>
    </row>
    <row r="7215" spans="21:21" ht="12.5">
      <c r="U7215" s="32"/>
    </row>
    <row r="7216" spans="21:21" ht="12.5">
      <c r="U7216" s="32"/>
    </row>
    <row r="7217" spans="21:21" ht="12.5">
      <c r="U7217" s="32"/>
    </row>
    <row r="7218" spans="21:21" ht="12.5">
      <c r="U7218" s="32"/>
    </row>
    <row r="7219" spans="21:21" ht="12.5">
      <c r="U7219" s="32"/>
    </row>
    <row r="7220" spans="21:21" ht="12.5">
      <c r="U7220" s="32"/>
    </row>
    <row r="7221" spans="21:21" ht="12.5">
      <c r="U7221" s="32"/>
    </row>
    <row r="7222" spans="21:21" ht="12.5">
      <c r="U7222" s="32"/>
    </row>
    <row r="7223" spans="21:21" ht="12.5">
      <c r="U7223" s="32"/>
    </row>
    <row r="7224" spans="21:21" ht="12.5">
      <c r="U7224" s="32"/>
    </row>
    <row r="7225" spans="21:21" ht="12.5">
      <c r="U7225" s="32"/>
    </row>
    <row r="7226" spans="21:21" ht="12.5">
      <c r="U7226" s="32"/>
    </row>
    <row r="7227" spans="21:21" ht="12.5">
      <c r="U7227" s="32"/>
    </row>
    <row r="7228" spans="21:21" ht="12.5">
      <c r="U7228" s="32"/>
    </row>
    <row r="7229" spans="21:21" ht="12.5">
      <c r="U7229" s="32"/>
    </row>
    <row r="7230" spans="21:21" ht="12.5">
      <c r="U7230" s="32"/>
    </row>
    <row r="7231" spans="21:21" ht="12.5">
      <c r="U7231" s="32"/>
    </row>
    <row r="7232" spans="21:21" ht="12.5">
      <c r="U7232" s="32"/>
    </row>
    <row r="7233" spans="21:21" ht="12.5">
      <c r="U7233" s="32"/>
    </row>
    <row r="7234" spans="21:21" ht="12.5">
      <c r="U7234" s="32"/>
    </row>
    <row r="7235" spans="21:21" ht="12.5">
      <c r="U7235" s="32"/>
    </row>
    <row r="7236" spans="21:21" ht="12.5">
      <c r="U7236" s="32"/>
    </row>
    <row r="7237" spans="21:21" ht="12.5">
      <c r="U7237" s="32"/>
    </row>
    <row r="7238" spans="21:21" ht="12.5">
      <c r="U7238" s="32"/>
    </row>
    <row r="7239" spans="21:21" ht="12.5">
      <c r="U7239" s="32"/>
    </row>
    <row r="7240" spans="21:21" ht="12.5">
      <c r="U7240" s="32"/>
    </row>
    <row r="7241" spans="21:21" ht="12.5">
      <c r="U7241" s="32"/>
    </row>
    <row r="7242" spans="21:21" ht="12.5">
      <c r="U7242" s="32"/>
    </row>
    <row r="7243" spans="21:21" ht="12.5">
      <c r="U7243" s="32"/>
    </row>
    <row r="7244" spans="21:21" ht="12.5">
      <c r="U7244" s="32"/>
    </row>
    <row r="7245" spans="21:21" ht="12.5">
      <c r="U7245" s="32"/>
    </row>
    <row r="7246" spans="21:21" ht="12.5">
      <c r="U7246" s="32"/>
    </row>
    <row r="7247" spans="21:21" ht="12.5">
      <c r="U7247" s="32"/>
    </row>
    <row r="7248" spans="21:21" ht="12.5">
      <c r="U7248" s="32"/>
    </row>
    <row r="7249" spans="21:21" ht="12.5">
      <c r="U7249" s="32"/>
    </row>
    <row r="7250" spans="21:21" ht="12.5">
      <c r="U7250" s="32"/>
    </row>
    <row r="7251" spans="21:21" ht="12.5">
      <c r="U7251" s="32"/>
    </row>
    <row r="7252" spans="21:21" ht="12.5">
      <c r="U7252" s="32"/>
    </row>
    <row r="7253" spans="21:21" ht="12.5">
      <c r="U7253" s="32"/>
    </row>
    <row r="7254" spans="21:21" ht="12.5">
      <c r="U7254" s="32"/>
    </row>
    <row r="7255" spans="21:21" ht="12.5">
      <c r="U7255" s="32"/>
    </row>
    <row r="7256" spans="21:21" ht="12.5">
      <c r="U7256" s="32"/>
    </row>
    <row r="7257" spans="21:21" ht="12.5">
      <c r="U7257" s="32"/>
    </row>
    <row r="7258" spans="21:21" ht="12.5">
      <c r="U7258" s="32"/>
    </row>
    <row r="7259" spans="21:21" ht="12.5">
      <c r="U7259" s="32"/>
    </row>
    <row r="7260" spans="21:21" ht="12.5">
      <c r="U7260" s="32"/>
    </row>
    <row r="7261" spans="21:21" ht="12.5">
      <c r="U7261" s="32"/>
    </row>
    <row r="7262" spans="21:21" ht="12.5">
      <c r="U7262" s="32"/>
    </row>
    <row r="7263" spans="21:21" ht="12.5">
      <c r="U7263" s="32"/>
    </row>
    <row r="7264" spans="21:21" ht="12.5">
      <c r="U7264" s="32"/>
    </row>
    <row r="7265" spans="21:21" ht="12.5">
      <c r="U7265" s="32"/>
    </row>
    <row r="7266" spans="21:21" ht="12.5">
      <c r="U7266" s="32"/>
    </row>
    <row r="7267" spans="21:21" ht="12.5">
      <c r="U7267" s="32"/>
    </row>
    <row r="7268" spans="21:21" ht="12.5">
      <c r="U7268" s="32"/>
    </row>
    <row r="7269" spans="21:21" ht="12.5">
      <c r="U7269" s="32"/>
    </row>
    <row r="7270" spans="21:21" ht="12.5">
      <c r="U7270" s="32"/>
    </row>
    <row r="7271" spans="21:21" ht="12.5">
      <c r="U7271" s="32"/>
    </row>
    <row r="7272" spans="21:21" ht="12.5">
      <c r="U7272" s="32"/>
    </row>
    <row r="7273" spans="21:21" ht="12.5">
      <c r="U7273" s="32"/>
    </row>
    <row r="7274" spans="21:21" ht="12.5">
      <c r="U7274" s="32"/>
    </row>
    <row r="7275" spans="21:21" ht="12.5">
      <c r="U7275" s="32"/>
    </row>
    <row r="7276" spans="21:21" ht="12.5">
      <c r="U7276" s="32"/>
    </row>
    <row r="7277" spans="21:21" ht="12.5">
      <c r="U7277" s="32"/>
    </row>
    <row r="7278" spans="21:21" ht="12.5">
      <c r="U7278" s="32"/>
    </row>
    <row r="7279" spans="21:21" ht="12.5">
      <c r="U7279" s="32"/>
    </row>
    <row r="7280" spans="21:21" ht="12.5">
      <c r="U7280" s="32"/>
    </row>
    <row r="7281" spans="21:21" ht="12.5">
      <c r="U7281" s="32"/>
    </row>
    <row r="7282" spans="21:21" ht="12.5">
      <c r="U7282" s="32"/>
    </row>
    <row r="7283" spans="21:21" ht="12.5">
      <c r="U7283" s="32"/>
    </row>
    <row r="7284" spans="21:21" ht="12.5">
      <c r="U7284" s="32"/>
    </row>
    <row r="7285" spans="21:21" ht="12.5">
      <c r="U7285" s="32"/>
    </row>
    <row r="7286" spans="21:21" ht="12.5">
      <c r="U7286" s="32"/>
    </row>
    <row r="7287" spans="21:21" ht="12.5">
      <c r="U7287" s="32"/>
    </row>
    <row r="7288" spans="21:21" ht="12.5">
      <c r="U7288" s="32"/>
    </row>
    <row r="7289" spans="21:21" ht="12.5">
      <c r="U7289" s="32"/>
    </row>
    <row r="7290" spans="21:21" ht="12.5">
      <c r="U7290" s="32"/>
    </row>
    <row r="7291" spans="21:21" ht="12.5">
      <c r="U7291" s="32"/>
    </row>
    <row r="7292" spans="21:21" ht="12.5">
      <c r="U7292" s="32"/>
    </row>
    <row r="7293" spans="21:21" ht="12.5">
      <c r="U7293" s="32"/>
    </row>
    <row r="7294" spans="21:21" ht="12.5">
      <c r="U7294" s="32"/>
    </row>
    <row r="7295" spans="21:21" ht="12.5">
      <c r="U7295" s="32"/>
    </row>
    <row r="7296" spans="21:21" ht="12.5">
      <c r="U7296" s="32"/>
    </row>
    <row r="7297" spans="21:21" ht="12.5">
      <c r="U7297" s="32"/>
    </row>
    <row r="7298" spans="21:21" ht="12.5">
      <c r="U7298" s="32"/>
    </row>
    <row r="7299" spans="21:21" ht="12.5">
      <c r="U7299" s="32"/>
    </row>
    <row r="7300" spans="21:21" ht="12.5">
      <c r="U7300" s="32"/>
    </row>
    <row r="7301" spans="21:21" ht="12.5">
      <c r="U7301" s="32"/>
    </row>
    <row r="7302" spans="21:21" ht="12.5">
      <c r="U7302" s="32"/>
    </row>
    <row r="7303" spans="21:21" ht="12.5">
      <c r="U7303" s="32"/>
    </row>
    <row r="7304" spans="21:21" ht="12.5">
      <c r="U7304" s="32"/>
    </row>
    <row r="7305" spans="21:21" ht="12.5">
      <c r="U7305" s="32"/>
    </row>
    <row r="7306" spans="21:21" ht="12.5">
      <c r="U7306" s="32"/>
    </row>
    <row r="7307" spans="21:21" ht="12.5">
      <c r="U7307" s="32"/>
    </row>
    <row r="7308" spans="21:21" ht="12.5">
      <c r="U7308" s="32"/>
    </row>
    <row r="7309" spans="21:21" ht="12.5">
      <c r="U7309" s="32"/>
    </row>
    <row r="7310" spans="21:21" ht="12.5">
      <c r="U7310" s="32"/>
    </row>
    <row r="7311" spans="21:21" ht="12.5">
      <c r="U7311" s="32"/>
    </row>
    <row r="7312" spans="21:21" ht="12.5">
      <c r="U7312" s="32"/>
    </row>
    <row r="7313" spans="21:21" ht="12.5">
      <c r="U7313" s="32"/>
    </row>
    <row r="7314" spans="21:21" ht="12.5">
      <c r="U7314" s="32"/>
    </row>
    <row r="7315" spans="21:21" ht="12.5">
      <c r="U7315" s="32"/>
    </row>
    <row r="7316" spans="21:21" ht="12.5">
      <c r="U7316" s="32"/>
    </row>
    <row r="7317" spans="21:21" ht="12.5">
      <c r="U7317" s="32"/>
    </row>
    <row r="7318" spans="21:21" ht="12.5">
      <c r="U7318" s="32"/>
    </row>
    <row r="7319" spans="21:21" ht="12.5">
      <c r="U7319" s="32"/>
    </row>
    <row r="7320" spans="21:21" ht="12.5">
      <c r="U7320" s="32"/>
    </row>
    <row r="7321" spans="21:21" ht="12.5">
      <c r="U7321" s="32"/>
    </row>
    <row r="7322" spans="21:21" ht="12.5">
      <c r="U7322" s="32"/>
    </row>
    <row r="7323" spans="21:21" ht="12.5">
      <c r="U7323" s="32"/>
    </row>
    <row r="7324" spans="21:21" ht="12.5">
      <c r="U7324" s="32"/>
    </row>
    <row r="7325" spans="21:21" ht="12.5">
      <c r="U7325" s="32"/>
    </row>
    <row r="7326" spans="21:21" ht="12.5">
      <c r="U7326" s="32"/>
    </row>
    <row r="7327" spans="21:21" ht="12.5">
      <c r="U7327" s="32"/>
    </row>
    <row r="7328" spans="21:21" ht="12.5">
      <c r="U7328" s="32"/>
    </row>
    <row r="7329" spans="21:21" ht="12.5">
      <c r="U7329" s="32"/>
    </row>
    <row r="7330" spans="21:21" ht="12.5">
      <c r="U7330" s="32"/>
    </row>
    <row r="7331" spans="21:21" ht="12.5">
      <c r="U7331" s="32"/>
    </row>
    <row r="7332" spans="21:21" ht="12.5">
      <c r="U7332" s="32"/>
    </row>
    <row r="7333" spans="21:21" ht="12.5">
      <c r="U7333" s="32"/>
    </row>
    <row r="7334" spans="21:21" ht="12.5">
      <c r="U7334" s="32"/>
    </row>
    <row r="7335" spans="21:21" ht="12.5">
      <c r="U7335" s="32"/>
    </row>
    <row r="7336" spans="21:21" ht="12.5">
      <c r="U7336" s="32"/>
    </row>
    <row r="7337" spans="21:21" ht="12.5">
      <c r="U7337" s="32"/>
    </row>
    <row r="7338" spans="21:21" ht="12.5">
      <c r="U7338" s="32"/>
    </row>
    <row r="7339" spans="21:21" ht="12.5">
      <c r="U7339" s="32"/>
    </row>
    <row r="7340" spans="21:21" ht="12.5">
      <c r="U7340" s="32"/>
    </row>
    <row r="7341" spans="21:21" ht="12.5">
      <c r="U7341" s="32"/>
    </row>
    <row r="7342" spans="21:21" ht="12.5">
      <c r="U7342" s="32"/>
    </row>
    <row r="7343" spans="21:21" ht="12.5">
      <c r="U7343" s="32"/>
    </row>
    <row r="7344" spans="21:21" ht="12.5">
      <c r="U7344" s="32"/>
    </row>
    <row r="7345" spans="21:21" ht="12.5">
      <c r="U7345" s="32"/>
    </row>
    <row r="7346" spans="21:21" ht="12.5">
      <c r="U7346" s="32"/>
    </row>
    <row r="7347" spans="21:21" ht="12.5">
      <c r="U7347" s="32"/>
    </row>
    <row r="7348" spans="21:21" ht="12.5">
      <c r="U7348" s="32"/>
    </row>
    <row r="7349" spans="21:21" ht="12.5">
      <c r="U7349" s="32"/>
    </row>
    <row r="7350" spans="21:21" ht="12.5">
      <c r="U7350" s="32"/>
    </row>
    <row r="7351" spans="21:21" ht="12.5">
      <c r="U7351" s="32"/>
    </row>
    <row r="7352" spans="21:21" ht="12.5">
      <c r="U7352" s="32"/>
    </row>
    <row r="7353" spans="21:21" ht="12.5">
      <c r="U7353" s="32"/>
    </row>
    <row r="7354" spans="21:21" ht="12.5">
      <c r="U7354" s="32"/>
    </row>
    <row r="7355" spans="21:21" ht="12.5">
      <c r="U7355" s="32"/>
    </row>
    <row r="7356" spans="21:21" ht="12.5">
      <c r="U7356" s="32"/>
    </row>
    <row r="7357" spans="21:21" ht="12.5">
      <c r="U7357" s="32"/>
    </row>
    <row r="7358" spans="21:21" ht="12.5">
      <c r="U7358" s="32"/>
    </row>
    <row r="7359" spans="21:21" ht="12.5">
      <c r="U7359" s="32"/>
    </row>
    <row r="7360" spans="21:21" ht="12.5">
      <c r="U7360" s="32"/>
    </row>
    <row r="7361" spans="21:21" ht="12.5">
      <c r="U7361" s="32"/>
    </row>
    <row r="7362" spans="21:21" ht="12.5">
      <c r="U7362" s="32"/>
    </row>
    <row r="7363" spans="21:21" ht="12.5">
      <c r="U7363" s="32"/>
    </row>
    <row r="7364" spans="21:21" ht="12.5">
      <c r="U7364" s="32"/>
    </row>
    <row r="7365" spans="21:21" ht="12.5">
      <c r="U7365" s="32"/>
    </row>
    <row r="7366" spans="21:21" ht="12.5">
      <c r="U7366" s="32"/>
    </row>
    <row r="7367" spans="21:21" ht="12.5">
      <c r="U7367" s="32"/>
    </row>
    <row r="7368" spans="21:21" ht="12.5">
      <c r="U7368" s="32"/>
    </row>
    <row r="7369" spans="21:21" ht="12.5">
      <c r="U7369" s="32"/>
    </row>
    <row r="7370" spans="21:21" ht="12.5">
      <c r="U7370" s="32"/>
    </row>
    <row r="7371" spans="21:21" ht="12.5">
      <c r="U7371" s="32"/>
    </row>
    <row r="7372" spans="21:21" ht="12.5">
      <c r="U7372" s="32"/>
    </row>
    <row r="7373" spans="21:21" ht="12.5">
      <c r="U7373" s="32"/>
    </row>
    <row r="7374" spans="21:21" ht="12.5">
      <c r="U7374" s="32"/>
    </row>
    <row r="7375" spans="21:21" ht="12.5">
      <c r="U7375" s="32"/>
    </row>
    <row r="7376" spans="21:21" ht="12.5">
      <c r="U7376" s="32"/>
    </row>
    <row r="7377" spans="21:21" ht="12.5">
      <c r="U7377" s="32"/>
    </row>
    <row r="7378" spans="21:21" ht="12.5">
      <c r="U7378" s="32"/>
    </row>
    <row r="7379" spans="21:21" ht="12.5">
      <c r="U7379" s="32"/>
    </row>
    <row r="7380" spans="21:21" ht="12.5">
      <c r="U7380" s="32"/>
    </row>
    <row r="7381" spans="21:21" ht="12.5">
      <c r="U7381" s="32"/>
    </row>
    <row r="7382" spans="21:21" ht="12.5">
      <c r="U7382" s="32"/>
    </row>
    <row r="7383" spans="21:21" ht="12.5">
      <c r="U7383" s="32"/>
    </row>
    <row r="7384" spans="21:21" ht="12.5">
      <c r="U7384" s="32"/>
    </row>
    <row r="7385" spans="21:21" ht="12.5">
      <c r="U7385" s="32"/>
    </row>
    <row r="7386" spans="21:21" ht="12.5">
      <c r="U7386" s="32"/>
    </row>
    <row r="7387" spans="21:21" ht="12.5">
      <c r="U7387" s="32"/>
    </row>
    <row r="7388" spans="21:21" ht="12.5">
      <c r="U7388" s="32"/>
    </row>
    <row r="7389" spans="21:21" ht="12.5">
      <c r="U7389" s="32"/>
    </row>
    <row r="7390" spans="21:21" ht="12.5">
      <c r="U7390" s="32"/>
    </row>
    <row r="7391" spans="21:21" ht="12.5">
      <c r="U7391" s="32"/>
    </row>
    <row r="7392" spans="21:21" ht="12.5">
      <c r="U7392" s="32"/>
    </row>
    <row r="7393" spans="21:21" ht="12.5">
      <c r="U7393" s="32"/>
    </row>
    <row r="7394" spans="21:21" ht="12.5">
      <c r="U7394" s="32"/>
    </row>
    <row r="7395" spans="21:21" ht="12.5">
      <c r="U7395" s="32"/>
    </row>
    <row r="7396" spans="21:21" ht="12.5">
      <c r="U7396" s="32"/>
    </row>
    <row r="7397" spans="21:21" ht="12.5">
      <c r="U7397" s="32"/>
    </row>
    <row r="7398" spans="21:21" ht="12.5">
      <c r="U7398" s="32"/>
    </row>
    <row r="7399" spans="21:21" ht="12.5">
      <c r="U7399" s="32"/>
    </row>
    <row r="7400" spans="21:21" ht="12.5">
      <c r="U7400" s="32"/>
    </row>
    <row r="7401" spans="21:21" ht="12.5">
      <c r="U7401" s="32"/>
    </row>
    <row r="7402" spans="21:21" ht="12.5">
      <c r="U7402" s="32"/>
    </row>
    <row r="7403" spans="21:21" ht="12.5">
      <c r="U7403" s="32"/>
    </row>
    <row r="7404" spans="21:21" ht="12.5">
      <c r="U7404" s="32"/>
    </row>
    <row r="7405" spans="21:21" ht="12.5">
      <c r="U7405" s="32"/>
    </row>
    <row r="7406" spans="21:21" ht="12.5">
      <c r="U7406" s="32"/>
    </row>
    <row r="7407" spans="21:21" ht="12.5">
      <c r="U7407" s="32"/>
    </row>
    <row r="7408" spans="21:21" ht="12.5">
      <c r="U7408" s="32"/>
    </row>
    <row r="7409" spans="21:21" ht="12.5">
      <c r="U7409" s="32"/>
    </row>
    <row r="7410" spans="21:21" ht="12.5">
      <c r="U7410" s="32"/>
    </row>
    <row r="7411" spans="21:21" ht="12.5">
      <c r="U7411" s="32"/>
    </row>
    <row r="7412" spans="21:21" ht="12.5">
      <c r="U7412" s="32"/>
    </row>
    <row r="7413" spans="21:21" ht="12.5">
      <c r="U7413" s="32"/>
    </row>
    <row r="7414" spans="21:21" ht="12.5">
      <c r="U7414" s="32"/>
    </row>
    <row r="7415" spans="21:21" ht="12.5">
      <c r="U7415" s="32"/>
    </row>
    <row r="7416" spans="21:21" ht="12.5">
      <c r="U7416" s="32"/>
    </row>
    <row r="7417" spans="21:21" ht="12.5">
      <c r="U7417" s="32"/>
    </row>
    <row r="7418" spans="21:21" ht="12.5">
      <c r="U7418" s="32"/>
    </row>
    <row r="7419" spans="21:21" ht="12.5">
      <c r="U7419" s="32"/>
    </row>
    <row r="7420" spans="21:21" ht="12.5">
      <c r="U7420" s="32"/>
    </row>
    <row r="7421" spans="21:21" ht="12.5">
      <c r="U7421" s="32"/>
    </row>
    <row r="7422" spans="21:21" ht="12.5">
      <c r="U7422" s="32"/>
    </row>
    <row r="7423" spans="21:21" ht="12.5">
      <c r="U7423" s="32"/>
    </row>
    <row r="7424" spans="21:21" ht="12.5">
      <c r="U7424" s="32"/>
    </row>
    <row r="7425" spans="21:21" ht="12.5">
      <c r="U7425" s="32"/>
    </row>
    <row r="7426" spans="21:21" ht="12.5">
      <c r="U7426" s="32"/>
    </row>
    <row r="7427" spans="21:21" ht="12.5">
      <c r="U7427" s="32"/>
    </row>
    <row r="7428" spans="21:21" ht="12.5">
      <c r="U7428" s="32"/>
    </row>
    <row r="7429" spans="21:21" ht="12.5">
      <c r="U7429" s="32"/>
    </row>
    <row r="7430" spans="21:21" ht="12.5">
      <c r="U7430" s="32"/>
    </row>
    <row r="7431" spans="21:21" ht="12.5">
      <c r="U7431" s="32"/>
    </row>
    <row r="7432" spans="21:21" ht="12.5">
      <c r="U7432" s="32"/>
    </row>
    <row r="7433" spans="21:21" ht="12.5">
      <c r="U7433" s="32"/>
    </row>
    <row r="7434" spans="21:21" ht="12.5">
      <c r="U7434" s="32"/>
    </row>
    <row r="7435" spans="21:21" ht="12.5">
      <c r="U7435" s="32"/>
    </row>
    <row r="7436" spans="21:21" ht="12.5">
      <c r="U7436" s="32"/>
    </row>
    <row r="7437" spans="21:21" ht="12.5">
      <c r="U7437" s="32"/>
    </row>
    <row r="7438" spans="21:21" ht="12.5">
      <c r="U7438" s="32"/>
    </row>
    <row r="7439" spans="21:21" ht="12.5">
      <c r="U7439" s="32"/>
    </row>
    <row r="7440" spans="21:21" ht="12.5">
      <c r="U7440" s="32"/>
    </row>
    <row r="7441" spans="21:21" ht="12.5">
      <c r="U7441" s="32"/>
    </row>
    <row r="7442" spans="21:21" ht="12.5">
      <c r="U7442" s="32"/>
    </row>
    <row r="7443" spans="21:21" ht="12.5">
      <c r="U7443" s="32"/>
    </row>
    <row r="7444" spans="21:21" ht="12.5">
      <c r="U7444" s="32"/>
    </row>
    <row r="7445" spans="21:21" ht="12.5">
      <c r="U7445" s="32"/>
    </row>
    <row r="7446" spans="21:21" ht="12.5">
      <c r="U7446" s="32"/>
    </row>
    <row r="7447" spans="21:21" ht="12.5">
      <c r="U7447" s="32"/>
    </row>
    <row r="7448" spans="21:21" ht="12.5">
      <c r="U7448" s="32"/>
    </row>
    <row r="7449" spans="21:21" ht="12.5">
      <c r="U7449" s="32"/>
    </row>
    <row r="7450" spans="21:21" ht="12.5">
      <c r="U7450" s="32"/>
    </row>
    <row r="7451" spans="21:21" ht="12.5">
      <c r="U7451" s="32"/>
    </row>
    <row r="7452" spans="21:21" ht="12.5">
      <c r="U7452" s="32"/>
    </row>
    <row r="7453" spans="21:21" ht="12.5">
      <c r="U7453" s="32"/>
    </row>
    <row r="7454" spans="21:21" ht="12.5">
      <c r="U7454" s="32"/>
    </row>
    <row r="7455" spans="21:21" ht="12.5">
      <c r="U7455" s="32"/>
    </row>
    <row r="7456" spans="21:21" ht="12.5">
      <c r="U7456" s="32"/>
    </row>
    <row r="7457" spans="21:21" ht="12.5">
      <c r="U7457" s="32"/>
    </row>
    <row r="7458" spans="21:21" ht="12.5">
      <c r="U7458" s="32"/>
    </row>
    <row r="7459" spans="21:21" ht="12.5">
      <c r="U7459" s="32"/>
    </row>
    <row r="7460" spans="21:21" ht="12.5">
      <c r="U7460" s="32"/>
    </row>
    <row r="7461" spans="21:21" ht="12.5">
      <c r="U7461" s="32"/>
    </row>
    <row r="7462" spans="21:21" ht="12.5">
      <c r="U7462" s="32"/>
    </row>
    <row r="7463" spans="21:21" ht="12.5">
      <c r="U7463" s="32"/>
    </row>
    <row r="7464" spans="21:21" ht="12.5">
      <c r="U7464" s="32"/>
    </row>
    <row r="7465" spans="21:21" ht="12.5">
      <c r="U7465" s="32"/>
    </row>
    <row r="7466" spans="21:21" ht="12.5">
      <c r="U7466" s="32"/>
    </row>
    <row r="7467" spans="21:21" ht="12.5">
      <c r="U7467" s="32"/>
    </row>
    <row r="7468" spans="21:21" ht="12.5">
      <c r="U7468" s="32"/>
    </row>
    <row r="7469" spans="21:21" ht="12.5">
      <c r="U7469" s="32"/>
    </row>
    <row r="7470" spans="21:21" ht="12.5">
      <c r="U7470" s="32"/>
    </row>
    <row r="7471" spans="21:21" ht="12.5">
      <c r="U7471" s="32"/>
    </row>
    <row r="7472" spans="21:21" ht="12.5">
      <c r="U7472" s="32"/>
    </row>
    <row r="7473" spans="21:21" ht="12.5">
      <c r="U7473" s="32"/>
    </row>
    <row r="7474" spans="21:21" ht="12.5">
      <c r="U7474" s="32"/>
    </row>
    <row r="7475" spans="21:21" ht="12.5">
      <c r="U7475" s="32"/>
    </row>
    <row r="7476" spans="21:21" ht="12.5">
      <c r="U7476" s="32"/>
    </row>
    <row r="7477" spans="21:21" ht="12.5">
      <c r="U7477" s="32"/>
    </row>
    <row r="7478" spans="21:21" ht="12.5">
      <c r="U7478" s="32"/>
    </row>
    <row r="7479" spans="21:21" ht="12.5">
      <c r="U7479" s="32"/>
    </row>
    <row r="7480" spans="21:21" ht="12.5">
      <c r="U7480" s="32"/>
    </row>
    <row r="7481" spans="21:21" ht="12.5">
      <c r="U7481" s="32"/>
    </row>
    <row r="7482" spans="21:21" ht="12.5">
      <c r="U7482" s="32"/>
    </row>
    <row r="7483" spans="21:21" ht="12.5">
      <c r="U7483" s="32"/>
    </row>
    <row r="7484" spans="21:21" ht="12.5">
      <c r="U7484" s="32"/>
    </row>
    <row r="7485" spans="21:21" ht="12.5">
      <c r="U7485" s="32"/>
    </row>
    <row r="7486" spans="21:21" ht="12.5">
      <c r="U7486" s="32"/>
    </row>
    <row r="7487" spans="21:21" ht="12.5">
      <c r="U7487" s="32"/>
    </row>
    <row r="7488" spans="21:21" ht="12.5">
      <c r="U7488" s="32"/>
    </row>
    <row r="7489" spans="21:21" ht="12.5">
      <c r="U7489" s="32"/>
    </row>
    <row r="7490" spans="21:21" ht="12.5">
      <c r="U7490" s="32"/>
    </row>
    <row r="7491" spans="21:21" ht="12.5">
      <c r="U7491" s="32"/>
    </row>
    <row r="7492" spans="21:21" ht="12.5">
      <c r="U7492" s="32"/>
    </row>
    <row r="7493" spans="21:21" ht="12.5">
      <c r="U7493" s="32"/>
    </row>
    <row r="7494" spans="21:21" ht="12.5">
      <c r="U7494" s="32"/>
    </row>
    <row r="7495" spans="21:21" ht="12.5">
      <c r="U7495" s="32"/>
    </row>
    <row r="7496" spans="21:21" ht="12.5">
      <c r="U7496" s="32"/>
    </row>
    <row r="7497" spans="21:21" ht="12.5">
      <c r="U7497" s="32"/>
    </row>
    <row r="7498" spans="21:21" ht="12.5">
      <c r="U7498" s="32"/>
    </row>
    <row r="7499" spans="21:21" ht="12.5">
      <c r="U7499" s="32"/>
    </row>
    <row r="7500" spans="21:21" ht="12.5">
      <c r="U7500" s="32"/>
    </row>
    <row r="7501" spans="21:21" ht="12.5">
      <c r="U7501" s="32"/>
    </row>
    <row r="7502" spans="21:21" ht="12.5">
      <c r="U7502" s="32"/>
    </row>
    <row r="7503" spans="21:21" ht="12.5">
      <c r="U7503" s="32"/>
    </row>
    <row r="7504" spans="21:21" ht="12.5">
      <c r="U7504" s="32"/>
    </row>
    <row r="7505" spans="21:21" ht="12.5">
      <c r="U7505" s="32"/>
    </row>
    <row r="7506" spans="21:21" ht="12.5">
      <c r="U7506" s="32"/>
    </row>
    <row r="7507" spans="21:21" ht="12.5">
      <c r="U7507" s="32"/>
    </row>
    <row r="7508" spans="21:21" ht="12.5">
      <c r="U7508" s="32"/>
    </row>
    <row r="7509" spans="21:21" ht="12.5">
      <c r="U7509" s="32"/>
    </row>
    <row r="7510" spans="21:21" ht="12.5">
      <c r="U7510" s="32"/>
    </row>
    <row r="7511" spans="21:21" ht="12.5">
      <c r="U7511" s="32"/>
    </row>
    <row r="7512" spans="21:21" ht="12.5">
      <c r="U7512" s="32"/>
    </row>
    <row r="7513" spans="21:21" ht="12.5">
      <c r="U7513" s="32"/>
    </row>
    <row r="7514" spans="21:21" ht="12.5">
      <c r="U7514" s="32"/>
    </row>
    <row r="7515" spans="21:21" ht="12.5">
      <c r="U7515" s="32"/>
    </row>
    <row r="7516" spans="21:21" ht="12.5">
      <c r="U7516" s="32"/>
    </row>
    <row r="7517" spans="21:21" ht="12.5">
      <c r="U7517" s="32"/>
    </row>
    <row r="7518" spans="21:21" ht="12.5">
      <c r="U7518" s="32"/>
    </row>
    <row r="7519" spans="21:21" ht="12.5">
      <c r="U7519" s="32"/>
    </row>
    <row r="7520" spans="21:21" ht="12.5">
      <c r="U7520" s="32"/>
    </row>
    <row r="7521" spans="21:21" ht="12.5">
      <c r="U7521" s="32"/>
    </row>
    <row r="7522" spans="21:21" ht="12.5">
      <c r="U7522" s="32"/>
    </row>
    <row r="7523" spans="21:21" ht="12.5">
      <c r="U7523" s="32"/>
    </row>
    <row r="7524" spans="21:21" ht="12.5">
      <c r="U7524" s="32"/>
    </row>
    <row r="7525" spans="21:21" ht="12.5">
      <c r="U7525" s="32"/>
    </row>
    <row r="7526" spans="21:21" ht="12.5">
      <c r="U7526" s="32"/>
    </row>
    <row r="7527" spans="21:21" ht="12.5">
      <c r="U7527" s="32"/>
    </row>
    <row r="7528" spans="21:21" ht="12.5">
      <c r="U7528" s="32"/>
    </row>
    <row r="7529" spans="21:21" ht="12.5">
      <c r="U7529" s="32"/>
    </row>
    <row r="7530" spans="21:21" ht="12.5">
      <c r="U7530" s="32"/>
    </row>
    <row r="7531" spans="21:21" ht="12.5">
      <c r="U7531" s="32"/>
    </row>
    <row r="7532" spans="21:21" ht="12.5">
      <c r="U7532" s="32"/>
    </row>
    <row r="7533" spans="21:21" ht="12.5">
      <c r="U7533" s="32"/>
    </row>
    <row r="7534" spans="21:21" ht="12.5">
      <c r="U7534" s="32"/>
    </row>
    <row r="7535" spans="21:21" ht="12.5">
      <c r="U7535" s="32"/>
    </row>
    <row r="7536" spans="21:21" ht="12.5">
      <c r="U7536" s="32"/>
    </row>
    <row r="7537" spans="21:21" ht="12.5">
      <c r="U7537" s="32"/>
    </row>
    <row r="7538" spans="21:21" ht="12.5">
      <c r="U7538" s="32"/>
    </row>
    <row r="7539" spans="21:21" ht="12.5">
      <c r="U7539" s="32"/>
    </row>
    <row r="7540" spans="21:21" ht="12.5">
      <c r="U7540" s="32"/>
    </row>
    <row r="7541" spans="21:21" ht="12.5">
      <c r="U7541" s="32"/>
    </row>
    <row r="7542" spans="21:21" ht="12.5">
      <c r="U7542" s="32"/>
    </row>
    <row r="7543" spans="21:21" ht="12.5">
      <c r="U7543" s="32"/>
    </row>
    <row r="7544" spans="21:21" ht="12.5">
      <c r="U7544" s="32"/>
    </row>
    <row r="7545" spans="21:21" ht="12.5">
      <c r="U7545" s="32"/>
    </row>
    <row r="7546" spans="21:21" ht="12.5">
      <c r="U7546" s="32"/>
    </row>
    <row r="7547" spans="21:21" ht="12.5">
      <c r="U7547" s="32"/>
    </row>
    <row r="7548" spans="21:21" ht="12.5">
      <c r="U7548" s="32"/>
    </row>
    <row r="7549" spans="21:21" ht="12.5">
      <c r="U7549" s="32"/>
    </row>
    <row r="7550" spans="21:21" ht="12.5">
      <c r="U7550" s="32"/>
    </row>
    <row r="7551" spans="21:21" ht="12.5">
      <c r="U7551" s="32"/>
    </row>
    <row r="7552" spans="21:21" ht="12.5">
      <c r="U7552" s="32"/>
    </row>
    <row r="7553" spans="21:21" ht="12.5">
      <c r="U7553" s="32"/>
    </row>
    <row r="7554" spans="21:21" ht="12.5">
      <c r="U7554" s="32"/>
    </row>
    <row r="7555" spans="21:21" ht="12.5">
      <c r="U7555" s="32"/>
    </row>
    <row r="7556" spans="21:21" ht="12.5">
      <c r="U7556" s="32"/>
    </row>
    <row r="7557" spans="21:21" ht="12.5">
      <c r="U7557" s="32"/>
    </row>
    <row r="7558" spans="21:21" ht="12.5">
      <c r="U7558" s="32"/>
    </row>
    <row r="7559" spans="21:21" ht="12.5">
      <c r="U7559" s="32"/>
    </row>
    <row r="7560" spans="21:21" ht="12.5">
      <c r="U7560" s="32"/>
    </row>
    <row r="7561" spans="21:21" ht="12.5">
      <c r="U7561" s="32"/>
    </row>
    <row r="7562" spans="21:21" ht="12.5">
      <c r="U7562" s="32"/>
    </row>
    <row r="7563" spans="21:21" ht="12.5">
      <c r="U7563" s="32"/>
    </row>
    <row r="7564" spans="21:21" ht="12.5">
      <c r="U7564" s="32"/>
    </row>
    <row r="7565" spans="21:21" ht="12.5">
      <c r="U7565" s="32"/>
    </row>
    <row r="7566" spans="21:21" ht="12.5">
      <c r="U7566" s="32"/>
    </row>
    <row r="7567" spans="21:21" ht="12.5">
      <c r="U7567" s="32"/>
    </row>
    <row r="7568" spans="21:21" ht="12.5">
      <c r="U7568" s="32"/>
    </row>
    <row r="7569" spans="21:21" ht="12.5">
      <c r="U7569" s="32"/>
    </row>
    <row r="7570" spans="21:21" ht="12.5">
      <c r="U7570" s="32"/>
    </row>
    <row r="7571" spans="21:21" ht="12.5">
      <c r="U7571" s="32"/>
    </row>
    <row r="7572" spans="21:21" ht="12.5">
      <c r="U7572" s="32"/>
    </row>
    <row r="7573" spans="21:21" ht="12.5">
      <c r="U7573" s="32"/>
    </row>
    <row r="7574" spans="21:21" ht="12.5">
      <c r="U7574" s="32"/>
    </row>
    <row r="7575" spans="21:21" ht="12.5">
      <c r="U7575" s="32"/>
    </row>
    <row r="7576" spans="21:21" ht="12.5">
      <c r="U7576" s="32"/>
    </row>
    <row r="7577" spans="21:21" ht="12.5">
      <c r="U7577" s="32"/>
    </row>
    <row r="7578" spans="21:21" ht="12.5">
      <c r="U7578" s="32"/>
    </row>
    <row r="7579" spans="21:21" ht="12.5">
      <c r="U7579" s="32"/>
    </row>
    <row r="7580" spans="21:21" ht="12.5">
      <c r="U7580" s="32"/>
    </row>
    <row r="7581" spans="21:21" ht="12.5">
      <c r="U7581" s="32"/>
    </row>
    <row r="7582" spans="21:21" ht="12.5">
      <c r="U7582" s="32"/>
    </row>
    <row r="7583" spans="21:21" ht="12.5">
      <c r="U7583" s="32"/>
    </row>
    <row r="7584" spans="21:21" ht="12.5">
      <c r="U7584" s="32"/>
    </row>
    <row r="7585" spans="21:21" ht="12.5">
      <c r="U7585" s="32"/>
    </row>
    <row r="7586" spans="21:21" ht="12.5">
      <c r="U7586" s="32"/>
    </row>
    <row r="7587" spans="21:21" ht="12.5">
      <c r="U7587" s="32"/>
    </row>
    <row r="7588" spans="21:21" ht="12.5">
      <c r="U7588" s="32"/>
    </row>
    <row r="7589" spans="21:21" ht="12.5">
      <c r="U7589" s="32"/>
    </row>
    <row r="7590" spans="21:21" ht="12.5">
      <c r="U7590" s="32"/>
    </row>
    <row r="7591" spans="21:21" ht="12.5">
      <c r="U7591" s="32"/>
    </row>
    <row r="7592" spans="21:21" ht="12.5">
      <c r="U7592" s="32"/>
    </row>
    <row r="7593" spans="21:21" ht="12.5">
      <c r="U7593" s="32"/>
    </row>
    <row r="7594" spans="21:21" ht="12.5">
      <c r="U7594" s="32"/>
    </row>
    <row r="7595" spans="21:21" ht="12.5">
      <c r="U7595" s="32"/>
    </row>
    <row r="7596" spans="21:21" ht="12.5">
      <c r="U7596" s="32"/>
    </row>
    <row r="7597" spans="21:21" ht="12.5">
      <c r="U7597" s="32"/>
    </row>
    <row r="7598" spans="21:21" ht="12.5">
      <c r="U7598" s="32"/>
    </row>
    <row r="7599" spans="21:21" ht="12.5">
      <c r="U7599" s="32"/>
    </row>
    <row r="7600" spans="21:21" ht="12.5">
      <c r="U7600" s="32"/>
    </row>
    <row r="7601" spans="21:21" ht="12.5">
      <c r="U7601" s="32"/>
    </row>
    <row r="7602" spans="21:21" ht="12.5">
      <c r="U7602" s="32"/>
    </row>
    <row r="7603" spans="21:21" ht="12.5">
      <c r="U7603" s="32"/>
    </row>
    <row r="7604" spans="21:21" ht="12.5">
      <c r="U7604" s="32"/>
    </row>
    <row r="7605" spans="21:21" ht="12.5">
      <c r="U7605" s="32"/>
    </row>
    <row r="7606" spans="21:21" ht="12.5">
      <c r="U7606" s="32"/>
    </row>
    <row r="7607" spans="21:21" ht="12.5">
      <c r="U7607" s="32"/>
    </row>
    <row r="7608" spans="21:21" ht="12.5">
      <c r="U7608" s="32"/>
    </row>
    <row r="7609" spans="21:21" ht="12.5">
      <c r="U7609" s="32"/>
    </row>
    <row r="7610" spans="21:21" ht="12.5">
      <c r="U7610" s="32"/>
    </row>
    <row r="7611" spans="21:21" ht="12.5">
      <c r="U7611" s="32"/>
    </row>
    <row r="7612" spans="21:21" ht="12.5">
      <c r="U7612" s="32"/>
    </row>
    <row r="7613" spans="21:21" ht="12.5">
      <c r="U7613" s="32"/>
    </row>
    <row r="7614" spans="21:21" ht="12.5">
      <c r="U7614" s="32"/>
    </row>
    <row r="7615" spans="21:21" ht="12.5">
      <c r="U7615" s="32"/>
    </row>
    <row r="7616" spans="21:21" ht="12.5">
      <c r="U7616" s="32"/>
    </row>
    <row r="7617" spans="21:21" ht="12.5">
      <c r="U7617" s="32"/>
    </row>
    <row r="7618" spans="21:21" ht="12.5">
      <c r="U7618" s="32"/>
    </row>
    <row r="7619" spans="21:21" ht="12.5">
      <c r="U7619" s="32"/>
    </row>
    <row r="7620" spans="21:21" ht="12.5">
      <c r="U7620" s="32"/>
    </row>
    <row r="7621" spans="21:21" ht="12.5">
      <c r="U7621" s="32"/>
    </row>
    <row r="7622" spans="21:21" ht="12.5">
      <c r="U7622" s="32"/>
    </row>
    <row r="7623" spans="21:21" ht="12.5">
      <c r="U7623" s="32"/>
    </row>
    <row r="7624" spans="21:21" ht="12.5">
      <c r="U7624" s="32"/>
    </row>
    <row r="7625" spans="21:21" ht="12.5">
      <c r="U7625" s="32"/>
    </row>
    <row r="7626" spans="21:21" ht="12.5">
      <c r="U7626" s="32"/>
    </row>
    <row r="7627" spans="21:21" ht="12.5">
      <c r="U7627" s="32"/>
    </row>
    <row r="7628" spans="21:21" ht="12.5">
      <c r="U7628" s="32"/>
    </row>
    <row r="7629" spans="21:21" ht="12.5">
      <c r="U7629" s="32"/>
    </row>
    <row r="7630" spans="21:21" ht="12.5">
      <c r="U7630" s="32"/>
    </row>
    <row r="7631" spans="21:21" ht="12.5">
      <c r="U7631" s="32"/>
    </row>
    <row r="7632" spans="21:21" ht="12.5">
      <c r="U7632" s="32"/>
    </row>
    <row r="7633" spans="21:21" ht="12.5">
      <c r="U7633" s="32"/>
    </row>
    <row r="7634" spans="21:21" ht="12.5">
      <c r="U7634" s="32"/>
    </row>
    <row r="7635" spans="21:21" ht="12.5">
      <c r="U7635" s="32"/>
    </row>
    <row r="7636" spans="21:21" ht="12.5">
      <c r="U7636" s="32"/>
    </row>
    <row r="7637" spans="21:21" ht="12.5">
      <c r="U7637" s="32"/>
    </row>
    <row r="7638" spans="21:21" ht="12.5">
      <c r="U7638" s="32"/>
    </row>
    <row r="7639" spans="21:21" ht="12.5">
      <c r="U7639" s="32"/>
    </row>
    <row r="7640" spans="21:21" ht="12.5">
      <c r="U7640" s="32"/>
    </row>
    <row r="7641" spans="21:21" ht="12.5">
      <c r="U7641" s="32"/>
    </row>
    <row r="7642" spans="21:21" ht="12.5">
      <c r="U7642" s="32"/>
    </row>
    <row r="7643" spans="21:21" ht="12.5">
      <c r="U7643" s="32"/>
    </row>
    <row r="7644" spans="21:21" ht="12.5">
      <c r="U7644" s="32"/>
    </row>
    <row r="7645" spans="21:21" ht="12.5">
      <c r="U7645" s="32"/>
    </row>
    <row r="7646" spans="21:21" ht="12.5">
      <c r="U7646" s="32"/>
    </row>
    <row r="7647" spans="21:21" ht="12.5">
      <c r="U7647" s="32"/>
    </row>
    <row r="7648" spans="21:21" ht="12.5">
      <c r="U7648" s="32"/>
    </row>
    <row r="7649" spans="21:21" ht="12.5">
      <c r="U7649" s="32"/>
    </row>
    <row r="7650" spans="21:21" ht="12.5">
      <c r="U7650" s="32"/>
    </row>
    <row r="7651" spans="21:21" ht="12.5">
      <c r="U7651" s="32"/>
    </row>
    <row r="7652" spans="21:21" ht="12.5">
      <c r="U7652" s="32"/>
    </row>
    <row r="7653" spans="21:21" ht="12.5">
      <c r="U7653" s="32"/>
    </row>
    <row r="7654" spans="21:21" ht="12.5">
      <c r="U7654" s="32"/>
    </row>
    <row r="7655" spans="21:21" ht="12.5">
      <c r="U7655" s="32"/>
    </row>
    <row r="7656" spans="21:21" ht="12.5">
      <c r="U7656" s="32"/>
    </row>
    <row r="7657" spans="21:21" ht="12.5">
      <c r="U7657" s="32"/>
    </row>
    <row r="7658" spans="21:21" ht="12.5">
      <c r="U7658" s="32"/>
    </row>
    <row r="7659" spans="21:21" ht="12.5">
      <c r="U7659" s="32"/>
    </row>
    <row r="7660" spans="21:21" ht="12.5">
      <c r="U7660" s="32"/>
    </row>
    <row r="7661" spans="21:21" ht="12.5">
      <c r="U7661" s="32"/>
    </row>
    <row r="7662" spans="21:21" ht="12.5">
      <c r="U7662" s="32"/>
    </row>
    <row r="7663" spans="21:21" ht="12.5">
      <c r="U7663" s="32"/>
    </row>
    <row r="7664" spans="21:21" ht="12.5">
      <c r="U7664" s="32"/>
    </row>
    <row r="7665" spans="21:21" ht="12.5">
      <c r="U7665" s="32"/>
    </row>
    <row r="7666" spans="21:21" ht="12.5">
      <c r="U7666" s="32"/>
    </row>
    <row r="7667" spans="21:21" ht="12.5">
      <c r="U7667" s="32"/>
    </row>
    <row r="7668" spans="21:21" ht="12.5">
      <c r="U7668" s="32"/>
    </row>
    <row r="7669" spans="21:21" ht="12.5">
      <c r="U7669" s="32"/>
    </row>
    <row r="7670" spans="21:21" ht="12.5">
      <c r="U7670" s="32"/>
    </row>
    <row r="7671" spans="21:21" ht="12.5">
      <c r="U7671" s="32"/>
    </row>
    <row r="7672" spans="21:21" ht="12.5">
      <c r="U7672" s="32"/>
    </row>
    <row r="7673" spans="21:21" ht="12.5">
      <c r="U7673" s="32"/>
    </row>
    <row r="7674" spans="21:21" ht="12.5">
      <c r="U7674" s="32"/>
    </row>
    <row r="7675" spans="21:21" ht="12.5">
      <c r="U7675" s="32"/>
    </row>
    <row r="7676" spans="21:21" ht="12.5">
      <c r="U7676" s="32"/>
    </row>
    <row r="7677" spans="21:21" ht="12.5">
      <c r="U7677" s="32"/>
    </row>
    <row r="7678" spans="21:21" ht="12.5">
      <c r="U7678" s="32"/>
    </row>
    <row r="7679" spans="21:21" ht="12.5">
      <c r="U7679" s="32"/>
    </row>
    <row r="7680" spans="21:21" ht="12.5">
      <c r="U7680" s="32"/>
    </row>
    <row r="7681" spans="21:21" ht="12.5">
      <c r="U7681" s="32"/>
    </row>
    <row r="7682" spans="21:21" ht="12.5">
      <c r="U7682" s="32"/>
    </row>
    <row r="7683" spans="21:21" ht="12.5">
      <c r="U7683" s="32"/>
    </row>
    <row r="7684" spans="21:21" ht="12.5">
      <c r="U7684" s="32"/>
    </row>
    <row r="7685" spans="21:21" ht="12.5">
      <c r="U7685" s="32"/>
    </row>
    <row r="7686" spans="21:21" ht="12.5">
      <c r="U7686" s="32"/>
    </row>
    <row r="7687" spans="21:21" ht="12.5">
      <c r="U7687" s="32"/>
    </row>
    <row r="7688" spans="21:21" ht="12.5">
      <c r="U7688" s="32"/>
    </row>
    <row r="7689" spans="21:21" ht="12.5">
      <c r="U7689" s="32"/>
    </row>
    <row r="7690" spans="21:21" ht="12.5">
      <c r="U7690" s="32"/>
    </row>
    <row r="7691" spans="21:21" ht="12.5">
      <c r="U7691" s="32"/>
    </row>
    <row r="7692" spans="21:21" ht="12.5">
      <c r="U7692" s="32"/>
    </row>
    <row r="7693" spans="21:21" ht="12.5">
      <c r="U7693" s="32"/>
    </row>
    <row r="7694" spans="21:21" ht="12.5">
      <c r="U7694" s="32"/>
    </row>
    <row r="7695" spans="21:21" ht="12.5">
      <c r="U7695" s="32"/>
    </row>
    <row r="7696" spans="21:21" ht="12.5">
      <c r="U7696" s="32"/>
    </row>
    <row r="7697" spans="21:21" ht="12.5">
      <c r="U7697" s="32"/>
    </row>
    <row r="7698" spans="21:21" ht="12.5">
      <c r="U7698" s="32"/>
    </row>
    <row r="7699" spans="21:21" ht="12.5">
      <c r="U7699" s="32"/>
    </row>
    <row r="7700" spans="21:21" ht="12.5">
      <c r="U7700" s="32"/>
    </row>
    <row r="7701" spans="21:21" ht="12.5">
      <c r="U7701" s="32"/>
    </row>
    <row r="7702" spans="21:21" ht="12.5">
      <c r="U7702" s="32"/>
    </row>
    <row r="7703" spans="21:21" ht="12.5">
      <c r="U7703" s="32"/>
    </row>
    <row r="7704" spans="21:21" ht="12.5">
      <c r="U7704" s="32"/>
    </row>
    <row r="7705" spans="21:21" ht="12.5">
      <c r="U7705" s="32"/>
    </row>
    <row r="7706" spans="21:21" ht="12.5">
      <c r="U7706" s="32"/>
    </row>
    <row r="7707" spans="21:21" ht="12.5">
      <c r="U7707" s="32"/>
    </row>
    <row r="7708" spans="21:21" ht="12.5">
      <c r="U7708" s="32"/>
    </row>
    <row r="7709" spans="21:21" ht="12.5">
      <c r="U7709" s="32"/>
    </row>
    <row r="7710" spans="21:21" ht="12.5">
      <c r="U7710" s="32"/>
    </row>
    <row r="7711" spans="21:21" ht="12.5">
      <c r="U7711" s="32"/>
    </row>
    <row r="7712" spans="21:21" ht="12.5">
      <c r="U7712" s="32"/>
    </row>
    <row r="7713" spans="21:21" ht="12.5">
      <c r="U7713" s="32"/>
    </row>
    <row r="7714" spans="21:21" ht="12.5">
      <c r="U7714" s="32"/>
    </row>
    <row r="7715" spans="21:21" ht="12.5">
      <c r="U7715" s="32"/>
    </row>
    <row r="7716" spans="21:21" ht="12.5">
      <c r="U7716" s="32"/>
    </row>
    <row r="7717" spans="21:21" ht="12.5">
      <c r="U7717" s="32"/>
    </row>
    <row r="7718" spans="21:21" ht="12.5">
      <c r="U7718" s="32"/>
    </row>
    <row r="7719" spans="21:21" ht="12.5">
      <c r="U7719" s="32"/>
    </row>
    <row r="7720" spans="21:21" ht="12.5">
      <c r="U7720" s="32"/>
    </row>
    <row r="7721" spans="21:21" ht="12.5">
      <c r="U7721" s="32"/>
    </row>
    <row r="7722" spans="21:21" ht="12.5">
      <c r="U7722" s="32"/>
    </row>
    <row r="7723" spans="21:21" ht="12.5">
      <c r="U7723" s="32"/>
    </row>
    <row r="7724" spans="21:21" ht="12.5">
      <c r="U7724" s="32"/>
    </row>
    <row r="7725" spans="21:21" ht="12.5">
      <c r="U7725" s="32"/>
    </row>
    <row r="7726" spans="21:21" ht="12.5">
      <c r="U7726" s="32"/>
    </row>
    <row r="7727" spans="21:21" ht="12.5">
      <c r="U7727" s="32"/>
    </row>
    <row r="7728" spans="21:21" ht="12.5">
      <c r="U7728" s="32"/>
    </row>
    <row r="7729" spans="21:21" ht="12.5">
      <c r="U7729" s="32"/>
    </row>
    <row r="7730" spans="21:21" ht="12.5">
      <c r="U7730" s="32"/>
    </row>
    <row r="7731" spans="21:21" ht="12.5">
      <c r="U7731" s="32"/>
    </row>
    <row r="7732" spans="21:21" ht="12.5">
      <c r="U7732" s="32"/>
    </row>
    <row r="7733" spans="21:21" ht="12.5">
      <c r="U7733" s="32"/>
    </row>
    <row r="7734" spans="21:21" ht="12.5">
      <c r="U7734" s="32"/>
    </row>
    <row r="7735" spans="21:21" ht="12.5">
      <c r="U7735" s="32"/>
    </row>
    <row r="7736" spans="21:21" ht="12.5">
      <c r="U7736" s="32"/>
    </row>
    <row r="7737" spans="21:21" ht="12.5">
      <c r="U7737" s="32"/>
    </row>
    <row r="7738" spans="21:21" ht="12.5">
      <c r="U7738" s="32"/>
    </row>
    <row r="7739" spans="21:21" ht="12.5">
      <c r="U7739" s="32"/>
    </row>
    <row r="7740" spans="21:21" ht="12.5">
      <c r="U7740" s="32"/>
    </row>
    <row r="7741" spans="21:21" ht="12.5">
      <c r="U7741" s="32"/>
    </row>
    <row r="7742" spans="21:21" ht="12.5">
      <c r="U7742" s="32"/>
    </row>
    <row r="7743" spans="21:21" ht="12.5">
      <c r="U7743" s="32"/>
    </row>
    <row r="7744" spans="21:21" ht="12.5">
      <c r="U7744" s="32"/>
    </row>
    <row r="7745" spans="21:21" ht="12.5">
      <c r="U7745" s="32"/>
    </row>
    <row r="7746" spans="21:21" ht="12.5">
      <c r="U7746" s="32"/>
    </row>
    <row r="7747" spans="21:21" ht="12.5">
      <c r="U7747" s="32"/>
    </row>
    <row r="7748" spans="21:21" ht="12.5">
      <c r="U7748" s="32"/>
    </row>
    <row r="7749" spans="21:21" ht="12.5">
      <c r="U7749" s="32"/>
    </row>
    <row r="7750" spans="21:21" ht="12.5">
      <c r="U7750" s="32"/>
    </row>
    <row r="7751" spans="21:21" ht="12.5">
      <c r="U7751" s="32"/>
    </row>
    <row r="7752" spans="21:21" ht="12.5">
      <c r="U7752" s="32"/>
    </row>
    <row r="7753" spans="21:21" ht="12.5">
      <c r="U7753" s="32"/>
    </row>
    <row r="7754" spans="21:21" ht="12.5">
      <c r="U7754" s="32"/>
    </row>
    <row r="7755" spans="21:21" ht="12.5">
      <c r="U7755" s="32"/>
    </row>
    <row r="7756" spans="21:21" ht="12.5">
      <c r="U7756" s="32"/>
    </row>
    <row r="7757" spans="21:21" ht="12.5">
      <c r="U7757" s="32"/>
    </row>
    <row r="7758" spans="21:21" ht="12.5">
      <c r="U7758" s="32"/>
    </row>
    <row r="7759" spans="21:21" ht="12.5">
      <c r="U7759" s="32"/>
    </row>
    <row r="7760" spans="21:21" ht="12.5">
      <c r="U7760" s="32"/>
    </row>
    <row r="7761" spans="21:21" ht="12.5">
      <c r="U7761" s="32"/>
    </row>
    <row r="7762" spans="21:21" ht="12.5">
      <c r="U7762" s="32"/>
    </row>
    <row r="7763" spans="21:21" ht="12.5">
      <c r="U7763" s="32"/>
    </row>
    <row r="7764" spans="21:21" ht="12.5">
      <c r="U7764" s="32"/>
    </row>
    <row r="7765" spans="21:21" ht="12.5">
      <c r="U7765" s="32"/>
    </row>
    <row r="7766" spans="21:21" ht="12.5">
      <c r="U7766" s="32"/>
    </row>
    <row r="7767" spans="21:21" ht="12.5">
      <c r="U7767" s="32"/>
    </row>
    <row r="7768" spans="21:21" ht="12.5">
      <c r="U7768" s="32"/>
    </row>
    <row r="7769" spans="21:21" ht="12.5">
      <c r="U7769" s="32"/>
    </row>
    <row r="7770" spans="21:21" ht="12.5">
      <c r="U7770" s="32"/>
    </row>
    <row r="7771" spans="21:21" ht="12.5">
      <c r="U7771" s="32"/>
    </row>
    <row r="7772" spans="21:21" ht="12.5">
      <c r="U7772" s="32"/>
    </row>
    <row r="7773" spans="21:21" ht="12.5">
      <c r="U7773" s="32"/>
    </row>
    <row r="7774" spans="21:21" ht="12.5">
      <c r="U7774" s="32"/>
    </row>
    <row r="7775" spans="21:21" ht="12.5">
      <c r="U7775" s="32"/>
    </row>
    <row r="7776" spans="21:21" ht="12.5">
      <c r="U7776" s="32"/>
    </row>
    <row r="7777" spans="21:21" ht="12.5">
      <c r="U7777" s="32"/>
    </row>
    <row r="7778" spans="21:21" ht="12.5">
      <c r="U7778" s="32"/>
    </row>
    <row r="7779" spans="21:21" ht="12.5">
      <c r="U7779" s="32"/>
    </row>
    <row r="7780" spans="21:21" ht="12.5">
      <c r="U7780" s="32"/>
    </row>
    <row r="7781" spans="21:21" ht="12.5">
      <c r="U7781" s="32"/>
    </row>
    <row r="7782" spans="21:21" ht="12.5">
      <c r="U7782" s="32"/>
    </row>
    <row r="7783" spans="21:21" ht="12.5">
      <c r="U7783" s="32"/>
    </row>
    <row r="7784" spans="21:21" ht="12.5">
      <c r="U7784" s="32"/>
    </row>
    <row r="7785" spans="21:21" ht="12.5">
      <c r="U7785" s="32"/>
    </row>
    <row r="7786" spans="21:21" ht="12.5">
      <c r="U7786" s="32"/>
    </row>
    <row r="7787" spans="21:21" ht="12.5">
      <c r="U7787" s="32"/>
    </row>
    <row r="7788" spans="21:21" ht="12.5">
      <c r="U7788" s="32"/>
    </row>
    <row r="7789" spans="21:21" ht="12.5">
      <c r="U7789" s="32"/>
    </row>
    <row r="7790" spans="21:21" ht="12.5">
      <c r="U7790" s="32"/>
    </row>
    <row r="7791" spans="21:21" ht="12.5">
      <c r="U7791" s="32"/>
    </row>
    <row r="7792" spans="21:21" ht="12.5">
      <c r="U7792" s="32"/>
    </row>
    <row r="7793" spans="21:21" ht="12.5">
      <c r="U7793" s="32"/>
    </row>
    <row r="7794" spans="21:21" ht="12.5">
      <c r="U7794" s="32"/>
    </row>
    <row r="7795" spans="21:21" ht="12.5">
      <c r="U7795" s="32"/>
    </row>
    <row r="7796" spans="21:21" ht="12.5">
      <c r="U7796" s="32"/>
    </row>
    <row r="7797" spans="21:21" ht="12.5">
      <c r="U7797" s="32"/>
    </row>
    <row r="7798" spans="21:21" ht="12.5">
      <c r="U7798" s="32"/>
    </row>
    <row r="7799" spans="21:21" ht="12.5">
      <c r="U7799" s="32"/>
    </row>
    <row r="7800" spans="21:21" ht="12.5">
      <c r="U7800" s="32"/>
    </row>
    <row r="7801" spans="21:21" ht="12.5">
      <c r="U7801" s="32"/>
    </row>
    <row r="7802" spans="21:21" ht="12.5">
      <c r="U7802" s="32"/>
    </row>
    <row r="7803" spans="21:21" ht="12.5">
      <c r="U7803" s="32"/>
    </row>
    <row r="7804" spans="21:21" ht="12.5">
      <c r="U7804" s="32"/>
    </row>
    <row r="7805" spans="21:21" ht="12.5">
      <c r="U7805" s="32"/>
    </row>
    <row r="7806" spans="21:21" ht="12.5">
      <c r="U7806" s="32"/>
    </row>
    <row r="7807" spans="21:21" ht="12.5">
      <c r="U7807" s="32"/>
    </row>
    <row r="7808" spans="21:21" ht="12.5">
      <c r="U7808" s="32"/>
    </row>
    <row r="7809" spans="21:21" ht="12.5">
      <c r="U7809" s="32"/>
    </row>
    <row r="7810" spans="21:21" ht="12.5">
      <c r="U7810" s="32"/>
    </row>
    <row r="7811" spans="21:21" ht="12.5">
      <c r="U7811" s="32"/>
    </row>
    <row r="7812" spans="21:21" ht="12.5">
      <c r="U7812" s="32"/>
    </row>
    <row r="7813" spans="21:21" ht="12.5">
      <c r="U7813" s="32"/>
    </row>
    <row r="7814" spans="21:21" ht="12.5">
      <c r="U7814" s="32"/>
    </row>
    <row r="7815" spans="21:21" ht="12.5">
      <c r="U7815" s="32"/>
    </row>
    <row r="7816" spans="21:21" ht="12.5">
      <c r="U7816" s="32"/>
    </row>
    <row r="7817" spans="21:21" ht="12.5">
      <c r="U7817" s="32"/>
    </row>
    <row r="7818" spans="21:21" ht="12.5">
      <c r="U7818" s="32"/>
    </row>
    <row r="7819" spans="21:21" ht="12.5">
      <c r="U7819" s="32"/>
    </row>
    <row r="7820" spans="21:21" ht="12.5">
      <c r="U7820" s="32"/>
    </row>
    <row r="7821" spans="21:21" ht="12.5">
      <c r="U7821" s="32"/>
    </row>
    <row r="7822" spans="21:21" ht="12.5">
      <c r="U7822" s="32"/>
    </row>
    <row r="7823" spans="21:21" ht="12.5">
      <c r="U7823" s="32"/>
    </row>
    <row r="7824" spans="21:21" ht="12.5">
      <c r="U7824" s="32"/>
    </row>
    <row r="7825" spans="21:21" ht="12.5">
      <c r="U7825" s="32"/>
    </row>
    <row r="7826" spans="21:21" ht="12.5">
      <c r="U7826" s="32"/>
    </row>
    <row r="7827" spans="21:21" ht="12.5">
      <c r="U7827" s="32"/>
    </row>
    <row r="7828" spans="21:21" ht="12.5">
      <c r="U7828" s="32"/>
    </row>
    <row r="7829" spans="21:21" ht="12.5">
      <c r="U7829" s="32"/>
    </row>
    <row r="7830" spans="21:21" ht="12.5">
      <c r="U7830" s="32"/>
    </row>
    <row r="7831" spans="21:21" ht="12.5">
      <c r="U7831" s="32"/>
    </row>
    <row r="7832" spans="21:21" ht="12.5">
      <c r="U7832" s="32"/>
    </row>
    <row r="7833" spans="21:21" ht="12.5">
      <c r="U7833" s="32"/>
    </row>
    <row r="7834" spans="21:21" ht="12.5">
      <c r="U7834" s="32"/>
    </row>
    <row r="7835" spans="21:21" ht="12.5">
      <c r="U7835" s="32"/>
    </row>
    <row r="7836" spans="21:21" ht="12.5">
      <c r="U7836" s="32"/>
    </row>
    <row r="7837" spans="21:21" ht="12.5">
      <c r="U7837" s="32"/>
    </row>
    <row r="7838" spans="21:21" ht="12.5">
      <c r="U7838" s="32"/>
    </row>
    <row r="7839" spans="21:21" ht="12.5">
      <c r="U7839" s="32"/>
    </row>
    <row r="7840" spans="21:21" ht="12.5">
      <c r="U7840" s="32"/>
    </row>
    <row r="7841" spans="21:21" ht="12.5">
      <c r="U7841" s="32"/>
    </row>
    <row r="7842" spans="21:21" ht="12.5">
      <c r="U7842" s="32"/>
    </row>
    <row r="7843" spans="21:21" ht="12.5">
      <c r="U7843" s="32"/>
    </row>
    <row r="7844" spans="21:21" ht="12.5">
      <c r="U7844" s="32"/>
    </row>
    <row r="7845" spans="21:21" ht="12.5">
      <c r="U7845" s="32"/>
    </row>
    <row r="7846" spans="21:21" ht="12.5">
      <c r="U7846" s="32"/>
    </row>
    <row r="7847" spans="21:21" ht="12.5">
      <c r="U7847" s="32"/>
    </row>
    <row r="7848" spans="21:21" ht="12.5">
      <c r="U7848" s="32"/>
    </row>
    <row r="7849" spans="21:21" ht="12.5">
      <c r="U7849" s="32"/>
    </row>
    <row r="7850" spans="21:21" ht="12.5">
      <c r="U7850" s="32"/>
    </row>
    <row r="7851" spans="21:21" ht="12.5">
      <c r="U7851" s="32"/>
    </row>
    <row r="7852" spans="21:21" ht="12.5">
      <c r="U7852" s="32"/>
    </row>
    <row r="7853" spans="21:21" ht="12.5">
      <c r="U7853" s="32"/>
    </row>
    <row r="7854" spans="21:21" ht="12.5">
      <c r="U7854" s="32"/>
    </row>
    <row r="7855" spans="21:21" ht="12.5">
      <c r="U7855" s="32"/>
    </row>
    <row r="7856" spans="21:21" ht="12.5">
      <c r="U7856" s="32"/>
    </row>
    <row r="7857" spans="21:21" ht="12.5">
      <c r="U7857" s="32"/>
    </row>
    <row r="7858" spans="21:21" ht="12.5">
      <c r="U7858" s="32"/>
    </row>
    <row r="7859" spans="21:21" ht="12.5">
      <c r="U7859" s="32"/>
    </row>
    <row r="7860" spans="21:21" ht="12.5">
      <c r="U7860" s="32"/>
    </row>
    <row r="7861" spans="21:21" ht="12.5">
      <c r="U7861" s="32"/>
    </row>
    <row r="7862" spans="21:21" ht="12.5">
      <c r="U7862" s="32"/>
    </row>
    <row r="7863" spans="21:21" ht="12.5">
      <c r="U7863" s="32"/>
    </row>
    <row r="7864" spans="21:21" ht="12.5">
      <c r="U7864" s="32"/>
    </row>
    <row r="7865" spans="21:21" ht="12.5">
      <c r="U7865" s="32"/>
    </row>
    <row r="7866" spans="21:21" ht="12.5">
      <c r="U7866" s="32"/>
    </row>
    <row r="7867" spans="21:21" ht="12.5">
      <c r="U7867" s="32"/>
    </row>
    <row r="7868" spans="21:21" ht="12.5">
      <c r="U7868" s="32"/>
    </row>
    <row r="7869" spans="21:21" ht="12.5">
      <c r="U7869" s="32"/>
    </row>
    <row r="7870" spans="21:21" ht="12.5">
      <c r="U7870" s="32"/>
    </row>
    <row r="7871" spans="21:21" ht="12.5">
      <c r="U7871" s="32"/>
    </row>
    <row r="7872" spans="21:21" ht="12.5">
      <c r="U7872" s="32"/>
    </row>
    <row r="7873" spans="21:21" ht="12.5">
      <c r="U7873" s="32"/>
    </row>
    <row r="7874" spans="21:21" ht="12.5">
      <c r="U7874" s="32"/>
    </row>
    <row r="7875" spans="21:21" ht="12.5">
      <c r="U7875" s="32"/>
    </row>
    <row r="7876" spans="21:21" ht="12.5">
      <c r="U7876" s="32"/>
    </row>
    <row r="7877" spans="21:21" ht="12.5">
      <c r="U7877" s="32"/>
    </row>
    <row r="7878" spans="21:21" ht="12.5">
      <c r="U7878" s="32"/>
    </row>
    <row r="7879" spans="21:21" ht="12.5">
      <c r="U7879" s="32"/>
    </row>
    <row r="7880" spans="21:21" ht="12.5">
      <c r="U7880" s="32"/>
    </row>
    <row r="7881" spans="21:21" ht="12.5">
      <c r="U7881" s="32"/>
    </row>
    <row r="7882" spans="21:21" ht="12.5">
      <c r="U7882" s="32"/>
    </row>
    <row r="7883" spans="21:21" ht="12.5">
      <c r="U7883" s="32"/>
    </row>
    <row r="7884" spans="21:21" ht="12.5">
      <c r="U7884" s="32"/>
    </row>
    <row r="7885" spans="21:21" ht="12.5">
      <c r="U7885" s="32"/>
    </row>
    <row r="7886" spans="21:21" ht="12.5">
      <c r="U7886" s="32"/>
    </row>
    <row r="7887" spans="21:21" ht="12.5">
      <c r="U7887" s="32"/>
    </row>
    <row r="7888" spans="21:21" ht="12.5">
      <c r="U7888" s="32"/>
    </row>
    <row r="7889" spans="21:21" ht="12.5">
      <c r="U7889" s="32"/>
    </row>
    <row r="7890" spans="21:21" ht="12.5">
      <c r="U7890" s="32"/>
    </row>
    <row r="7891" spans="21:21" ht="12.5">
      <c r="U7891" s="32"/>
    </row>
    <row r="7892" spans="21:21" ht="12.5">
      <c r="U7892" s="32"/>
    </row>
    <row r="7893" spans="21:21" ht="12.5">
      <c r="U7893" s="32"/>
    </row>
    <row r="7894" spans="21:21" ht="12.5">
      <c r="U7894" s="32"/>
    </row>
    <row r="7895" spans="21:21" ht="12.5">
      <c r="U7895" s="32"/>
    </row>
    <row r="7896" spans="21:21" ht="12.5">
      <c r="U7896" s="32"/>
    </row>
    <row r="7897" spans="21:21" ht="12.5">
      <c r="U7897" s="32"/>
    </row>
    <row r="7898" spans="21:21" ht="12.5">
      <c r="U7898" s="32"/>
    </row>
    <row r="7899" spans="21:21" ht="12.5">
      <c r="U7899" s="32"/>
    </row>
    <row r="7900" spans="21:21" ht="12.5">
      <c r="U7900" s="32"/>
    </row>
    <row r="7901" spans="21:21" ht="12.5">
      <c r="U7901" s="32"/>
    </row>
    <row r="7902" spans="21:21" ht="12.5">
      <c r="U7902" s="32"/>
    </row>
    <row r="7903" spans="21:21" ht="12.5">
      <c r="U7903" s="32"/>
    </row>
    <row r="7904" spans="21:21" ht="12.5">
      <c r="U7904" s="32"/>
    </row>
    <row r="7905" spans="21:21" ht="12.5">
      <c r="U7905" s="32"/>
    </row>
    <row r="7906" spans="21:21" ht="12.5">
      <c r="U7906" s="32"/>
    </row>
    <row r="7907" spans="21:21" ht="12.5">
      <c r="U7907" s="32"/>
    </row>
    <row r="7908" spans="21:21" ht="12.5">
      <c r="U7908" s="32"/>
    </row>
    <row r="7909" spans="21:21" ht="12.5">
      <c r="U7909" s="32"/>
    </row>
    <row r="7910" spans="21:21" ht="12.5">
      <c r="U7910" s="32"/>
    </row>
    <row r="7911" spans="21:21" ht="12.5">
      <c r="U7911" s="32"/>
    </row>
    <row r="7912" spans="21:21" ht="12.5">
      <c r="U7912" s="32"/>
    </row>
    <row r="7913" spans="21:21" ht="12.5">
      <c r="U7913" s="32"/>
    </row>
    <row r="7914" spans="21:21" ht="12.5">
      <c r="U7914" s="32"/>
    </row>
    <row r="7915" spans="21:21" ht="12.5">
      <c r="U7915" s="32"/>
    </row>
    <row r="7916" spans="21:21" ht="12.5">
      <c r="U7916" s="32"/>
    </row>
    <row r="7917" spans="21:21" ht="12.5">
      <c r="U7917" s="32"/>
    </row>
    <row r="7918" spans="21:21" ht="12.5">
      <c r="U7918" s="32"/>
    </row>
    <row r="7919" spans="21:21" ht="12.5">
      <c r="U7919" s="32"/>
    </row>
    <row r="7920" spans="21:21" ht="12.5">
      <c r="U7920" s="32"/>
    </row>
    <row r="7921" spans="21:21" ht="12.5">
      <c r="U7921" s="32"/>
    </row>
    <row r="7922" spans="21:21" ht="12.5">
      <c r="U7922" s="32"/>
    </row>
    <row r="7923" spans="21:21" ht="12.5">
      <c r="U7923" s="32"/>
    </row>
    <row r="7924" spans="21:21" ht="12.5">
      <c r="U7924" s="32"/>
    </row>
    <row r="7925" spans="21:21" ht="12.5">
      <c r="U7925" s="32"/>
    </row>
    <row r="7926" spans="21:21" ht="12.5">
      <c r="U7926" s="32"/>
    </row>
    <row r="7927" spans="21:21" ht="12.5">
      <c r="U7927" s="32"/>
    </row>
    <row r="7928" spans="21:21" ht="12.5">
      <c r="U7928" s="32"/>
    </row>
    <row r="7929" spans="21:21" ht="12.5">
      <c r="U7929" s="32"/>
    </row>
    <row r="7930" spans="21:21" ht="12.5">
      <c r="U7930" s="32"/>
    </row>
    <row r="7931" spans="21:21" ht="12.5">
      <c r="U7931" s="32"/>
    </row>
    <row r="7932" spans="21:21" ht="12.5">
      <c r="U7932" s="32"/>
    </row>
    <row r="7933" spans="21:21" ht="12.5">
      <c r="U7933" s="32"/>
    </row>
    <row r="7934" spans="21:21" ht="12.5">
      <c r="U7934" s="32"/>
    </row>
    <row r="7935" spans="21:21" ht="12.5">
      <c r="U7935" s="32"/>
    </row>
    <row r="7936" spans="21:21" ht="12.5">
      <c r="U7936" s="32"/>
    </row>
    <row r="7937" spans="21:21" ht="12.5">
      <c r="U7937" s="32"/>
    </row>
    <row r="7938" spans="21:21" ht="12.5">
      <c r="U7938" s="32"/>
    </row>
    <row r="7939" spans="21:21" ht="12.5">
      <c r="U7939" s="32"/>
    </row>
    <row r="7940" spans="21:21" ht="12.5">
      <c r="U7940" s="32"/>
    </row>
    <row r="7941" spans="21:21" ht="12.5">
      <c r="U7941" s="32"/>
    </row>
    <row r="7942" spans="21:21" ht="12.5">
      <c r="U7942" s="32"/>
    </row>
    <row r="7943" spans="21:21" ht="12.5">
      <c r="U7943" s="32"/>
    </row>
    <row r="7944" spans="21:21" ht="12.5">
      <c r="U7944" s="32"/>
    </row>
    <row r="7945" spans="21:21" ht="12.5">
      <c r="U7945" s="32"/>
    </row>
    <row r="7946" spans="21:21" ht="12.5">
      <c r="U7946" s="32"/>
    </row>
    <row r="7947" spans="21:21" ht="12.5">
      <c r="U7947" s="32"/>
    </row>
    <row r="7948" spans="21:21" ht="12.5">
      <c r="U7948" s="32"/>
    </row>
    <row r="7949" spans="21:21" ht="12.5">
      <c r="U7949" s="32"/>
    </row>
    <row r="7950" spans="21:21" ht="12.5">
      <c r="U7950" s="32"/>
    </row>
    <row r="7951" spans="21:21" ht="12.5">
      <c r="U7951" s="32"/>
    </row>
    <row r="7952" spans="21:21" ht="12.5">
      <c r="U7952" s="32"/>
    </row>
    <row r="7953" spans="21:21" ht="12.5">
      <c r="U7953" s="32"/>
    </row>
    <row r="7954" spans="21:21" ht="12.5">
      <c r="U7954" s="32"/>
    </row>
    <row r="7955" spans="21:21" ht="12.5">
      <c r="U7955" s="32"/>
    </row>
    <row r="7956" spans="21:21" ht="12.5">
      <c r="U7956" s="32"/>
    </row>
    <row r="7957" spans="21:21" ht="12.5">
      <c r="U7957" s="32"/>
    </row>
    <row r="7958" spans="21:21" ht="12.5">
      <c r="U7958" s="32"/>
    </row>
    <row r="7959" spans="21:21" ht="12.5">
      <c r="U7959" s="32"/>
    </row>
    <row r="7960" spans="21:21" ht="12.5">
      <c r="U7960" s="32"/>
    </row>
    <row r="7961" spans="21:21" ht="12.5">
      <c r="U7961" s="32"/>
    </row>
    <row r="7962" spans="21:21" ht="12.5">
      <c r="U7962" s="32"/>
    </row>
    <row r="7963" spans="21:21" ht="12.5">
      <c r="U7963" s="32"/>
    </row>
    <row r="7964" spans="21:21" ht="12.5">
      <c r="U7964" s="32"/>
    </row>
    <row r="7965" spans="21:21" ht="12.5">
      <c r="U7965" s="32"/>
    </row>
    <row r="7966" spans="21:21" ht="12.5">
      <c r="U7966" s="32"/>
    </row>
    <row r="7967" spans="21:21" ht="12.5">
      <c r="U7967" s="32"/>
    </row>
    <row r="7968" spans="21:21" ht="12.5">
      <c r="U7968" s="32"/>
    </row>
    <row r="7969" spans="21:21" ht="12.5">
      <c r="U7969" s="32"/>
    </row>
    <row r="7970" spans="21:21" ht="12.5">
      <c r="U7970" s="32"/>
    </row>
    <row r="7971" spans="21:21" ht="12.5">
      <c r="U7971" s="32"/>
    </row>
    <row r="7972" spans="21:21" ht="12.5">
      <c r="U7972" s="32"/>
    </row>
    <row r="7973" spans="21:21" ht="12.5">
      <c r="U7973" s="32"/>
    </row>
    <row r="7974" spans="21:21" ht="12.5">
      <c r="U7974" s="32"/>
    </row>
    <row r="7975" spans="21:21" ht="12.5">
      <c r="U7975" s="32"/>
    </row>
    <row r="7976" spans="21:21" ht="12.5">
      <c r="U7976" s="32"/>
    </row>
    <row r="7977" spans="21:21" ht="12.5">
      <c r="U7977" s="32"/>
    </row>
    <row r="7978" spans="21:21" ht="12.5">
      <c r="U7978" s="32"/>
    </row>
    <row r="7979" spans="21:21" ht="12.5">
      <c r="U7979" s="32"/>
    </row>
    <row r="7980" spans="21:21" ht="12.5">
      <c r="U7980" s="32"/>
    </row>
    <row r="7981" spans="21:21" ht="12.5">
      <c r="U7981" s="32"/>
    </row>
    <row r="7982" spans="21:21" ht="12.5">
      <c r="U7982" s="32"/>
    </row>
    <row r="7983" spans="21:21" ht="12.5">
      <c r="U7983" s="32"/>
    </row>
    <row r="7984" spans="21:21" ht="12.5">
      <c r="U7984" s="32"/>
    </row>
    <row r="7985" spans="21:21" ht="12.5">
      <c r="U7985" s="32"/>
    </row>
    <row r="7986" spans="21:21" ht="12.5">
      <c r="U7986" s="32"/>
    </row>
    <row r="7987" spans="21:21" ht="12.5">
      <c r="U7987" s="32"/>
    </row>
    <row r="7988" spans="21:21" ht="12.5">
      <c r="U7988" s="32"/>
    </row>
    <row r="7989" spans="21:21" ht="12.5">
      <c r="U7989" s="32"/>
    </row>
    <row r="7990" spans="21:21" ht="12.5">
      <c r="U7990" s="32"/>
    </row>
    <row r="7991" spans="21:21" ht="12.5">
      <c r="U7991" s="32"/>
    </row>
    <row r="7992" spans="21:21" ht="12.5">
      <c r="U7992" s="32"/>
    </row>
    <row r="7993" spans="21:21" ht="12.5">
      <c r="U7993" s="32"/>
    </row>
    <row r="7994" spans="21:21" ht="12.5">
      <c r="U7994" s="32"/>
    </row>
    <row r="7995" spans="21:21" ht="12.5">
      <c r="U7995" s="32"/>
    </row>
    <row r="7996" spans="21:21" ht="12.5">
      <c r="U7996" s="32"/>
    </row>
    <row r="7997" spans="21:21" ht="12.5">
      <c r="U7997" s="32"/>
    </row>
    <row r="7998" spans="21:21" ht="12.5">
      <c r="U7998" s="32"/>
    </row>
    <row r="7999" spans="21:21" ht="12.5">
      <c r="U7999" s="32"/>
    </row>
    <row r="8000" spans="21:21" ht="12.5">
      <c r="U8000" s="32"/>
    </row>
    <row r="8001" spans="21:21" ht="12.5">
      <c r="U8001" s="32"/>
    </row>
    <row r="8002" spans="21:21" ht="12.5">
      <c r="U8002" s="32"/>
    </row>
    <row r="8003" spans="21:21" ht="12.5">
      <c r="U8003" s="32"/>
    </row>
    <row r="8004" spans="21:21" ht="12.5">
      <c r="U8004" s="32"/>
    </row>
    <row r="8005" spans="21:21" ht="12.5">
      <c r="U8005" s="32"/>
    </row>
    <row r="8006" spans="21:21" ht="12.5">
      <c r="U8006" s="32"/>
    </row>
    <row r="8007" spans="21:21" ht="12.5">
      <c r="U8007" s="32"/>
    </row>
    <row r="8008" spans="21:21" ht="12.5">
      <c r="U8008" s="32"/>
    </row>
    <row r="8009" spans="21:21" ht="12.5">
      <c r="U8009" s="32"/>
    </row>
    <row r="8010" spans="21:21" ht="12.5">
      <c r="U8010" s="32"/>
    </row>
    <row r="8011" spans="21:21" ht="12.5">
      <c r="U8011" s="32"/>
    </row>
    <row r="8012" spans="21:21" ht="12.5">
      <c r="U8012" s="32"/>
    </row>
    <row r="8013" spans="21:21" ht="12.5">
      <c r="U8013" s="32"/>
    </row>
    <row r="8014" spans="21:21" ht="12.5">
      <c r="U8014" s="32"/>
    </row>
    <row r="8015" spans="21:21" ht="12.5">
      <c r="U8015" s="32"/>
    </row>
    <row r="8016" spans="21:21" ht="12.5">
      <c r="U8016" s="32"/>
    </row>
    <row r="8017" spans="21:21" ht="12.5">
      <c r="U8017" s="32"/>
    </row>
    <row r="8018" spans="21:21" ht="12.5">
      <c r="U8018" s="32"/>
    </row>
    <row r="8019" spans="21:21" ht="12.5">
      <c r="U8019" s="32"/>
    </row>
    <row r="8020" spans="21:21" ht="12.5">
      <c r="U8020" s="32"/>
    </row>
    <row r="8021" spans="21:21" ht="12.5">
      <c r="U8021" s="32"/>
    </row>
    <row r="8022" spans="21:21" ht="12.5">
      <c r="U8022" s="32"/>
    </row>
    <row r="8023" spans="21:21" ht="12.5">
      <c r="U8023" s="32"/>
    </row>
    <row r="8024" spans="21:21" ht="12.5">
      <c r="U8024" s="32"/>
    </row>
    <row r="8025" spans="21:21" ht="12.5">
      <c r="U8025" s="32"/>
    </row>
    <row r="8026" spans="21:21" ht="12.5">
      <c r="U8026" s="32"/>
    </row>
    <row r="8027" spans="21:21" ht="12.5">
      <c r="U8027" s="32"/>
    </row>
    <row r="8028" spans="21:21" ht="12.5">
      <c r="U8028" s="32"/>
    </row>
    <row r="8029" spans="21:21" ht="12.5">
      <c r="U8029" s="32"/>
    </row>
    <row r="8030" spans="21:21" ht="12.5">
      <c r="U8030" s="32"/>
    </row>
    <row r="8031" spans="21:21" ht="12.5">
      <c r="U8031" s="32"/>
    </row>
    <row r="8032" spans="21:21" ht="12.5">
      <c r="U8032" s="32"/>
    </row>
    <row r="8033" spans="21:21" ht="12.5">
      <c r="U8033" s="32"/>
    </row>
    <row r="8034" spans="21:21" ht="12.5">
      <c r="U8034" s="32"/>
    </row>
    <row r="8035" spans="21:21" ht="12.5">
      <c r="U8035" s="32"/>
    </row>
    <row r="8036" spans="21:21" ht="12.5">
      <c r="U8036" s="32"/>
    </row>
    <row r="8037" spans="21:21" ht="12.5">
      <c r="U8037" s="32"/>
    </row>
    <row r="8038" spans="21:21" ht="12.5">
      <c r="U8038" s="32"/>
    </row>
    <row r="8039" spans="21:21" ht="12.5">
      <c r="U8039" s="32"/>
    </row>
    <row r="8040" spans="21:21" ht="12.5">
      <c r="U8040" s="32"/>
    </row>
    <row r="8041" spans="21:21" ht="12.5">
      <c r="U8041" s="32"/>
    </row>
    <row r="8042" spans="21:21" ht="12.5">
      <c r="U8042" s="32"/>
    </row>
    <row r="8043" spans="21:21" ht="12.5">
      <c r="U8043" s="32"/>
    </row>
    <row r="8044" spans="21:21" ht="12.5">
      <c r="U8044" s="32"/>
    </row>
    <row r="8045" spans="21:21" ht="12.5">
      <c r="U8045" s="32"/>
    </row>
    <row r="8046" spans="21:21" ht="12.5">
      <c r="U8046" s="32"/>
    </row>
    <row r="8047" spans="21:21" ht="12.5">
      <c r="U8047" s="32"/>
    </row>
    <row r="8048" spans="21:21" ht="12.5">
      <c r="U8048" s="32"/>
    </row>
    <row r="8049" spans="21:21" ht="12.5">
      <c r="U8049" s="32"/>
    </row>
    <row r="8050" spans="21:21" ht="12.5">
      <c r="U8050" s="32"/>
    </row>
    <row r="8051" spans="21:21" ht="12.5">
      <c r="U8051" s="32"/>
    </row>
    <row r="8052" spans="21:21" ht="12.5">
      <c r="U8052" s="32"/>
    </row>
    <row r="8053" spans="21:21" ht="12.5">
      <c r="U8053" s="32"/>
    </row>
    <row r="8054" spans="21:21" ht="12.5">
      <c r="U8054" s="32"/>
    </row>
    <row r="8055" spans="21:21" ht="12.5">
      <c r="U8055" s="32"/>
    </row>
    <row r="8056" spans="21:21" ht="12.5">
      <c r="U8056" s="32"/>
    </row>
    <row r="8057" spans="21:21" ht="12.5">
      <c r="U8057" s="32"/>
    </row>
    <row r="8058" spans="21:21" ht="12.5">
      <c r="U8058" s="32"/>
    </row>
    <row r="8059" spans="21:21" ht="12.5">
      <c r="U8059" s="32"/>
    </row>
    <row r="8060" spans="21:21" ht="12.5">
      <c r="U8060" s="32"/>
    </row>
    <row r="8061" spans="21:21" ht="12.5">
      <c r="U8061" s="32"/>
    </row>
    <row r="8062" spans="21:21" ht="12.5">
      <c r="U8062" s="32"/>
    </row>
    <row r="8063" spans="21:21" ht="12.5">
      <c r="U8063" s="32"/>
    </row>
    <row r="8064" spans="21:21" ht="12.5">
      <c r="U8064" s="32"/>
    </row>
    <row r="8065" spans="21:21" ht="12.5">
      <c r="U8065" s="32"/>
    </row>
    <row r="8066" spans="21:21" ht="12.5">
      <c r="U8066" s="32"/>
    </row>
    <row r="8067" spans="21:21" ht="12.5">
      <c r="U8067" s="32"/>
    </row>
    <row r="8068" spans="21:21" ht="12.5">
      <c r="U8068" s="32"/>
    </row>
    <row r="8069" spans="21:21" ht="12.5">
      <c r="U8069" s="32"/>
    </row>
    <row r="8070" spans="21:21" ht="12.5">
      <c r="U8070" s="32"/>
    </row>
    <row r="8071" spans="21:21" ht="12.5">
      <c r="U8071" s="32"/>
    </row>
    <row r="8072" spans="21:21" ht="12.5">
      <c r="U8072" s="32"/>
    </row>
    <row r="8073" spans="21:21" ht="12.5">
      <c r="U8073" s="32"/>
    </row>
    <row r="8074" spans="21:21" ht="12.5">
      <c r="U8074" s="32"/>
    </row>
    <row r="8075" spans="21:21" ht="12.5">
      <c r="U8075" s="32"/>
    </row>
    <row r="8076" spans="21:21" ht="12.5">
      <c r="U8076" s="32"/>
    </row>
    <row r="8077" spans="21:21" ht="12.5">
      <c r="U8077" s="32"/>
    </row>
    <row r="8078" spans="21:21" ht="12.5">
      <c r="U8078" s="32"/>
    </row>
    <row r="8079" spans="21:21" ht="12.5">
      <c r="U8079" s="32"/>
    </row>
    <row r="8080" spans="21:21" ht="12.5">
      <c r="U8080" s="32"/>
    </row>
    <row r="8081" spans="21:21" ht="12.5">
      <c r="U8081" s="32"/>
    </row>
    <row r="8082" spans="21:21" ht="12.5">
      <c r="U8082" s="32"/>
    </row>
    <row r="8083" spans="21:21" ht="12.5">
      <c r="U8083" s="32"/>
    </row>
    <row r="8084" spans="21:21" ht="12.5">
      <c r="U8084" s="32"/>
    </row>
    <row r="8085" spans="21:21" ht="12.5">
      <c r="U8085" s="32"/>
    </row>
    <row r="8086" spans="21:21" ht="12.5">
      <c r="U8086" s="32"/>
    </row>
    <row r="8087" spans="21:21" ht="12.5">
      <c r="U8087" s="32"/>
    </row>
    <row r="8088" spans="21:21" ht="12.5">
      <c r="U8088" s="32"/>
    </row>
    <row r="8089" spans="21:21" ht="12.5">
      <c r="U8089" s="32"/>
    </row>
    <row r="8090" spans="21:21" ht="12.5">
      <c r="U8090" s="32"/>
    </row>
    <row r="8091" spans="21:21" ht="12.5">
      <c r="U8091" s="32"/>
    </row>
    <row r="8092" spans="21:21" ht="12.5">
      <c r="U8092" s="32"/>
    </row>
    <row r="8093" spans="21:21" ht="12.5">
      <c r="U8093" s="32"/>
    </row>
    <row r="8094" spans="21:21" ht="12.5">
      <c r="U8094" s="32"/>
    </row>
    <row r="8095" spans="21:21" ht="12.5">
      <c r="U8095" s="32"/>
    </row>
    <row r="8096" spans="21:21" ht="12.5">
      <c r="U8096" s="32"/>
    </row>
    <row r="8097" spans="21:21" ht="12.5">
      <c r="U8097" s="32"/>
    </row>
    <row r="8098" spans="21:21" ht="12.5">
      <c r="U8098" s="32"/>
    </row>
    <row r="8099" spans="21:21" ht="12.5">
      <c r="U8099" s="32"/>
    </row>
    <row r="8100" spans="21:21" ht="12.5">
      <c r="U8100" s="32"/>
    </row>
    <row r="8101" spans="21:21" ht="12.5">
      <c r="U8101" s="32"/>
    </row>
    <row r="8102" spans="21:21" ht="12.5">
      <c r="U8102" s="32"/>
    </row>
    <row r="8103" spans="21:21" ht="12.5">
      <c r="U8103" s="32"/>
    </row>
    <row r="8104" spans="21:21" ht="12.5">
      <c r="U8104" s="32"/>
    </row>
    <row r="8105" spans="21:21" ht="12.5">
      <c r="U8105" s="32"/>
    </row>
    <row r="8106" spans="21:21" ht="12.5">
      <c r="U8106" s="32"/>
    </row>
    <row r="8107" spans="21:21" ht="12.5">
      <c r="U8107" s="32"/>
    </row>
    <row r="8108" spans="21:21" ht="12.5">
      <c r="U8108" s="32"/>
    </row>
    <row r="8109" spans="21:21" ht="12.5">
      <c r="U8109" s="32"/>
    </row>
    <row r="8110" spans="21:21" ht="12.5">
      <c r="U8110" s="32"/>
    </row>
    <row r="8111" spans="21:21" ht="12.5">
      <c r="U8111" s="32"/>
    </row>
    <row r="8112" spans="21:21" ht="12.5">
      <c r="U8112" s="32"/>
    </row>
    <row r="8113" spans="21:21" ht="12.5">
      <c r="U8113" s="32"/>
    </row>
    <row r="8114" spans="21:21" ht="12.5">
      <c r="U8114" s="32"/>
    </row>
    <row r="8115" spans="21:21" ht="12.5">
      <c r="U8115" s="32"/>
    </row>
    <row r="8116" spans="21:21" ht="12.5">
      <c r="U8116" s="32"/>
    </row>
    <row r="8117" spans="21:21" ht="12.5">
      <c r="U8117" s="32"/>
    </row>
    <row r="8118" spans="21:21" ht="12.5">
      <c r="U8118" s="32"/>
    </row>
    <row r="8119" spans="21:21" ht="12.5">
      <c r="U8119" s="32"/>
    </row>
    <row r="8120" spans="21:21" ht="12.5">
      <c r="U8120" s="32"/>
    </row>
    <row r="8121" spans="21:21" ht="12.5">
      <c r="U8121" s="32"/>
    </row>
    <row r="8122" spans="21:21" ht="12.5">
      <c r="U8122" s="32"/>
    </row>
    <row r="8123" spans="21:21" ht="12.5">
      <c r="U8123" s="32"/>
    </row>
    <row r="8124" spans="21:21" ht="12.5">
      <c r="U8124" s="32"/>
    </row>
    <row r="8125" spans="21:21" ht="12.5">
      <c r="U8125" s="32"/>
    </row>
    <row r="8126" spans="21:21" ht="12.5">
      <c r="U8126" s="32"/>
    </row>
    <row r="8127" spans="21:21" ht="12.5">
      <c r="U8127" s="32"/>
    </row>
    <row r="8128" spans="21:21" ht="12.5">
      <c r="U8128" s="32"/>
    </row>
    <row r="8129" spans="21:21" ht="12.5">
      <c r="U8129" s="32"/>
    </row>
    <row r="8130" spans="21:21" ht="12.5">
      <c r="U8130" s="32"/>
    </row>
    <row r="8131" spans="21:21" ht="12.5">
      <c r="U8131" s="32"/>
    </row>
    <row r="8132" spans="21:21" ht="12.5">
      <c r="U8132" s="32"/>
    </row>
    <row r="8133" spans="21:21" ht="12.5">
      <c r="U8133" s="32"/>
    </row>
    <row r="8134" spans="21:21" ht="12.5">
      <c r="U8134" s="32"/>
    </row>
    <row r="8135" spans="21:21" ht="12.5">
      <c r="U8135" s="32"/>
    </row>
    <row r="8136" spans="21:21" ht="12.5">
      <c r="U8136" s="32"/>
    </row>
    <row r="8137" spans="21:21" ht="12.5">
      <c r="U8137" s="32"/>
    </row>
    <row r="8138" spans="21:21" ht="12.5">
      <c r="U8138" s="32"/>
    </row>
    <row r="8139" spans="21:21" ht="12.5">
      <c r="U8139" s="32"/>
    </row>
    <row r="8140" spans="21:21" ht="12.5">
      <c r="U8140" s="32"/>
    </row>
    <row r="8141" spans="21:21" ht="12.5">
      <c r="U8141" s="32"/>
    </row>
    <row r="8142" spans="21:21" ht="12.5">
      <c r="U8142" s="32"/>
    </row>
    <row r="8143" spans="21:21" ht="12.5">
      <c r="U8143" s="32"/>
    </row>
    <row r="8144" spans="21:21" ht="12.5">
      <c r="U8144" s="32"/>
    </row>
    <row r="8145" spans="21:21" ht="12.5">
      <c r="U8145" s="32"/>
    </row>
    <row r="8146" spans="21:21" ht="12.5">
      <c r="U8146" s="32"/>
    </row>
    <row r="8147" spans="21:21" ht="12.5">
      <c r="U8147" s="32"/>
    </row>
    <row r="8148" spans="21:21" ht="12.5">
      <c r="U8148" s="32"/>
    </row>
    <row r="8149" spans="21:21" ht="12.5">
      <c r="U8149" s="32"/>
    </row>
    <row r="8150" spans="21:21" ht="12.5">
      <c r="U8150" s="32"/>
    </row>
    <row r="8151" spans="21:21" ht="12.5">
      <c r="U8151" s="32"/>
    </row>
    <row r="8152" spans="21:21" ht="12.5">
      <c r="U8152" s="32"/>
    </row>
    <row r="8153" spans="21:21" ht="12.5">
      <c r="U8153" s="32"/>
    </row>
    <row r="8154" spans="21:21" ht="12.5">
      <c r="U8154" s="32"/>
    </row>
    <row r="8155" spans="21:21" ht="12.5">
      <c r="U8155" s="32"/>
    </row>
    <row r="8156" spans="21:21" ht="12.5">
      <c r="U8156" s="32"/>
    </row>
    <row r="8157" spans="21:21" ht="12.5">
      <c r="U8157" s="32"/>
    </row>
    <row r="8158" spans="21:21" ht="12.5">
      <c r="U8158" s="32"/>
    </row>
    <row r="8159" spans="21:21" ht="12.5">
      <c r="U8159" s="32"/>
    </row>
    <row r="8160" spans="21:21" ht="12.5">
      <c r="U8160" s="32"/>
    </row>
    <row r="8161" spans="21:21" ht="12.5">
      <c r="U8161" s="32"/>
    </row>
    <row r="8162" spans="21:21" ht="12.5">
      <c r="U8162" s="32"/>
    </row>
    <row r="8163" spans="21:21" ht="12.5">
      <c r="U8163" s="32"/>
    </row>
    <row r="8164" spans="21:21" ht="12.5">
      <c r="U8164" s="32"/>
    </row>
    <row r="8165" spans="21:21" ht="12.5">
      <c r="U8165" s="32"/>
    </row>
    <row r="8166" spans="21:21" ht="12.5">
      <c r="U8166" s="32"/>
    </row>
    <row r="8167" spans="21:21" ht="12.5">
      <c r="U8167" s="32"/>
    </row>
    <row r="8168" spans="21:21" ht="12.5">
      <c r="U8168" s="32"/>
    </row>
    <row r="8169" spans="21:21" ht="12.5">
      <c r="U8169" s="32"/>
    </row>
    <row r="8170" spans="21:21" ht="12.5">
      <c r="U8170" s="32"/>
    </row>
    <row r="8171" spans="21:21" ht="12.5">
      <c r="U8171" s="32"/>
    </row>
    <row r="8172" spans="21:21" ht="12.5">
      <c r="U8172" s="32"/>
    </row>
    <row r="8173" spans="21:21" ht="12.5">
      <c r="U8173" s="32"/>
    </row>
    <row r="8174" spans="21:21" ht="12.5">
      <c r="U8174" s="32"/>
    </row>
    <row r="8175" spans="21:21" ht="12.5">
      <c r="U8175" s="32"/>
    </row>
    <row r="8176" spans="21:21" ht="12.5">
      <c r="U8176" s="32"/>
    </row>
    <row r="8177" spans="21:21" ht="12.5">
      <c r="U8177" s="32"/>
    </row>
    <row r="8178" spans="21:21" ht="12.5">
      <c r="U8178" s="32"/>
    </row>
    <row r="8179" spans="21:21" ht="12.5">
      <c r="U8179" s="32"/>
    </row>
    <row r="8180" spans="21:21" ht="12.5">
      <c r="U8180" s="32"/>
    </row>
    <row r="8181" spans="21:21" ht="12.5">
      <c r="U8181" s="32"/>
    </row>
    <row r="8182" spans="21:21" ht="12.5">
      <c r="U8182" s="32"/>
    </row>
    <row r="8183" spans="21:21" ht="12.5">
      <c r="U8183" s="32"/>
    </row>
    <row r="8184" spans="21:21" ht="12.5">
      <c r="U8184" s="32"/>
    </row>
    <row r="8185" spans="21:21" ht="12.5">
      <c r="U8185" s="32"/>
    </row>
    <row r="8186" spans="21:21" ht="12.5">
      <c r="U8186" s="32"/>
    </row>
    <row r="8187" spans="21:21" ht="12.5">
      <c r="U8187" s="32"/>
    </row>
    <row r="8188" spans="21:21" ht="12.5">
      <c r="U8188" s="32"/>
    </row>
    <row r="8189" spans="21:21" ht="12.5">
      <c r="U8189" s="32"/>
    </row>
    <row r="8190" spans="21:21" ht="12.5">
      <c r="U8190" s="32"/>
    </row>
    <row r="8191" spans="21:21" ht="12.5">
      <c r="U8191" s="32"/>
    </row>
    <row r="8192" spans="21:21" ht="12.5">
      <c r="U8192" s="32"/>
    </row>
    <row r="8193" spans="21:21" ht="12.5">
      <c r="U8193" s="32"/>
    </row>
    <row r="8194" spans="21:21" ht="12.5">
      <c r="U8194" s="32"/>
    </row>
    <row r="8195" spans="21:21" ht="12.5">
      <c r="U8195" s="32"/>
    </row>
    <row r="8196" spans="21:21" ht="12.5">
      <c r="U8196" s="32"/>
    </row>
    <row r="8197" spans="21:21" ht="12.5">
      <c r="U8197" s="32"/>
    </row>
    <row r="8198" spans="21:21" ht="12.5">
      <c r="U8198" s="32"/>
    </row>
    <row r="8199" spans="21:21" ht="12.5">
      <c r="U8199" s="32"/>
    </row>
    <row r="8200" spans="21:21" ht="12.5">
      <c r="U8200" s="32"/>
    </row>
    <row r="8201" spans="21:21" ht="12.5">
      <c r="U8201" s="32"/>
    </row>
    <row r="8202" spans="21:21" ht="12.5">
      <c r="U8202" s="32"/>
    </row>
    <row r="8203" spans="21:21" ht="12.5">
      <c r="U8203" s="32"/>
    </row>
    <row r="8204" spans="21:21" ht="12.5">
      <c r="U8204" s="32"/>
    </row>
    <row r="8205" spans="21:21" ht="12.5">
      <c r="U8205" s="32"/>
    </row>
    <row r="8206" spans="21:21" ht="12.5">
      <c r="U8206" s="32"/>
    </row>
    <row r="8207" spans="21:21" ht="12.5">
      <c r="U8207" s="32"/>
    </row>
    <row r="8208" spans="21:21" ht="12.5">
      <c r="U8208" s="32"/>
    </row>
    <row r="8209" spans="21:21" ht="12.5">
      <c r="U8209" s="32"/>
    </row>
    <row r="8210" spans="21:21" ht="12.5">
      <c r="U8210" s="32"/>
    </row>
    <row r="8211" spans="21:21" ht="12.5">
      <c r="U8211" s="32"/>
    </row>
    <row r="8212" spans="21:21" ht="12.5">
      <c r="U8212" s="32"/>
    </row>
    <row r="8213" spans="21:21" ht="12.5">
      <c r="U8213" s="32"/>
    </row>
    <row r="8214" spans="21:21" ht="12.5">
      <c r="U8214" s="32"/>
    </row>
    <row r="8215" spans="21:21" ht="12.5">
      <c r="U8215" s="32"/>
    </row>
    <row r="8216" spans="21:21" ht="12.5">
      <c r="U8216" s="32"/>
    </row>
    <row r="8217" spans="21:21" ht="12.5">
      <c r="U8217" s="32"/>
    </row>
    <row r="8218" spans="21:21" ht="12.5">
      <c r="U8218" s="32"/>
    </row>
    <row r="8219" spans="21:21" ht="12.5">
      <c r="U8219" s="32"/>
    </row>
    <row r="8220" spans="21:21" ht="12.5">
      <c r="U8220" s="32"/>
    </row>
    <row r="8221" spans="21:21" ht="12.5">
      <c r="U8221" s="32"/>
    </row>
    <row r="8222" spans="21:21" ht="12.5">
      <c r="U8222" s="32"/>
    </row>
    <row r="8223" spans="21:21" ht="12.5">
      <c r="U8223" s="32"/>
    </row>
    <row r="8224" spans="21:21" ht="12.5">
      <c r="U8224" s="32"/>
    </row>
    <row r="8225" spans="21:21" ht="12.5">
      <c r="U8225" s="32"/>
    </row>
    <row r="8226" spans="21:21" ht="12.5">
      <c r="U8226" s="32"/>
    </row>
    <row r="8227" spans="21:21" ht="12.5">
      <c r="U8227" s="32"/>
    </row>
    <row r="8228" spans="21:21" ht="12.5">
      <c r="U8228" s="32"/>
    </row>
    <row r="8229" spans="21:21" ht="12.5">
      <c r="U8229" s="32"/>
    </row>
    <row r="8230" spans="21:21" ht="12.5">
      <c r="U8230" s="32"/>
    </row>
    <row r="8231" spans="21:21" ht="12.5">
      <c r="U8231" s="32"/>
    </row>
    <row r="8232" spans="21:21" ht="12.5">
      <c r="U8232" s="32"/>
    </row>
    <row r="8233" spans="21:21" ht="12.5">
      <c r="U8233" s="32"/>
    </row>
    <row r="8234" spans="21:21" ht="12.5">
      <c r="U8234" s="32"/>
    </row>
    <row r="8235" spans="21:21" ht="12.5">
      <c r="U8235" s="32"/>
    </row>
    <row r="8236" spans="21:21" ht="12.5">
      <c r="U8236" s="32"/>
    </row>
    <row r="8237" spans="21:21" ht="12.5">
      <c r="U8237" s="32"/>
    </row>
    <row r="8238" spans="21:21" ht="12.5">
      <c r="U8238" s="32"/>
    </row>
    <row r="8239" spans="21:21" ht="12.5">
      <c r="U8239" s="32"/>
    </row>
    <row r="8240" spans="21:21" ht="12.5">
      <c r="U8240" s="32"/>
    </row>
    <row r="8241" spans="21:21" ht="12.5">
      <c r="U8241" s="32"/>
    </row>
    <row r="8242" spans="21:21" ht="12.5">
      <c r="U8242" s="32"/>
    </row>
    <row r="8243" spans="21:21" ht="12.5">
      <c r="U8243" s="32"/>
    </row>
    <row r="8244" spans="21:21" ht="12.5">
      <c r="U8244" s="32"/>
    </row>
    <row r="8245" spans="21:21" ht="12.5">
      <c r="U8245" s="32"/>
    </row>
    <row r="8246" spans="21:21" ht="12.5">
      <c r="U8246" s="32"/>
    </row>
    <row r="8247" spans="21:21" ht="12.5">
      <c r="U8247" s="32"/>
    </row>
    <row r="8248" spans="21:21" ht="12.5">
      <c r="U8248" s="32"/>
    </row>
    <row r="8249" spans="21:21" ht="12.5">
      <c r="U8249" s="32"/>
    </row>
    <row r="8250" spans="21:21" ht="12.5">
      <c r="U8250" s="32"/>
    </row>
    <row r="8251" spans="21:21" ht="12.5">
      <c r="U8251" s="32"/>
    </row>
    <row r="8252" spans="21:21" ht="12.5">
      <c r="U8252" s="32"/>
    </row>
    <row r="8253" spans="21:21" ht="12.5">
      <c r="U8253" s="32"/>
    </row>
    <row r="8254" spans="21:21" ht="12.5">
      <c r="U8254" s="32"/>
    </row>
    <row r="8255" spans="21:21" ht="12.5">
      <c r="U8255" s="32"/>
    </row>
    <row r="8256" spans="21:21" ht="12.5">
      <c r="U8256" s="32"/>
    </row>
    <row r="8257" spans="21:21" ht="12.5">
      <c r="U8257" s="32"/>
    </row>
    <row r="8258" spans="21:21" ht="12.5">
      <c r="U8258" s="32"/>
    </row>
    <row r="8259" spans="21:21" ht="12.5">
      <c r="U8259" s="32"/>
    </row>
    <row r="8260" spans="21:21" ht="12.5">
      <c r="U8260" s="32"/>
    </row>
    <row r="8261" spans="21:21" ht="12.5">
      <c r="U8261" s="32"/>
    </row>
    <row r="8262" spans="21:21" ht="12.5">
      <c r="U8262" s="32"/>
    </row>
    <row r="8263" spans="21:21" ht="12.5">
      <c r="U8263" s="32"/>
    </row>
    <row r="8264" spans="21:21" ht="12.5">
      <c r="U8264" s="32"/>
    </row>
    <row r="8265" spans="21:21" ht="12.5">
      <c r="U8265" s="32"/>
    </row>
    <row r="8266" spans="21:21" ht="12.5">
      <c r="U8266" s="32"/>
    </row>
    <row r="8267" spans="21:21" ht="12.5">
      <c r="U8267" s="32"/>
    </row>
    <row r="8268" spans="21:21" ht="12.5">
      <c r="U8268" s="32"/>
    </row>
    <row r="8269" spans="21:21" ht="12.5">
      <c r="U8269" s="32"/>
    </row>
    <row r="8270" spans="21:21" ht="12.5">
      <c r="U8270" s="32"/>
    </row>
    <row r="8271" spans="21:21" ht="12.5">
      <c r="U8271" s="32"/>
    </row>
    <row r="8272" spans="21:21" ht="12.5">
      <c r="U8272" s="32"/>
    </row>
    <row r="8273" spans="21:21" ht="12.5">
      <c r="U8273" s="32"/>
    </row>
    <row r="8274" spans="21:21" ht="12.5">
      <c r="U8274" s="32"/>
    </row>
    <row r="8275" spans="21:21" ht="12.5">
      <c r="U8275" s="32"/>
    </row>
    <row r="8276" spans="21:21" ht="12.5">
      <c r="U8276" s="32"/>
    </row>
    <row r="8277" spans="21:21" ht="12.5">
      <c r="U8277" s="32"/>
    </row>
    <row r="8278" spans="21:21" ht="12.5">
      <c r="U8278" s="32"/>
    </row>
    <row r="8279" spans="21:21" ht="12.5">
      <c r="U8279" s="32"/>
    </row>
    <row r="8280" spans="21:21" ht="12.5">
      <c r="U8280" s="32"/>
    </row>
    <row r="8281" spans="21:21" ht="12.5">
      <c r="U8281" s="32"/>
    </row>
    <row r="8282" spans="21:21" ht="12.5">
      <c r="U8282" s="32"/>
    </row>
    <row r="8283" spans="21:21" ht="12.5">
      <c r="U8283" s="32"/>
    </row>
    <row r="8284" spans="21:21" ht="12.5">
      <c r="U8284" s="32"/>
    </row>
    <row r="8285" spans="21:21" ht="12.5">
      <c r="U8285" s="32"/>
    </row>
    <row r="8286" spans="21:21" ht="12.5">
      <c r="U8286" s="32"/>
    </row>
    <row r="8287" spans="21:21" ht="12.5">
      <c r="U8287" s="32"/>
    </row>
    <row r="8288" spans="21:21" ht="12.5">
      <c r="U8288" s="32"/>
    </row>
    <row r="8289" spans="21:21" ht="12.5">
      <c r="U8289" s="32"/>
    </row>
    <row r="8290" spans="21:21" ht="12.5">
      <c r="U8290" s="32"/>
    </row>
    <row r="8291" spans="21:21" ht="12.5">
      <c r="U8291" s="32"/>
    </row>
    <row r="8292" spans="21:21" ht="12.5">
      <c r="U8292" s="32"/>
    </row>
    <row r="8293" spans="21:21" ht="12.5">
      <c r="U8293" s="32"/>
    </row>
    <row r="8294" spans="21:21" ht="12.5">
      <c r="U8294" s="32"/>
    </row>
    <row r="8295" spans="21:21" ht="12.5">
      <c r="U8295" s="32"/>
    </row>
    <row r="8296" spans="21:21" ht="12.5">
      <c r="U8296" s="32"/>
    </row>
    <row r="8297" spans="21:21" ht="12.5">
      <c r="U8297" s="32"/>
    </row>
    <row r="8298" spans="21:21" ht="12.5">
      <c r="U8298" s="32"/>
    </row>
    <row r="8299" spans="21:21" ht="12.5">
      <c r="U8299" s="32"/>
    </row>
    <row r="8300" spans="21:21" ht="12.5">
      <c r="U8300" s="32"/>
    </row>
    <row r="8301" spans="21:21" ht="12.5">
      <c r="U8301" s="32"/>
    </row>
    <row r="8302" spans="21:21" ht="12.5">
      <c r="U8302" s="32"/>
    </row>
    <row r="8303" spans="21:21" ht="12.5">
      <c r="U8303" s="32"/>
    </row>
    <row r="8304" spans="21:21" ht="12.5">
      <c r="U8304" s="32"/>
    </row>
    <row r="8305" spans="21:21" ht="12.5">
      <c r="U8305" s="32"/>
    </row>
    <row r="8306" spans="21:21" ht="12.5">
      <c r="U8306" s="32"/>
    </row>
    <row r="8307" spans="21:21" ht="12.5">
      <c r="U8307" s="32"/>
    </row>
    <row r="8308" spans="21:21" ht="12.5">
      <c r="U8308" s="32"/>
    </row>
    <row r="8309" spans="21:21" ht="12.5">
      <c r="U8309" s="32"/>
    </row>
    <row r="8310" spans="21:21" ht="12.5">
      <c r="U8310" s="32"/>
    </row>
    <row r="8311" spans="21:21" ht="12.5">
      <c r="U8311" s="32"/>
    </row>
    <row r="8312" spans="21:21" ht="12.5">
      <c r="U8312" s="32"/>
    </row>
    <row r="8313" spans="21:21" ht="12.5">
      <c r="U8313" s="32"/>
    </row>
    <row r="8314" spans="21:21" ht="12.5">
      <c r="U8314" s="32"/>
    </row>
    <row r="8315" spans="21:21" ht="12.5">
      <c r="U8315" s="32"/>
    </row>
    <row r="8316" spans="21:21" ht="12.5">
      <c r="U8316" s="32"/>
    </row>
    <row r="8317" spans="21:21" ht="12.5">
      <c r="U8317" s="32"/>
    </row>
    <row r="8318" spans="21:21" ht="12.5">
      <c r="U8318" s="32"/>
    </row>
    <row r="8319" spans="21:21" ht="12.5">
      <c r="U8319" s="32"/>
    </row>
    <row r="8320" spans="21:21" ht="12.5">
      <c r="U8320" s="32"/>
    </row>
    <row r="8321" spans="21:21" ht="12.5">
      <c r="U8321" s="32"/>
    </row>
    <row r="8322" spans="21:21" ht="12.5">
      <c r="U8322" s="32"/>
    </row>
    <row r="8323" spans="21:21" ht="12.5">
      <c r="U8323" s="32"/>
    </row>
    <row r="8324" spans="21:21" ht="12.5">
      <c r="U8324" s="32"/>
    </row>
    <row r="8325" spans="21:21" ht="12.5">
      <c r="U8325" s="32"/>
    </row>
    <row r="8326" spans="21:21" ht="12.5">
      <c r="U8326" s="32"/>
    </row>
    <row r="8327" spans="21:21" ht="12.5">
      <c r="U8327" s="32"/>
    </row>
    <row r="8328" spans="21:21" ht="12.5">
      <c r="U8328" s="32"/>
    </row>
    <row r="8329" spans="21:21" ht="12.5">
      <c r="U8329" s="32"/>
    </row>
    <row r="8330" spans="21:21" ht="12.5">
      <c r="U8330" s="32"/>
    </row>
    <row r="8331" spans="21:21" ht="12.5">
      <c r="U8331" s="32"/>
    </row>
    <row r="8332" spans="21:21" ht="12.5">
      <c r="U8332" s="32"/>
    </row>
    <row r="8333" spans="21:21" ht="12.5">
      <c r="U8333" s="32"/>
    </row>
    <row r="8334" spans="21:21" ht="12.5">
      <c r="U8334" s="32"/>
    </row>
    <row r="8335" spans="21:21" ht="12.5">
      <c r="U8335" s="32"/>
    </row>
    <row r="8336" spans="21:21" ht="12.5">
      <c r="U8336" s="32"/>
    </row>
    <row r="8337" spans="21:21" ht="12.5">
      <c r="U8337" s="32"/>
    </row>
    <row r="8338" spans="21:21" ht="12.5">
      <c r="U8338" s="32"/>
    </row>
    <row r="8339" spans="21:21" ht="12.5">
      <c r="U8339" s="32"/>
    </row>
    <row r="8340" spans="21:21" ht="12.5">
      <c r="U8340" s="32"/>
    </row>
    <row r="8341" spans="21:21" ht="12.5">
      <c r="U8341" s="32"/>
    </row>
    <row r="8342" spans="21:21" ht="12.5">
      <c r="U8342" s="32"/>
    </row>
    <row r="8343" spans="21:21" ht="12.5">
      <c r="U8343" s="32"/>
    </row>
    <row r="8344" spans="21:21" ht="12.5">
      <c r="U8344" s="32"/>
    </row>
    <row r="8345" spans="21:21" ht="12.5">
      <c r="U8345" s="32"/>
    </row>
    <row r="8346" spans="21:21" ht="12.5">
      <c r="U8346" s="32"/>
    </row>
    <row r="8347" spans="21:21" ht="12.5">
      <c r="U8347" s="32"/>
    </row>
    <row r="8348" spans="21:21" ht="12.5">
      <c r="U8348" s="32"/>
    </row>
    <row r="8349" spans="21:21" ht="12.5">
      <c r="U8349" s="32"/>
    </row>
    <row r="8350" spans="21:21" ht="12.5">
      <c r="U8350" s="32"/>
    </row>
    <row r="8351" spans="21:21" ht="12.5">
      <c r="U8351" s="32"/>
    </row>
    <row r="8352" spans="21:21" ht="12.5">
      <c r="U8352" s="32"/>
    </row>
    <row r="8353" spans="21:21" ht="12.5">
      <c r="U8353" s="32"/>
    </row>
    <row r="8354" spans="21:21" ht="12.5">
      <c r="U8354" s="32"/>
    </row>
    <row r="8355" spans="21:21" ht="12.5">
      <c r="U8355" s="32"/>
    </row>
    <row r="8356" spans="21:21" ht="12.5">
      <c r="U8356" s="32"/>
    </row>
    <row r="8357" spans="21:21" ht="12.5">
      <c r="U8357" s="32"/>
    </row>
    <row r="8358" spans="21:21" ht="12.5">
      <c r="U8358" s="32"/>
    </row>
    <row r="8359" spans="21:21" ht="12.5">
      <c r="U8359" s="32"/>
    </row>
    <row r="8360" spans="21:21" ht="12.5">
      <c r="U8360" s="32"/>
    </row>
    <row r="8361" spans="21:21" ht="12.5">
      <c r="U8361" s="32"/>
    </row>
    <row r="8362" spans="21:21" ht="12.5">
      <c r="U8362" s="32"/>
    </row>
    <row r="8363" spans="21:21" ht="12.5">
      <c r="U8363" s="32"/>
    </row>
    <row r="8364" spans="21:21" ht="12.5">
      <c r="U8364" s="32"/>
    </row>
    <row r="8365" spans="21:21" ht="12.5">
      <c r="U8365" s="32"/>
    </row>
    <row r="8366" spans="21:21" ht="12.5">
      <c r="U8366" s="32"/>
    </row>
    <row r="8367" spans="21:21" ht="12.5">
      <c r="U8367" s="32"/>
    </row>
    <row r="8368" spans="21:21" ht="12.5">
      <c r="U8368" s="32"/>
    </row>
    <row r="8369" spans="21:21" ht="12.5">
      <c r="U8369" s="32"/>
    </row>
    <row r="8370" spans="21:21" ht="12.5">
      <c r="U8370" s="32"/>
    </row>
    <row r="8371" spans="21:21" ht="12.5">
      <c r="U8371" s="32"/>
    </row>
    <row r="8372" spans="21:21" ht="12.5">
      <c r="U8372" s="32"/>
    </row>
    <row r="8373" spans="21:21" ht="12.5">
      <c r="U8373" s="32"/>
    </row>
    <row r="8374" spans="21:21" ht="12.5">
      <c r="U8374" s="32"/>
    </row>
    <row r="8375" spans="21:21" ht="12.5">
      <c r="U8375" s="32"/>
    </row>
    <row r="8376" spans="21:21" ht="12.5">
      <c r="U8376" s="32"/>
    </row>
    <row r="8377" spans="21:21" ht="12.5">
      <c r="U8377" s="32"/>
    </row>
    <row r="8378" spans="21:21" ht="12.5">
      <c r="U8378" s="32"/>
    </row>
    <row r="8379" spans="21:21" ht="12.5">
      <c r="U8379" s="32"/>
    </row>
    <row r="8380" spans="21:21" ht="12.5">
      <c r="U8380" s="32"/>
    </row>
    <row r="8381" spans="21:21" ht="12.5">
      <c r="U8381" s="32"/>
    </row>
    <row r="8382" spans="21:21" ht="12.5">
      <c r="U8382" s="32"/>
    </row>
    <row r="8383" spans="21:21" ht="12.5">
      <c r="U8383" s="32"/>
    </row>
    <row r="8384" spans="21:21" ht="12.5">
      <c r="U8384" s="32"/>
    </row>
    <row r="8385" spans="21:21" ht="12.5">
      <c r="U8385" s="32"/>
    </row>
    <row r="8386" spans="21:21" ht="12.5">
      <c r="U8386" s="32"/>
    </row>
    <row r="8387" spans="21:21" ht="12.5">
      <c r="U8387" s="32"/>
    </row>
    <row r="8388" spans="21:21" ht="12.5">
      <c r="U8388" s="32"/>
    </row>
    <row r="8389" spans="21:21" ht="12.5">
      <c r="U8389" s="32"/>
    </row>
    <row r="8390" spans="21:21" ht="12.5">
      <c r="U8390" s="32"/>
    </row>
    <row r="8391" spans="21:21" ht="12.5">
      <c r="U8391" s="32"/>
    </row>
    <row r="8392" spans="21:21" ht="12.5">
      <c r="U8392" s="32"/>
    </row>
    <row r="8393" spans="21:21" ht="12.5">
      <c r="U8393" s="32"/>
    </row>
    <row r="8394" spans="21:21" ht="12.5">
      <c r="U8394" s="32"/>
    </row>
    <row r="8395" spans="21:21" ht="12.5">
      <c r="U8395" s="32"/>
    </row>
    <row r="8396" spans="21:21" ht="12.5">
      <c r="U8396" s="32"/>
    </row>
    <row r="8397" spans="21:21" ht="12.5">
      <c r="U8397" s="32"/>
    </row>
    <row r="8398" spans="21:21" ht="12.5">
      <c r="U8398" s="32"/>
    </row>
    <row r="8399" spans="21:21" ht="12.5">
      <c r="U8399" s="32"/>
    </row>
    <row r="8400" spans="21:21" ht="12.5">
      <c r="U8400" s="32"/>
    </row>
    <row r="8401" spans="21:21" ht="12.5">
      <c r="U8401" s="32"/>
    </row>
    <row r="8402" spans="21:21" ht="12.5">
      <c r="U8402" s="32"/>
    </row>
    <row r="8403" spans="21:21" ht="12.5">
      <c r="U8403" s="32"/>
    </row>
    <row r="8404" spans="21:21" ht="12.5">
      <c r="U8404" s="32"/>
    </row>
    <row r="8405" spans="21:21" ht="12.5">
      <c r="U8405" s="32"/>
    </row>
    <row r="8406" spans="21:21" ht="12.5">
      <c r="U8406" s="32"/>
    </row>
    <row r="8407" spans="21:21" ht="12.5">
      <c r="U8407" s="32"/>
    </row>
    <row r="8408" spans="21:21" ht="12.5">
      <c r="U8408" s="32"/>
    </row>
    <row r="8409" spans="21:21" ht="12.5">
      <c r="U8409" s="32"/>
    </row>
    <row r="8410" spans="21:21" ht="12.5">
      <c r="U8410" s="32"/>
    </row>
    <row r="8411" spans="21:21" ht="12.5">
      <c r="U8411" s="32"/>
    </row>
    <row r="8412" spans="21:21" ht="12.5">
      <c r="U8412" s="32"/>
    </row>
    <row r="8413" spans="21:21" ht="12.5">
      <c r="U8413" s="32"/>
    </row>
    <row r="8414" spans="21:21" ht="12.5">
      <c r="U8414" s="32"/>
    </row>
    <row r="8415" spans="21:21" ht="12.5">
      <c r="U8415" s="32"/>
    </row>
    <row r="8416" spans="21:21" ht="12.5">
      <c r="U8416" s="32"/>
    </row>
    <row r="8417" spans="21:21" ht="12.5">
      <c r="U8417" s="32"/>
    </row>
    <row r="8418" spans="21:21" ht="12.5">
      <c r="U8418" s="32"/>
    </row>
    <row r="8419" spans="21:21" ht="12.5">
      <c r="U8419" s="32"/>
    </row>
    <row r="8420" spans="21:21" ht="12.5">
      <c r="U8420" s="32"/>
    </row>
    <row r="8421" spans="21:21" ht="12.5">
      <c r="U8421" s="32"/>
    </row>
    <row r="8422" spans="21:21" ht="12.5">
      <c r="U8422" s="32"/>
    </row>
    <row r="8423" spans="21:21" ht="12.5">
      <c r="U8423" s="32"/>
    </row>
    <row r="8424" spans="21:21" ht="12.5">
      <c r="U8424" s="32"/>
    </row>
    <row r="8425" spans="21:21" ht="12.5">
      <c r="U8425" s="32"/>
    </row>
    <row r="8426" spans="21:21" ht="12.5">
      <c r="U8426" s="32"/>
    </row>
    <row r="8427" spans="21:21" ht="12.5">
      <c r="U8427" s="32"/>
    </row>
    <row r="8428" spans="21:21" ht="12.5">
      <c r="U8428" s="32"/>
    </row>
    <row r="8429" spans="21:21" ht="12.5">
      <c r="U8429" s="32"/>
    </row>
    <row r="8430" spans="21:21" ht="12.5">
      <c r="U8430" s="32"/>
    </row>
    <row r="8431" spans="21:21" ht="12.5">
      <c r="U8431" s="32"/>
    </row>
    <row r="8432" spans="21:21" ht="12.5">
      <c r="U8432" s="32"/>
    </row>
    <row r="8433" spans="21:21" ht="12.5">
      <c r="U8433" s="32"/>
    </row>
    <row r="8434" spans="21:21" ht="12.5">
      <c r="U8434" s="32"/>
    </row>
    <row r="8435" spans="21:21" ht="12.5">
      <c r="U8435" s="32"/>
    </row>
    <row r="8436" spans="21:21" ht="12.5">
      <c r="U8436" s="32"/>
    </row>
    <row r="8437" spans="21:21" ht="12.5">
      <c r="U8437" s="32"/>
    </row>
    <row r="8438" spans="21:21" ht="12.5">
      <c r="U8438" s="32"/>
    </row>
    <row r="8439" spans="21:21" ht="12.5">
      <c r="U8439" s="32"/>
    </row>
    <row r="8440" spans="21:21" ht="12.5">
      <c r="U8440" s="32"/>
    </row>
    <row r="8441" spans="21:21" ht="12.5">
      <c r="U8441" s="32"/>
    </row>
    <row r="8442" spans="21:21" ht="12.5">
      <c r="U8442" s="32"/>
    </row>
    <row r="8443" spans="21:21" ht="12.5">
      <c r="U8443" s="32"/>
    </row>
    <row r="8444" spans="21:21" ht="12.5">
      <c r="U8444" s="32"/>
    </row>
    <row r="8445" spans="21:21" ht="12.5">
      <c r="U8445" s="32"/>
    </row>
    <row r="8446" spans="21:21" ht="12.5">
      <c r="U8446" s="32"/>
    </row>
    <row r="8447" spans="21:21" ht="12.5">
      <c r="U8447" s="32"/>
    </row>
    <row r="8448" spans="21:21" ht="12.5">
      <c r="U8448" s="32"/>
    </row>
    <row r="8449" spans="21:21" ht="12.5">
      <c r="U8449" s="32"/>
    </row>
    <row r="8450" spans="21:21" ht="12.5">
      <c r="U8450" s="32"/>
    </row>
    <row r="8451" spans="21:21" ht="12.5">
      <c r="U8451" s="32"/>
    </row>
    <row r="8452" spans="21:21" ht="12.5">
      <c r="U8452" s="32"/>
    </row>
    <row r="8453" spans="21:21" ht="12.5">
      <c r="U8453" s="32"/>
    </row>
    <row r="8454" spans="21:21" ht="12.5">
      <c r="U8454" s="32"/>
    </row>
    <row r="8455" spans="21:21" ht="12.5">
      <c r="U8455" s="32"/>
    </row>
    <row r="8456" spans="21:21" ht="12.5">
      <c r="U8456" s="32"/>
    </row>
    <row r="8457" spans="21:21" ht="12.5">
      <c r="U8457" s="32"/>
    </row>
    <row r="8458" spans="21:21" ht="12.5">
      <c r="U8458" s="32"/>
    </row>
    <row r="8459" spans="21:21" ht="12.5">
      <c r="U8459" s="32"/>
    </row>
    <row r="8460" spans="21:21" ht="12.5">
      <c r="U8460" s="32"/>
    </row>
    <row r="8461" spans="21:21" ht="12.5">
      <c r="U8461" s="32"/>
    </row>
    <row r="8462" spans="21:21" ht="12.5">
      <c r="U8462" s="32"/>
    </row>
    <row r="8463" spans="21:21" ht="12.5">
      <c r="U8463" s="32"/>
    </row>
    <row r="8464" spans="21:21" ht="12.5">
      <c r="U8464" s="32"/>
    </row>
    <row r="8465" spans="21:21" ht="12.5">
      <c r="U8465" s="32"/>
    </row>
    <row r="8466" spans="21:21" ht="12.5">
      <c r="U8466" s="32"/>
    </row>
    <row r="8467" spans="21:21" ht="12.5">
      <c r="U8467" s="32"/>
    </row>
    <row r="8468" spans="21:21" ht="12.5">
      <c r="U8468" s="32"/>
    </row>
    <row r="8469" spans="21:21" ht="12.5">
      <c r="U8469" s="32"/>
    </row>
    <row r="8470" spans="21:21" ht="12.5">
      <c r="U8470" s="32"/>
    </row>
    <row r="8471" spans="21:21" ht="12.5">
      <c r="U8471" s="32"/>
    </row>
    <row r="8472" spans="21:21" ht="12.5">
      <c r="U8472" s="32"/>
    </row>
    <row r="8473" spans="21:21" ht="12.5">
      <c r="U8473" s="32"/>
    </row>
    <row r="8474" spans="21:21" ht="12.5">
      <c r="U8474" s="32"/>
    </row>
    <row r="8475" spans="21:21" ht="12.5">
      <c r="U8475" s="32"/>
    </row>
    <row r="8476" spans="21:21" ht="12.5">
      <c r="U8476" s="32"/>
    </row>
    <row r="8477" spans="21:21" ht="12.5">
      <c r="U8477" s="32"/>
    </row>
    <row r="8478" spans="21:21" ht="12.5">
      <c r="U8478" s="32"/>
    </row>
    <row r="8479" spans="21:21" ht="12.5">
      <c r="U8479" s="32"/>
    </row>
    <row r="8480" spans="21:21" ht="12.5">
      <c r="U8480" s="32"/>
    </row>
    <row r="8481" spans="21:21" ht="12.5">
      <c r="U8481" s="32"/>
    </row>
    <row r="8482" spans="21:21" ht="12.5">
      <c r="U8482" s="32"/>
    </row>
    <row r="8483" spans="21:21" ht="12.5">
      <c r="U8483" s="32"/>
    </row>
    <row r="8484" spans="21:21" ht="12.5">
      <c r="U8484" s="32"/>
    </row>
    <row r="8485" spans="21:21" ht="12.5">
      <c r="U8485" s="32"/>
    </row>
    <row r="8486" spans="21:21" ht="12.5">
      <c r="U8486" s="32"/>
    </row>
    <row r="8487" spans="21:21" ht="12.5">
      <c r="U8487" s="32"/>
    </row>
    <row r="8488" spans="21:21" ht="12.5">
      <c r="U8488" s="32"/>
    </row>
    <row r="8489" spans="21:21" ht="12.5">
      <c r="U8489" s="32"/>
    </row>
    <row r="8490" spans="21:21" ht="12.5">
      <c r="U8490" s="32"/>
    </row>
    <row r="8491" spans="21:21" ht="12.5">
      <c r="U8491" s="32"/>
    </row>
    <row r="8492" spans="21:21" ht="12.5">
      <c r="U8492" s="32"/>
    </row>
    <row r="8493" spans="21:21" ht="12.5">
      <c r="U8493" s="32"/>
    </row>
    <row r="8494" spans="21:21" ht="12.5">
      <c r="U8494" s="32"/>
    </row>
    <row r="8495" spans="21:21" ht="12.5">
      <c r="U8495" s="32"/>
    </row>
    <row r="8496" spans="21:21" ht="12.5">
      <c r="U8496" s="32"/>
    </row>
    <row r="8497" spans="21:21" ht="12.5">
      <c r="U8497" s="32"/>
    </row>
    <row r="8498" spans="21:21" ht="12.5">
      <c r="U8498" s="32"/>
    </row>
    <row r="8499" spans="21:21" ht="12.5">
      <c r="U8499" s="32"/>
    </row>
    <row r="8500" spans="21:21" ht="12.5">
      <c r="U8500" s="32"/>
    </row>
    <row r="8501" spans="21:21" ht="12.5">
      <c r="U8501" s="32"/>
    </row>
    <row r="8502" spans="21:21" ht="12.5">
      <c r="U8502" s="32"/>
    </row>
    <row r="8503" spans="21:21" ht="12.5">
      <c r="U8503" s="32"/>
    </row>
    <row r="8504" spans="21:21" ht="12.5">
      <c r="U8504" s="32"/>
    </row>
    <row r="8505" spans="21:21" ht="12.5">
      <c r="U8505" s="32"/>
    </row>
    <row r="8506" spans="21:21" ht="12.5">
      <c r="U8506" s="32"/>
    </row>
    <row r="8507" spans="21:21" ht="12.5">
      <c r="U8507" s="32"/>
    </row>
    <row r="8508" spans="21:21" ht="12.5">
      <c r="U8508" s="32"/>
    </row>
    <row r="8509" spans="21:21" ht="12.5">
      <c r="U8509" s="32"/>
    </row>
    <row r="8510" spans="21:21" ht="12.5">
      <c r="U8510" s="32"/>
    </row>
    <row r="8511" spans="21:21" ht="12.5">
      <c r="U8511" s="32"/>
    </row>
    <row r="8512" spans="21:21" ht="12.5">
      <c r="U8512" s="32"/>
    </row>
    <row r="8513" spans="21:21" ht="12.5">
      <c r="U8513" s="32"/>
    </row>
    <row r="8514" spans="21:21" ht="12.5">
      <c r="U8514" s="32"/>
    </row>
    <row r="8515" spans="21:21" ht="12.5">
      <c r="U8515" s="32"/>
    </row>
    <row r="8516" spans="21:21" ht="12.5">
      <c r="U8516" s="32"/>
    </row>
    <row r="8517" spans="21:21" ht="12.5">
      <c r="U8517" s="32"/>
    </row>
    <row r="8518" spans="21:21" ht="12.5">
      <c r="U8518" s="32"/>
    </row>
    <row r="8519" spans="21:21" ht="12.5">
      <c r="U8519" s="32"/>
    </row>
    <row r="8520" spans="21:21" ht="12.5">
      <c r="U8520" s="32"/>
    </row>
    <row r="8521" spans="21:21" ht="12.5">
      <c r="U8521" s="32"/>
    </row>
    <row r="8522" spans="21:21" ht="12.5">
      <c r="U8522" s="32"/>
    </row>
    <row r="8523" spans="21:21" ht="12.5">
      <c r="U8523" s="32"/>
    </row>
    <row r="8524" spans="21:21" ht="12.5">
      <c r="U8524" s="32"/>
    </row>
    <row r="8525" spans="21:21" ht="12.5">
      <c r="U8525" s="32"/>
    </row>
    <row r="8526" spans="21:21" ht="12.5">
      <c r="U8526" s="32"/>
    </row>
    <row r="8527" spans="21:21" ht="12.5">
      <c r="U8527" s="32"/>
    </row>
    <row r="8528" spans="21:21" ht="12.5">
      <c r="U8528" s="32"/>
    </row>
    <row r="8529" spans="21:21" ht="12.5">
      <c r="U8529" s="32"/>
    </row>
    <row r="8530" spans="21:21" ht="12.5">
      <c r="U8530" s="32"/>
    </row>
    <row r="8531" spans="21:21" ht="12.5">
      <c r="U8531" s="32"/>
    </row>
    <row r="8532" spans="21:21" ht="12.5">
      <c r="U8532" s="32"/>
    </row>
    <row r="8533" spans="21:21" ht="12.5">
      <c r="U8533" s="32"/>
    </row>
    <row r="8534" spans="21:21" ht="12.5">
      <c r="U8534" s="32"/>
    </row>
    <row r="8535" spans="21:21" ht="12.5">
      <c r="U8535" s="32"/>
    </row>
    <row r="8536" spans="21:21" ht="12.5">
      <c r="U8536" s="32"/>
    </row>
    <row r="8537" spans="21:21" ht="12.5">
      <c r="U8537" s="32"/>
    </row>
    <row r="8538" spans="21:21" ht="12.5">
      <c r="U8538" s="32"/>
    </row>
    <row r="8539" spans="21:21" ht="12.5">
      <c r="U8539" s="32"/>
    </row>
    <row r="8540" spans="21:21" ht="12.5">
      <c r="U8540" s="32"/>
    </row>
    <row r="8541" spans="21:21" ht="12.5">
      <c r="U8541" s="32"/>
    </row>
    <row r="8542" spans="21:21" ht="12.5">
      <c r="U8542" s="32"/>
    </row>
    <row r="8543" spans="21:21" ht="12.5">
      <c r="U8543" s="32"/>
    </row>
    <row r="8544" spans="21:21" ht="12.5">
      <c r="U8544" s="32"/>
    </row>
    <row r="8545" spans="21:21" ht="12.5">
      <c r="U8545" s="32"/>
    </row>
    <row r="8546" spans="21:21" ht="12.5">
      <c r="U8546" s="32"/>
    </row>
    <row r="8547" spans="21:21" ht="12.5">
      <c r="U8547" s="32"/>
    </row>
    <row r="8548" spans="21:21" ht="12.5">
      <c r="U8548" s="32"/>
    </row>
    <row r="8549" spans="21:21" ht="12.5">
      <c r="U8549" s="32"/>
    </row>
    <row r="8550" spans="21:21" ht="12.5">
      <c r="U8550" s="32"/>
    </row>
    <row r="8551" spans="21:21" ht="12.5">
      <c r="U8551" s="32"/>
    </row>
    <row r="8552" spans="21:21" ht="12.5">
      <c r="U8552" s="32"/>
    </row>
    <row r="8553" spans="21:21" ht="12.5">
      <c r="U8553" s="32"/>
    </row>
    <row r="8554" spans="21:21" ht="12.5">
      <c r="U8554" s="32"/>
    </row>
    <row r="8555" spans="21:21" ht="12.5">
      <c r="U8555" s="32"/>
    </row>
    <row r="8556" spans="21:21" ht="12.5">
      <c r="U8556" s="32"/>
    </row>
    <row r="8557" spans="21:21" ht="12.5">
      <c r="U8557" s="32"/>
    </row>
    <row r="8558" spans="21:21" ht="12.5">
      <c r="U8558" s="32"/>
    </row>
    <row r="8559" spans="21:21" ht="12.5">
      <c r="U8559" s="32"/>
    </row>
    <row r="8560" spans="21:21" ht="12.5">
      <c r="U8560" s="32"/>
    </row>
    <row r="8561" spans="21:21" ht="12.5">
      <c r="U8561" s="32"/>
    </row>
    <row r="8562" spans="21:21" ht="12.5">
      <c r="U8562" s="32"/>
    </row>
    <row r="8563" spans="21:21" ht="12.5">
      <c r="U8563" s="32"/>
    </row>
    <row r="8564" spans="21:21" ht="12.5">
      <c r="U8564" s="32"/>
    </row>
    <row r="8565" spans="21:21" ht="12.5">
      <c r="U8565" s="32"/>
    </row>
    <row r="8566" spans="21:21" ht="12.5">
      <c r="U8566" s="32"/>
    </row>
    <row r="8567" spans="21:21" ht="12.5">
      <c r="U8567" s="32"/>
    </row>
    <row r="8568" spans="21:21" ht="12.5">
      <c r="U8568" s="32"/>
    </row>
    <row r="8569" spans="21:21" ht="12.5">
      <c r="U8569" s="32"/>
    </row>
    <row r="8570" spans="21:21" ht="12.5">
      <c r="U8570" s="32"/>
    </row>
    <row r="8571" spans="21:21" ht="12.5">
      <c r="U8571" s="32"/>
    </row>
    <row r="8572" spans="21:21" ht="12.5">
      <c r="U8572" s="32"/>
    </row>
    <row r="8573" spans="21:21" ht="12.5">
      <c r="U8573" s="32"/>
    </row>
    <row r="8574" spans="21:21" ht="12.5">
      <c r="U8574" s="32"/>
    </row>
    <row r="8575" spans="21:21" ht="12.5">
      <c r="U8575" s="32"/>
    </row>
    <row r="8576" spans="21:21" ht="12.5">
      <c r="U8576" s="32"/>
    </row>
    <row r="8577" spans="21:21" ht="12.5">
      <c r="U8577" s="32"/>
    </row>
    <row r="8578" spans="21:21" ht="12.5">
      <c r="U8578" s="32"/>
    </row>
    <row r="8579" spans="21:21" ht="12.5">
      <c r="U8579" s="32"/>
    </row>
    <row r="8580" spans="21:21" ht="12.5">
      <c r="U8580" s="32"/>
    </row>
    <row r="8581" spans="21:21" ht="12.5">
      <c r="U8581" s="32"/>
    </row>
    <row r="8582" spans="21:21" ht="12.5">
      <c r="U8582" s="32"/>
    </row>
    <row r="8583" spans="21:21" ht="12.5">
      <c r="U8583" s="32"/>
    </row>
    <row r="8584" spans="21:21" ht="12.5">
      <c r="U8584" s="32"/>
    </row>
    <row r="8585" spans="21:21" ht="12.5">
      <c r="U8585" s="32"/>
    </row>
    <row r="8586" spans="21:21" ht="12.5">
      <c r="U8586" s="32"/>
    </row>
    <row r="8587" spans="21:21" ht="12.5">
      <c r="U8587" s="32"/>
    </row>
    <row r="8588" spans="21:21" ht="12.5">
      <c r="U8588" s="32"/>
    </row>
    <row r="8589" spans="21:21" ht="12.5">
      <c r="U8589" s="32"/>
    </row>
    <row r="8590" spans="21:21" ht="12.5">
      <c r="U8590" s="32"/>
    </row>
    <row r="8591" spans="21:21" ht="12.5">
      <c r="U8591" s="32"/>
    </row>
    <row r="8592" spans="21:21" ht="12.5">
      <c r="U8592" s="32"/>
    </row>
    <row r="8593" spans="21:21" ht="12.5">
      <c r="U8593" s="32"/>
    </row>
    <row r="8594" spans="21:21" ht="12.5">
      <c r="U8594" s="32"/>
    </row>
    <row r="8595" spans="21:21" ht="12.5">
      <c r="U8595" s="32"/>
    </row>
    <row r="8596" spans="21:21" ht="12.5">
      <c r="U8596" s="32"/>
    </row>
    <row r="8597" spans="21:21" ht="12.5">
      <c r="U8597" s="32"/>
    </row>
    <row r="8598" spans="21:21" ht="12.5">
      <c r="U8598" s="32"/>
    </row>
    <row r="8599" spans="21:21" ht="12.5">
      <c r="U8599" s="32"/>
    </row>
    <row r="8600" spans="21:21" ht="12.5">
      <c r="U8600" s="32"/>
    </row>
    <row r="8601" spans="21:21" ht="12.5">
      <c r="U8601" s="32"/>
    </row>
    <row r="8602" spans="21:21" ht="12.5">
      <c r="U8602" s="32"/>
    </row>
    <row r="8603" spans="21:21" ht="12.5">
      <c r="U8603" s="32"/>
    </row>
    <row r="8604" spans="21:21" ht="12.5">
      <c r="U8604" s="32"/>
    </row>
    <row r="8605" spans="21:21" ht="12.5">
      <c r="U8605" s="32"/>
    </row>
    <row r="8606" spans="21:21" ht="12.5">
      <c r="U8606" s="32"/>
    </row>
    <row r="8607" spans="21:21" ht="12.5">
      <c r="U8607" s="32"/>
    </row>
    <row r="8608" spans="21:21" ht="12.5">
      <c r="U8608" s="32"/>
    </row>
    <row r="8609" spans="21:21" ht="12.5">
      <c r="U8609" s="32"/>
    </row>
    <row r="8610" spans="21:21" ht="12.5">
      <c r="U8610" s="32"/>
    </row>
    <row r="8611" spans="21:21" ht="12.5">
      <c r="U8611" s="32"/>
    </row>
    <row r="8612" spans="21:21" ht="12.5">
      <c r="U8612" s="32"/>
    </row>
    <row r="8613" spans="21:21" ht="12.5">
      <c r="U8613" s="32"/>
    </row>
    <row r="8614" spans="21:21" ht="12.5">
      <c r="U8614" s="32"/>
    </row>
    <row r="8615" spans="21:21" ht="12.5">
      <c r="U8615" s="32"/>
    </row>
    <row r="8616" spans="21:21" ht="12.5">
      <c r="U8616" s="32"/>
    </row>
    <row r="8617" spans="21:21" ht="12.5">
      <c r="U8617" s="32"/>
    </row>
    <row r="8618" spans="21:21" ht="12.5">
      <c r="U8618" s="32"/>
    </row>
    <row r="8619" spans="21:21" ht="12.5">
      <c r="U8619" s="32"/>
    </row>
    <row r="8620" spans="21:21" ht="12.5">
      <c r="U8620" s="32"/>
    </row>
    <row r="8621" spans="21:21" ht="12.5">
      <c r="U8621" s="32"/>
    </row>
    <row r="8622" spans="21:21" ht="12.5">
      <c r="U8622" s="32"/>
    </row>
    <row r="8623" spans="21:21" ht="12.5">
      <c r="U8623" s="32"/>
    </row>
    <row r="8624" spans="21:21" ht="12.5">
      <c r="U8624" s="32"/>
    </row>
    <row r="8625" spans="21:21" ht="12.5">
      <c r="U8625" s="32"/>
    </row>
    <row r="8626" spans="21:21" ht="12.5">
      <c r="U8626" s="32"/>
    </row>
    <row r="8627" spans="21:21" ht="12.5">
      <c r="U8627" s="32"/>
    </row>
    <row r="8628" spans="21:21" ht="12.5">
      <c r="U8628" s="32"/>
    </row>
    <row r="8629" spans="21:21" ht="12.5">
      <c r="U8629" s="32"/>
    </row>
    <row r="8630" spans="21:21" ht="12.5">
      <c r="U8630" s="32"/>
    </row>
    <row r="8631" spans="21:21" ht="12.5">
      <c r="U8631" s="32"/>
    </row>
    <row r="8632" spans="21:21" ht="12.5">
      <c r="U8632" s="32"/>
    </row>
    <row r="8633" spans="21:21" ht="12.5">
      <c r="U8633" s="32"/>
    </row>
    <row r="8634" spans="21:21" ht="12.5">
      <c r="U8634" s="32"/>
    </row>
    <row r="8635" spans="21:21" ht="12.5">
      <c r="U8635" s="32"/>
    </row>
    <row r="8636" spans="21:21" ht="12.5">
      <c r="U8636" s="32"/>
    </row>
    <row r="8637" spans="21:21" ht="12.5">
      <c r="U8637" s="32"/>
    </row>
    <row r="8638" spans="21:21" ht="12.5">
      <c r="U8638" s="32"/>
    </row>
    <row r="8639" spans="21:21" ht="12.5">
      <c r="U8639" s="32"/>
    </row>
    <row r="8640" spans="21:21" ht="12.5">
      <c r="U8640" s="32"/>
    </row>
    <row r="8641" spans="21:21" ht="12.5">
      <c r="U8641" s="32"/>
    </row>
    <row r="8642" spans="21:21" ht="12.5">
      <c r="U8642" s="32"/>
    </row>
    <row r="8643" spans="21:21" ht="12.5">
      <c r="U8643" s="32"/>
    </row>
    <row r="8644" spans="21:21" ht="12.5">
      <c r="U8644" s="32"/>
    </row>
    <row r="8645" spans="21:21" ht="12.5">
      <c r="U8645" s="32"/>
    </row>
    <row r="8646" spans="21:21" ht="12.5">
      <c r="U8646" s="32"/>
    </row>
    <row r="8647" spans="21:21" ht="12.5">
      <c r="U8647" s="32"/>
    </row>
    <row r="8648" spans="21:21" ht="12.5">
      <c r="U8648" s="32"/>
    </row>
    <row r="8649" spans="21:21" ht="12.5">
      <c r="U8649" s="32"/>
    </row>
    <row r="8650" spans="21:21" ht="12.5">
      <c r="U8650" s="32"/>
    </row>
    <row r="8651" spans="21:21" ht="12.5">
      <c r="U8651" s="32"/>
    </row>
    <row r="8652" spans="21:21" ht="12.5">
      <c r="U8652" s="32"/>
    </row>
    <row r="8653" spans="21:21" ht="12.5">
      <c r="U8653" s="32"/>
    </row>
    <row r="8654" spans="21:21" ht="12.5">
      <c r="U8654" s="32"/>
    </row>
    <row r="8655" spans="21:21" ht="12.5">
      <c r="U8655" s="32"/>
    </row>
    <row r="8656" spans="21:21" ht="12.5">
      <c r="U8656" s="32"/>
    </row>
    <row r="8657" spans="21:21" ht="12.5">
      <c r="U8657" s="32"/>
    </row>
    <row r="8658" spans="21:21" ht="12.5">
      <c r="U8658" s="32"/>
    </row>
    <row r="8659" spans="21:21" ht="12.5">
      <c r="U8659" s="32"/>
    </row>
    <row r="8660" spans="21:21" ht="12.5">
      <c r="U8660" s="32"/>
    </row>
    <row r="8661" spans="21:21" ht="12.5">
      <c r="U8661" s="32"/>
    </row>
    <row r="8662" spans="21:21" ht="12.5">
      <c r="U8662" s="32"/>
    </row>
    <row r="8663" spans="21:21" ht="12.5">
      <c r="U8663" s="32"/>
    </row>
    <row r="8664" spans="21:21" ht="12.5">
      <c r="U8664" s="32"/>
    </row>
    <row r="8665" spans="21:21" ht="12.5">
      <c r="U8665" s="32"/>
    </row>
    <row r="8666" spans="21:21" ht="12.5">
      <c r="U8666" s="32"/>
    </row>
    <row r="8667" spans="21:21" ht="12.5">
      <c r="U8667" s="32"/>
    </row>
    <row r="8668" spans="21:21" ht="12.5">
      <c r="U8668" s="32"/>
    </row>
    <row r="8669" spans="21:21" ht="12.5">
      <c r="U8669" s="32"/>
    </row>
    <row r="8670" spans="21:21" ht="12.5">
      <c r="U8670" s="32"/>
    </row>
    <row r="8671" spans="21:21" ht="12.5">
      <c r="U8671" s="32"/>
    </row>
    <row r="8672" spans="21:21" ht="12.5">
      <c r="U8672" s="32"/>
    </row>
    <row r="8673" spans="21:21" ht="12.5">
      <c r="U8673" s="32"/>
    </row>
    <row r="8674" spans="21:21" ht="12.5">
      <c r="U8674" s="32"/>
    </row>
    <row r="8675" spans="21:21" ht="12.5">
      <c r="U8675" s="32"/>
    </row>
    <row r="8676" spans="21:21" ht="12.5">
      <c r="U8676" s="32"/>
    </row>
    <row r="8677" spans="21:21" ht="12.5">
      <c r="U8677" s="32"/>
    </row>
    <row r="8678" spans="21:21" ht="12.5">
      <c r="U8678" s="32"/>
    </row>
    <row r="8679" spans="21:21" ht="12.5">
      <c r="U8679" s="32"/>
    </row>
    <row r="8680" spans="21:21" ht="12.5">
      <c r="U8680" s="32"/>
    </row>
    <row r="8681" spans="21:21" ht="12.5">
      <c r="U8681" s="32"/>
    </row>
    <row r="8682" spans="21:21" ht="12.5">
      <c r="U8682" s="32"/>
    </row>
    <row r="8683" spans="21:21" ht="12.5">
      <c r="U8683" s="32"/>
    </row>
    <row r="8684" spans="21:21" ht="12.5">
      <c r="U8684" s="32"/>
    </row>
    <row r="8685" spans="21:21" ht="12.5">
      <c r="U8685" s="32"/>
    </row>
    <row r="8686" spans="21:21" ht="12.5">
      <c r="U8686" s="32"/>
    </row>
    <row r="8687" spans="21:21" ht="12.5">
      <c r="U8687" s="32"/>
    </row>
    <row r="8688" spans="21:21" ht="12.5">
      <c r="U8688" s="32"/>
    </row>
    <row r="8689" spans="21:21" ht="12.5">
      <c r="U8689" s="32"/>
    </row>
    <row r="8690" spans="21:21" ht="12.5">
      <c r="U8690" s="32"/>
    </row>
    <row r="8691" spans="21:21" ht="12.5">
      <c r="U8691" s="32"/>
    </row>
    <row r="8692" spans="21:21" ht="12.5">
      <c r="U8692" s="32"/>
    </row>
    <row r="8693" spans="21:21" ht="12.5">
      <c r="U8693" s="32"/>
    </row>
    <row r="8694" spans="21:21" ht="12.5">
      <c r="U8694" s="32"/>
    </row>
    <row r="8695" spans="21:21" ht="12.5">
      <c r="U8695" s="32"/>
    </row>
    <row r="8696" spans="21:21" ht="12.5">
      <c r="U8696" s="32"/>
    </row>
    <row r="8697" spans="21:21" ht="12.5">
      <c r="U8697" s="32"/>
    </row>
    <row r="8698" spans="21:21" ht="12.5">
      <c r="U8698" s="32"/>
    </row>
    <row r="8699" spans="21:21" ht="12.5">
      <c r="U8699" s="32"/>
    </row>
    <row r="8700" spans="21:21" ht="12.5">
      <c r="U8700" s="32"/>
    </row>
    <row r="8701" spans="21:21" ht="12.5">
      <c r="U8701" s="32"/>
    </row>
    <row r="8702" spans="21:21" ht="12.5">
      <c r="U8702" s="32"/>
    </row>
    <row r="8703" spans="21:21" ht="12.5">
      <c r="U8703" s="32"/>
    </row>
    <row r="8704" spans="21:21" ht="12.5">
      <c r="U8704" s="32"/>
    </row>
    <row r="8705" spans="21:21" ht="12.5">
      <c r="U8705" s="32"/>
    </row>
    <row r="8706" spans="21:21" ht="12.5">
      <c r="U8706" s="32"/>
    </row>
    <row r="8707" spans="21:21" ht="12.5">
      <c r="U8707" s="32"/>
    </row>
    <row r="8708" spans="21:21" ht="12.5">
      <c r="U8708" s="32"/>
    </row>
    <row r="8709" spans="21:21" ht="12.5">
      <c r="U8709" s="32"/>
    </row>
    <row r="8710" spans="21:21" ht="12.5">
      <c r="U8710" s="32"/>
    </row>
    <row r="8711" spans="21:21" ht="12.5">
      <c r="U8711" s="32"/>
    </row>
    <row r="8712" spans="21:21" ht="12.5">
      <c r="U8712" s="32"/>
    </row>
    <row r="8713" spans="21:21" ht="12.5">
      <c r="U8713" s="32"/>
    </row>
    <row r="8714" spans="21:21" ht="12.5">
      <c r="U8714" s="32"/>
    </row>
    <row r="8715" spans="21:21" ht="12.5">
      <c r="U8715" s="32"/>
    </row>
    <row r="8716" spans="21:21" ht="12.5">
      <c r="U8716" s="32"/>
    </row>
    <row r="8717" spans="21:21" ht="12.5">
      <c r="U8717" s="32"/>
    </row>
    <row r="8718" spans="21:21" ht="12.5">
      <c r="U8718" s="32"/>
    </row>
    <row r="8719" spans="21:21" ht="12.5">
      <c r="U8719" s="32"/>
    </row>
    <row r="8720" spans="21:21" ht="12.5">
      <c r="U8720" s="32"/>
    </row>
    <row r="8721" spans="21:21" ht="12.5">
      <c r="U8721" s="32"/>
    </row>
    <row r="8722" spans="21:21" ht="12.5">
      <c r="U8722" s="32"/>
    </row>
    <row r="8723" spans="21:21" ht="12.5">
      <c r="U8723" s="32"/>
    </row>
    <row r="8724" spans="21:21" ht="12.5">
      <c r="U8724" s="32"/>
    </row>
    <row r="8725" spans="21:21" ht="12.5">
      <c r="U8725" s="32"/>
    </row>
    <row r="8726" spans="21:21" ht="12.5">
      <c r="U8726" s="32"/>
    </row>
    <row r="8727" spans="21:21" ht="12.5">
      <c r="U8727" s="32"/>
    </row>
    <row r="8728" spans="21:21" ht="12.5">
      <c r="U8728" s="32"/>
    </row>
    <row r="8729" spans="21:21" ht="12.5">
      <c r="U8729" s="32"/>
    </row>
    <row r="8730" spans="21:21" ht="12.5">
      <c r="U8730" s="32"/>
    </row>
    <row r="8731" spans="21:21" ht="12.5">
      <c r="U8731" s="32"/>
    </row>
    <row r="8732" spans="21:21" ht="12.5">
      <c r="U8732" s="32"/>
    </row>
    <row r="8733" spans="21:21" ht="12.5">
      <c r="U8733" s="32"/>
    </row>
    <row r="8734" spans="21:21" ht="12.5">
      <c r="U8734" s="32"/>
    </row>
    <row r="8735" spans="21:21" ht="12.5">
      <c r="U8735" s="32"/>
    </row>
    <row r="8736" spans="21:21" ht="12.5">
      <c r="U8736" s="32"/>
    </row>
    <row r="8737" spans="21:21" ht="12.5">
      <c r="U8737" s="32"/>
    </row>
    <row r="8738" spans="21:21" ht="12.5">
      <c r="U8738" s="32"/>
    </row>
    <row r="8739" spans="21:21" ht="12.5">
      <c r="U8739" s="32"/>
    </row>
    <row r="8740" spans="21:21" ht="12.5">
      <c r="U8740" s="32"/>
    </row>
    <row r="8741" spans="21:21" ht="12.5">
      <c r="U8741" s="32"/>
    </row>
    <row r="8742" spans="21:21" ht="12.5">
      <c r="U8742" s="32"/>
    </row>
    <row r="8743" spans="21:21" ht="12.5">
      <c r="U8743" s="32"/>
    </row>
    <row r="8744" spans="21:21" ht="12.5">
      <c r="U8744" s="32"/>
    </row>
    <row r="8745" spans="21:21" ht="12.5">
      <c r="U8745" s="32"/>
    </row>
    <row r="8746" spans="21:21" ht="12.5">
      <c r="U8746" s="32"/>
    </row>
    <row r="8747" spans="21:21" ht="12.5">
      <c r="U8747" s="32"/>
    </row>
    <row r="8748" spans="21:21" ht="12.5">
      <c r="U8748" s="32"/>
    </row>
    <row r="8749" spans="21:21" ht="12.5">
      <c r="U8749" s="32"/>
    </row>
    <row r="8750" spans="21:21" ht="12.5">
      <c r="U8750" s="32"/>
    </row>
    <row r="8751" spans="21:21" ht="12.5">
      <c r="U8751" s="32"/>
    </row>
    <row r="8752" spans="21:21" ht="12.5">
      <c r="U8752" s="32"/>
    </row>
    <row r="8753" spans="21:21" ht="12.5">
      <c r="U8753" s="32"/>
    </row>
    <row r="8754" spans="21:21" ht="12.5">
      <c r="U8754" s="32"/>
    </row>
    <row r="8755" spans="21:21" ht="12.5">
      <c r="U8755" s="32"/>
    </row>
    <row r="8756" spans="21:21" ht="12.5">
      <c r="U8756" s="32"/>
    </row>
    <row r="8757" spans="21:21" ht="12.5">
      <c r="U8757" s="32"/>
    </row>
    <row r="8758" spans="21:21" ht="12.5">
      <c r="U8758" s="32"/>
    </row>
    <row r="8759" spans="21:21" ht="12.5">
      <c r="U8759" s="32"/>
    </row>
    <row r="8760" spans="21:21" ht="12.5">
      <c r="U8760" s="32"/>
    </row>
    <row r="8761" spans="21:21" ht="12.5">
      <c r="U8761" s="32"/>
    </row>
    <row r="8762" spans="21:21" ht="12.5">
      <c r="U8762" s="32"/>
    </row>
    <row r="8763" spans="21:21" ht="12.5">
      <c r="U8763" s="32"/>
    </row>
    <row r="8764" spans="21:21" ht="12.5">
      <c r="U8764" s="32"/>
    </row>
    <row r="8765" spans="21:21" ht="12.5">
      <c r="U8765" s="32"/>
    </row>
    <row r="8766" spans="21:21" ht="12.5">
      <c r="U8766" s="32"/>
    </row>
    <row r="8767" spans="21:21" ht="12.5">
      <c r="U8767" s="32"/>
    </row>
    <row r="8768" spans="21:21" ht="12.5">
      <c r="U8768" s="32"/>
    </row>
    <row r="8769" spans="21:21" ht="12.5">
      <c r="U8769" s="32"/>
    </row>
    <row r="8770" spans="21:21" ht="12.5">
      <c r="U8770" s="32"/>
    </row>
    <row r="8771" spans="21:21" ht="12.5">
      <c r="U8771" s="32"/>
    </row>
    <row r="8772" spans="21:21" ht="12.5">
      <c r="U8772" s="32"/>
    </row>
    <row r="8773" spans="21:21" ht="12.5">
      <c r="U8773" s="32"/>
    </row>
    <row r="8774" spans="21:21" ht="12.5">
      <c r="U8774" s="32"/>
    </row>
    <row r="8775" spans="21:21" ht="12.5">
      <c r="U8775" s="32"/>
    </row>
    <row r="8776" spans="21:21" ht="12.5">
      <c r="U8776" s="32"/>
    </row>
    <row r="8777" spans="21:21" ht="12.5">
      <c r="U8777" s="32"/>
    </row>
    <row r="8778" spans="21:21" ht="12.5">
      <c r="U8778" s="32"/>
    </row>
    <row r="8779" spans="21:21" ht="12.5">
      <c r="U8779" s="32"/>
    </row>
    <row r="8780" spans="21:21" ht="12.5">
      <c r="U8780" s="32"/>
    </row>
    <row r="8781" spans="21:21" ht="12.5">
      <c r="U8781" s="32"/>
    </row>
    <row r="8782" spans="21:21" ht="12.5">
      <c r="U8782" s="32"/>
    </row>
    <row r="8783" spans="21:21" ht="12.5">
      <c r="U8783" s="32"/>
    </row>
    <row r="8784" spans="21:21" ht="12.5">
      <c r="U8784" s="32"/>
    </row>
    <row r="8785" spans="21:21" ht="12.5">
      <c r="U8785" s="32"/>
    </row>
    <row r="8786" spans="21:21" ht="12.5">
      <c r="U8786" s="32"/>
    </row>
    <row r="8787" spans="21:21" ht="12.5">
      <c r="U8787" s="32"/>
    </row>
    <row r="8788" spans="21:21" ht="12.5">
      <c r="U8788" s="32"/>
    </row>
    <row r="8789" spans="21:21" ht="12.5">
      <c r="U8789" s="32"/>
    </row>
    <row r="8790" spans="21:21" ht="12.5">
      <c r="U8790" s="32"/>
    </row>
    <row r="8791" spans="21:21" ht="12.5">
      <c r="U8791" s="32"/>
    </row>
    <row r="8792" spans="21:21" ht="12.5">
      <c r="U8792" s="32"/>
    </row>
    <row r="8793" spans="21:21" ht="12.5">
      <c r="U8793" s="32"/>
    </row>
    <row r="8794" spans="21:21" ht="12.5">
      <c r="U8794" s="32"/>
    </row>
    <row r="8795" spans="21:21" ht="12.5">
      <c r="U8795" s="32"/>
    </row>
    <row r="8796" spans="21:21" ht="12.5">
      <c r="U8796" s="32"/>
    </row>
    <row r="8797" spans="21:21" ht="12.5">
      <c r="U8797" s="32"/>
    </row>
    <row r="8798" spans="21:21" ht="12.5">
      <c r="U8798" s="32"/>
    </row>
    <row r="8799" spans="21:21" ht="12.5">
      <c r="U8799" s="32"/>
    </row>
    <row r="8800" spans="21:21" ht="12.5">
      <c r="U8800" s="32"/>
    </row>
    <row r="8801" spans="21:21" ht="12.5">
      <c r="U8801" s="32"/>
    </row>
    <row r="8802" spans="21:21" ht="12.5">
      <c r="U8802" s="32"/>
    </row>
    <row r="8803" spans="21:21" ht="12.5">
      <c r="U8803" s="32"/>
    </row>
    <row r="8804" spans="21:21" ht="12.5">
      <c r="U8804" s="32"/>
    </row>
    <row r="8805" spans="21:21" ht="12.5">
      <c r="U8805" s="32"/>
    </row>
    <row r="8806" spans="21:21" ht="12.5">
      <c r="U8806" s="32"/>
    </row>
    <row r="8807" spans="21:21" ht="12.5">
      <c r="U8807" s="32"/>
    </row>
    <row r="8808" spans="21:21" ht="12.5">
      <c r="U8808" s="32"/>
    </row>
    <row r="8809" spans="21:21" ht="12.5">
      <c r="U8809" s="32"/>
    </row>
    <row r="8810" spans="21:21" ht="12.5">
      <c r="U8810" s="32"/>
    </row>
    <row r="8811" spans="21:21" ht="12.5">
      <c r="U8811" s="32"/>
    </row>
    <row r="8812" spans="21:21" ht="12.5">
      <c r="U8812" s="32"/>
    </row>
    <row r="8813" spans="21:21" ht="12.5">
      <c r="U8813" s="32"/>
    </row>
    <row r="8814" spans="21:21" ht="12.5">
      <c r="U8814" s="32"/>
    </row>
    <row r="8815" spans="21:21" ht="12.5">
      <c r="U8815" s="32"/>
    </row>
    <row r="8816" spans="21:21" ht="12.5">
      <c r="U8816" s="32"/>
    </row>
    <row r="8817" spans="21:21" ht="12.5">
      <c r="U8817" s="32"/>
    </row>
    <row r="8818" spans="21:21" ht="12.5">
      <c r="U8818" s="32"/>
    </row>
    <row r="8819" spans="21:21" ht="12.5">
      <c r="U8819" s="32"/>
    </row>
    <row r="8820" spans="21:21" ht="12.5">
      <c r="U8820" s="32"/>
    </row>
    <row r="8821" spans="21:21" ht="12.5">
      <c r="U8821" s="32"/>
    </row>
    <row r="8822" spans="21:21" ht="12.5">
      <c r="U8822" s="32"/>
    </row>
    <row r="8823" spans="21:21" ht="12.5">
      <c r="U8823" s="32"/>
    </row>
    <row r="8824" spans="21:21" ht="12.5">
      <c r="U8824" s="32"/>
    </row>
    <row r="8825" spans="21:21" ht="12.5">
      <c r="U8825" s="32"/>
    </row>
    <row r="8826" spans="21:21" ht="12.5">
      <c r="U8826" s="32"/>
    </row>
    <row r="8827" spans="21:21" ht="12.5">
      <c r="U8827" s="32"/>
    </row>
    <row r="8828" spans="21:21" ht="12.5">
      <c r="U8828" s="32"/>
    </row>
    <row r="8829" spans="21:21" ht="12.5">
      <c r="U8829" s="32"/>
    </row>
    <row r="8830" spans="21:21" ht="12.5">
      <c r="U8830" s="32"/>
    </row>
    <row r="8831" spans="21:21" ht="12.5">
      <c r="U8831" s="32"/>
    </row>
    <row r="8832" spans="21:21" ht="12.5">
      <c r="U8832" s="32"/>
    </row>
    <row r="8833" spans="21:21" ht="12.5">
      <c r="U8833" s="32"/>
    </row>
    <row r="8834" spans="21:21" ht="12.5">
      <c r="U8834" s="32"/>
    </row>
    <row r="8835" spans="21:21" ht="12.5">
      <c r="U8835" s="32"/>
    </row>
    <row r="8836" spans="21:21" ht="12.5">
      <c r="U8836" s="32"/>
    </row>
    <row r="8837" spans="21:21" ht="12.5">
      <c r="U8837" s="32"/>
    </row>
    <row r="8838" spans="21:21" ht="12.5">
      <c r="U8838" s="32"/>
    </row>
    <row r="8839" spans="21:21" ht="12.5">
      <c r="U8839" s="32"/>
    </row>
    <row r="8840" spans="21:21" ht="12.5">
      <c r="U8840" s="32"/>
    </row>
    <row r="8841" spans="21:21" ht="12.5">
      <c r="U8841" s="32"/>
    </row>
    <row r="8842" spans="21:21" ht="12.5">
      <c r="U8842" s="32"/>
    </row>
    <row r="8843" spans="21:21" ht="12.5">
      <c r="U8843" s="32"/>
    </row>
    <row r="8844" spans="21:21" ht="12.5">
      <c r="U8844" s="32"/>
    </row>
    <row r="8845" spans="21:21" ht="12.5">
      <c r="U8845" s="32"/>
    </row>
    <row r="8846" spans="21:21" ht="12.5">
      <c r="U8846" s="32"/>
    </row>
    <row r="8847" spans="21:21" ht="12.5">
      <c r="U8847" s="32"/>
    </row>
    <row r="8848" spans="21:21" ht="12.5">
      <c r="U8848" s="32"/>
    </row>
    <row r="8849" spans="21:21" ht="12.5">
      <c r="U8849" s="32"/>
    </row>
    <row r="8850" spans="21:21" ht="12.5">
      <c r="U8850" s="32"/>
    </row>
    <row r="8851" spans="21:21" ht="12.5">
      <c r="U8851" s="32"/>
    </row>
    <row r="8852" spans="21:21" ht="12.5">
      <c r="U8852" s="32"/>
    </row>
    <row r="8853" spans="21:21" ht="12.5">
      <c r="U8853" s="32"/>
    </row>
    <row r="8854" spans="21:21" ht="12.5">
      <c r="U8854" s="32"/>
    </row>
    <row r="8855" spans="21:21" ht="12.5">
      <c r="U8855" s="32"/>
    </row>
    <row r="8856" spans="21:21" ht="12.5">
      <c r="U8856" s="32"/>
    </row>
    <row r="8857" spans="21:21" ht="12.5">
      <c r="U8857" s="32"/>
    </row>
    <row r="8858" spans="21:21" ht="12.5">
      <c r="U8858" s="32"/>
    </row>
    <row r="8859" spans="21:21" ht="12.5">
      <c r="U8859" s="32"/>
    </row>
    <row r="8860" spans="21:21" ht="12.5">
      <c r="U8860" s="32"/>
    </row>
    <row r="8861" spans="21:21" ht="12.5">
      <c r="U8861" s="32"/>
    </row>
    <row r="8862" spans="21:21" ht="12.5">
      <c r="U8862" s="32"/>
    </row>
    <row r="8863" spans="21:21" ht="12.5">
      <c r="U8863" s="32"/>
    </row>
    <row r="8864" spans="21:21" ht="12.5">
      <c r="U8864" s="32"/>
    </row>
    <row r="8865" spans="21:21" ht="12.5">
      <c r="U8865" s="32"/>
    </row>
    <row r="8866" spans="21:21" ht="12.5">
      <c r="U8866" s="32"/>
    </row>
    <row r="8867" spans="21:21" ht="12.5">
      <c r="U8867" s="32"/>
    </row>
    <row r="8868" spans="21:21" ht="12.5">
      <c r="U8868" s="32"/>
    </row>
    <row r="8869" spans="21:21" ht="12.5">
      <c r="U8869" s="32"/>
    </row>
    <row r="8870" spans="21:21" ht="12.5">
      <c r="U8870" s="32"/>
    </row>
    <row r="8871" spans="21:21" ht="12.5">
      <c r="U8871" s="32"/>
    </row>
    <row r="8872" spans="21:21" ht="12.5">
      <c r="U8872" s="32"/>
    </row>
    <row r="8873" spans="21:21" ht="12.5">
      <c r="U8873" s="32"/>
    </row>
    <row r="8874" spans="21:21" ht="12.5">
      <c r="U8874" s="32"/>
    </row>
    <row r="8875" spans="21:21" ht="12.5">
      <c r="U8875" s="32"/>
    </row>
    <row r="8876" spans="21:21" ht="12.5">
      <c r="U8876" s="32"/>
    </row>
    <row r="8877" spans="21:21" ht="12.5">
      <c r="U8877" s="32"/>
    </row>
    <row r="8878" spans="21:21" ht="12.5">
      <c r="U8878" s="32"/>
    </row>
    <row r="8879" spans="21:21" ht="12.5">
      <c r="U8879" s="32"/>
    </row>
    <row r="8880" spans="21:21" ht="12.5">
      <c r="U8880" s="32"/>
    </row>
    <row r="8881" spans="21:21" ht="12.5">
      <c r="U8881" s="32"/>
    </row>
    <row r="8882" spans="21:21" ht="12.5">
      <c r="U8882" s="32"/>
    </row>
    <row r="8883" spans="21:21" ht="12.5">
      <c r="U8883" s="32"/>
    </row>
    <row r="8884" spans="21:21" ht="12.5">
      <c r="U8884" s="32"/>
    </row>
    <row r="8885" spans="21:21" ht="12.5">
      <c r="U8885" s="32"/>
    </row>
    <row r="8886" spans="21:21" ht="12.5">
      <c r="U8886" s="32"/>
    </row>
    <row r="8887" spans="21:21" ht="12.5">
      <c r="U8887" s="32"/>
    </row>
    <row r="8888" spans="21:21" ht="12.5">
      <c r="U8888" s="32"/>
    </row>
    <row r="8889" spans="21:21" ht="12.5">
      <c r="U8889" s="32"/>
    </row>
    <row r="8890" spans="21:21" ht="12.5">
      <c r="U8890" s="32"/>
    </row>
    <row r="8891" spans="21:21" ht="12.5">
      <c r="U8891" s="32"/>
    </row>
    <row r="8892" spans="21:21" ht="12.5">
      <c r="U8892" s="32"/>
    </row>
    <row r="8893" spans="21:21" ht="12.5">
      <c r="U8893" s="32"/>
    </row>
    <row r="8894" spans="21:21" ht="12.5">
      <c r="U8894" s="32"/>
    </row>
    <row r="8895" spans="21:21" ht="12.5">
      <c r="U8895" s="32"/>
    </row>
    <row r="8896" spans="21:21" ht="12.5">
      <c r="U8896" s="32"/>
    </row>
    <row r="8897" spans="21:21" ht="12.5">
      <c r="U8897" s="32"/>
    </row>
    <row r="8898" spans="21:21" ht="12.5">
      <c r="U8898" s="32"/>
    </row>
    <row r="8899" spans="21:21" ht="12.5">
      <c r="U8899" s="32"/>
    </row>
    <row r="8900" spans="21:21" ht="12.5">
      <c r="U8900" s="32"/>
    </row>
    <row r="8901" spans="21:21" ht="12.5">
      <c r="U8901" s="32"/>
    </row>
    <row r="8902" spans="21:21" ht="12.5">
      <c r="U8902" s="32"/>
    </row>
    <row r="8903" spans="21:21" ht="12.5">
      <c r="U8903" s="32"/>
    </row>
    <row r="8904" spans="21:21" ht="12.5">
      <c r="U8904" s="32"/>
    </row>
    <row r="8905" spans="21:21" ht="12.5">
      <c r="U8905" s="32"/>
    </row>
    <row r="8906" spans="21:21" ht="12.5">
      <c r="U8906" s="32"/>
    </row>
    <row r="8907" spans="21:21" ht="12.5">
      <c r="U8907" s="32"/>
    </row>
    <row r="8908" spans="21:21" ht="12.5">
      <c r="U8908" s="32"/>
    </row>
    <row r="8909" spans="21:21" ht="12.5">
      <c r="U8909" s="32"/>
    </row>
    <row r="8910" spans="21:21" ht="12.5">
      <c r="U8910" s="32"/>
    </row>
    <row r="8911" spans="21:21" ht="12.5">
      <c r="U8911" s="32"/>
    </row>
    <row r="8912" spans="21:21" ht="12.5">
      <c r="U8912" s="32"/>
    </row>
    <row r="8913" spans="21:21" ht="12.5">
      <c r="U8913" s="32"/>
    </row>
    <row r="8914" spans="21:21" ht="12.5">
      <c r="U8914" s="32"/>
    </row>
    <row r="8915" spans="21:21" ht="12.5">
      <c r="U8915" s="32"/>
    </row>
    <row r="8916" spans="21:21" ht="12.5">
      <c r="U8916" s="32"/>
    </row>
    <row r="8917" spans="21:21" ht="12.5">
      <c r="U8917" s="32"/>
    </row>
    <row r="8918" spans="21:21" ht="12.5">
      <c r="U8918" s="32"/>
    </row>
    <row r="8919" spans="21:21" ht="12.5">
      <c r="U8919" s="32"/>
    </row>
    <row r="8920" spans="21:21" ht="12.5">
      <c r="U8920" s="32"/>
    </row>
    <row r="8921" spans="21:21" ht="12.5">
      <c r="U8921" s="32"/>
    </row>
    <row r="8922" spans="21:21" ht="12.5">
      <c r="U8922" s="32"/>
    </row>
    <row r="8923" spans="21:21" ht="12.5">
      <c r="U8923" s="32"/>
    </row>
    <row r="8924" spans="21:21" ht="12.5">
      <c r="U8924" s="32"/>
    </row>
    <row r="8925" spans="21:21" ht="12.5">
      <c r="U8925" s="32"/>
    </row>
    <row r="8926" spans="21:21" ht="12.5">
      <c r="U8926" s="32"/>
    </row>
    <row r="8927" spans="21:21" ht="12.5">
      <c r="U8927" s="32"/>
    </row>
    <row r="8928" spans="21:21" ht="12.5">
      <c r="U8928" s="32"/>
    </row>
    <row r="8929" spans="21:21" ht="12.5">
      <c r="U8929" s="32"/>
    </row>
    <row r="8930" spans="21:21" ht="12.5">
      <c r="U8930" s="32"/>
    </row>
    <row r="8931" spans="21:21" ht="12.5">
      <c r="U8931" s="32"/>
    </row>
    <row r="8932" spans="21:21" ht="12.5">
      <c r="U8932" s="32"/>
    </row>
    <row r="8933" spans="21:21" ht="12.5">
      <c r="U8933" s="32"/>
    </row>
    <row r="8934" spans="21:21" ht="12.5">
      <c r="U8934" s="32"/>
    </row>
    <row r="8935" spans="21:21" ht="12.5">
      <c r="U8935" s="32"/>
    </row>
    <row r="8936" spans="21:21" ht="12.5">
      <c r="U8936" s="32"/>
    </row>
    <row r="8937" spans="21:21" ht="12.5">
      <c r="U8937" s="32"/>
    </row>
    <row r="8938" spans="21:21" ht="12.5">
      <c r="U8938" s="32"/>
    </row>
    <row r="8939" spans="21:21" ht="12.5">
      <c r="U8939" s="32"/>
    </row>
    <row r="8940" spans="21:21" ht="12.5">
      <c r="U8940" s="32"/>
    </row>
    <row r="8941" spans="21:21" ht="12.5">
      <c r="U8941" s="32"/>
    </row>
    <row r="8942" spans="21:21" ht="12.5">
      <c r="U8942" s="32"/>
    </row>
    <row r="8943" spans="21:21" ht="12.5">
      <c r="U8943" s="32"/>
    </row>
    <row r="8944" spans="21:21" ht="12.5">
      <c r="U8944" s="32"/>
    </row>
    <row r="8945" spans="21:21" ht="12.5">
      <c r="U8945" s="32"/>
    </row>
    <row r="8946" spans="21:21" ht="12.5">
      <c r="U8946" s="32"/>
    </row>
    <row r="8947" spans="21:21" ht="12.5">
      <c r="U8947" s="32"/>
    </row>
    <row r="8948" spans="21:21" ht="12.5">
      <c r="U8948" s="32"/>
    </row>
    <row r="8949" spans="21:21" ht="12.5">
      <c r="U8949" s="32"/>
    </row>
    <row r="8950" spans="21:21" ht="12.5">
      <c r="U8950" s="32"/>
    </row>
    <row r="8951" spans="21:21" ht="12.5">
      <c r="U8951" s="32"/>
    </row>
    <row r="8952" spans="21:21" ht="12.5">
      <c r="U8952" s="32"/>
    </row>
    <row r="8953" spans="21:21" ht="12.5">
      <c r="U8953" s="32"/>
    </row>
    <row r="8954" spans="21:21" ht="12.5">
      <c r="U8954" s="32"/>
    </row>
    <row r="8955" spans="21:21" ht="12.5">
      <c r="U8955" s="32"/>
    </row>
    <row r="8956" spans="21:21" ht="12.5">
      <c r="U8956" s="32"/>
    </row>
    <row r="8957" spans="21:21" ht="12.5">
      <c r="U8957" s="32"/>
    </row>
    <row r="8958" spans="21:21" ht="12.5">
      <c r="U8958" s="32"/>
    </row>
    <row r="8959" spans="21:21" ht="12.5">
      <c r="U8959" s="32"/>
    </row>
    <row r="8960" spans="21:21" ht="12.5">
      <c r="U8960" s="32"/>
    </row>
    <row r="8961" spans="21:21" ht="12.5">
      <c r="U8961" s="32"/>
    </row>
    <row r="8962" spans="21:21" ht="12.5">
      <c r="U8962" s="32"/>
    </row>
    <row r="8963" spans="21:21" ht="12.5">
      <c r="U8963" s="32"/>
    </row>
    <row r="8964" spans="21:21" ht="12.5">
      <c r="U8964" s="32"/>
    </row>
    <row r="8965" spans="21:21" ht="12.5">
      <c r="U8965" s="32"/>
    </row>
    <row r="8966" spans="21:21" ht="12.5">
      <c r="U8966" s="32"/>
    </row>
    <row r="8967" spans="21:21" ht="12.5">
      <c r="U8967" s="32"/>
    </row>
    <row r="8968" spans="21:21" ht="12.5">
      <c r="U8968" s="32"/>
    </row>
    <row r="8969" spans="21:21" ht="12.5">
      <c r="U8969" s="32"/>
    </row>
    <row r="8970" spans="21:21" ht="12.5">
      <c r="U8970" s="32"/>
    </row>
    <row r="8971" spans="21:21" ht="12.5">
      <c r="U8971" s="32"/>
    </row>
    <row r="8972" spans="21:21" ht="12.5">
      <c r="U8972" s="32"/>
    </row>
    <row r="8973" spans="21:21" ht="12.5">
      <c r="U8973" s="32"/>
    </row>
    <row r="8974" spans="21:21" ht="12.5">
      <c r="U8974" s="32"/>
    </row>
    <row r="8975" spans="21:21" ht="12.5">
      <c r="U8975" s="32"/>
    </row>
    <row r="8976" spans="21:21" ht="12.5">
      <c r="U8976" s="32"/>
    </row>
    <row r="8977" spans="21:21" ht="12.5">
      <c r="U8977" s="32"/>
    </row>
    <row r="8978" spans="21:21" ht="12.5">
      <c r="U8978" s="32"/>
    </row>
    <row r="8979" spans="21:21" ht="12.5">
      <c r="U8979" s="32"/>
    </row>
    <row r="8980" spans="21:21" ht="12.5">
      <c r="U8980" s="32"/>
    </row>
    <row r="8981" spans="21:21" ht="12.5">
      <c r="U8981" s="32"/>
    </row>
    <row r="8982" spans="21:21" ht="12.5">
      <c r="U8982" s="32"/>
    </row>
    <row r="8983" spans="21:21" ht="12.5">
      <c r="U8983" s="32"/>
    </row>
    <row r="8984" spans="21:21" ht="12.5">
      <c r="U8984" s="32"/>
    </row>
    <row r="8985" spans="21:21" ht="12.5">
      <c r="U8985" s="32"/>
    </row>
    <row r="8986" spans="21:21" ht="12.5">
      <c r="U8986" s="32"/>
    </row>
    <row r="8987" spans="21:21" ht="12.5">
      <c r="U8987" s="32"/>
    </row>
    <row r="8988" spans="21:21" ht="12.5">
      <c r="U8988" s="32"/>
    </row>
    <row r="8989" spans="21:21" ht="12.5">
      <c r="U8989" s="32"/>
    </row>
    <row r="8990" spans="21:21" ht="12.5">
      <c r="U8990" s="32"/>
    </row>
    <row r="8991" spans="21:21" ht="12.5">
      <c r="U8991" s="32"/>
    </row>
    <row r="8992" spans="21:21" ht="12.5">
      <c r="U8992" s="32"/>
    </row>
    <row r="8993" spans="21:21" ht="12.5">
      <c r="U8993" s="32"/>
    </row>
    <row r="8994" spans="21:21" ht="12.5">
      <c r="U8994" s="32"/>
    </row>
    <row r="8995" spans="21:21" ht="12.5">
      <c r="U8995" s="32"/>
    </row>
    <row r="8996" spans="21:21" ht="12.5">
      <c r="U8996" s="32"/>
    </row>
    <row r="8997" spans="21:21" ht="12.5">
      <c r="U8997" s="32"/>
    </row>
    <row r="8998" spans="21:21" ht="12.5">
      <c r="U8998" s="32"/>
    </row>
    <row r="8999" spans="21:21" ht="12.5">
      <c r="U8999" s="32"/>
    </row>
    <row r="9000" spans="21:21" ht="12.5">
      <c r="U9000" s="32"/>
    </row>
    <row r="9001" spans="21:21" ht="12.5">
      <c r="U9001" s="32"/>
    </row>
    <row r="9002" spans="21:21" ht="12.5">
      <c r="U9002" s="32"/>
    </row>
    <row r="9003" spans="21:21" ht="12.5">
      <c r="U9003" s="32"/>
    </row>
    <row r="9004" spans="21:21" ht="12.5">
      <c r="U9004" s="32"/>
    </row>
    <row r="9005" spans="21:21" ht="12.5">
      <c r="U9005" s="32"/>
    </row>
    <row r="9006" spans="21:21" ht="12.5">
      <c r="U9006" s="32"/>
    </row>
    <row r="9007" spans="21:21" ht="12.5">
      <c r="U9007" s="32"/>
    </row>
    <row r="9008" spans="21:21" ht="12.5">
      <c r="U9008" s="32"/>
    </row>
    <row r="9009" spans="21:21" ht="12.5">
      <c r="U9009" s="32"/>
    </row>
    <row r="9010" spans="21:21" ht="12.5">
      <c r="U9010" s="32"/>
    </row>
    <row r="9011" spans="21:21" ht="12.5">
      <c r="U9011" s="32"/>
    </row>
    <row r="9012" spans="21:21" ht="12.5">
      <c r="U9012" s="32"/>
    </row>
    <row r="9013" spans="21:21" ht="12.5">
      <c r="U9013" s="32"/>
    </row>
    <row r="9014" spans="21:21" ht="12.5">
      <c r="U9014" s="32"/>
    </row>
    <row r="9015" spans="21:21" ht="12.5">
      <c r="U9015" s="32"/>
    </row>
    <row r="9016" spans="21:21" ht="12.5">
      <c r="U9016" s="32"/>
    </row>
    <row r="9017" spans="21:21" ht="12.5">
      <c r="U9017" s="32"/>
    </row>
    <row r="9018" spans="21:21" ht="12.5">
      <c r="U9018" s="32"/>
    </row>
    <row r="9019" spans="21:21" ht="12.5">
      <c r="U9019" s="32"/>
    </row>
    <row r="9020" spans="21:21" ht="12.5">
      <c r="U9020" s="32"/>
    </row>
    <row r="9021" spans="21:21" ht="12.5">
      <c r="U9021" s="32"/>
    </row>
    <row r="9022" spans="21:21" ht="12.5">
      <c r="U9022" s="32"/>
    </row>
    <row r="9023" spans="21:21" ht="12.5">
      <c r="U9023" s="32"/>
    </row>
    <row r="9024" spans="21:21" ht="12.5">
      <c r="U9024" s="32"/>
    </row>
    <row r="9025" spans="21:21" ht="12.5">
      <c r="U9025" s="32"/>
    </row>
    <row r="9026" spans="21:21" ht="12.5">
      <c r="U9026" s="32"/>
    </row>
    <row r="9027" spans="21:21" ht="12.5">
      <c r="U9027" s="32"/>
    </row>
    <row r="9028" spans="21:21" ht="12.5">
      <c r="U9028" s="32"/>
    </row>
    <row r="9029" spans="21:21" ht="12.5">
      <c r="U9029" s="32"/>
    </row>
    <row r="9030" spans="21:21" ht="12.5">
      <c r="U9030" s="32"/>
    </row>
    <row r="9031" spans="21:21" ht="12.5">
      <c r="U9031" s="32"/>
    </row>
    <row r="9032" spans="21:21" ht="12.5">
      <c r="U9032" s="32"/>
    </row>
    <row r="9033" spans="21:21" ht="12.5">
      <c r="U9033" s="32"/>
    </row>
    <row r="9034" spans="21:21" ht="12.5">
      <c r="U9034" s="32"/>
    </row>
    <row r="9035" spans="21:21" ht="12.5">
      <c r="U9035" s="32"/>
    </row>
    <row r="9036" spans="21:21" ht="12.5">
      <c r="U9036" s="32"/>
    </row>
    <row r="9037" spans="21:21" ht="12.5">
      <c r="U9037" s="32"/>
    </row>
    <row r="9038" spans="21:21" ht="12.5">
      <c r="U9038" s="32"/>
    </row>
    <row r="9039" spans="21:21" ht="12.5">
      <c r="U9039" s="32"/>
    </row>
    <row r="9040" spans="21:21" ht="12.5">
      <c r="U9040" s="32"/>
    </row>
    <row r="9041" spans="21:21" ht="12.5">
      <c r="U9041" s="32"/>
    </row>
    <row r="9042" spans="21:21" ht="12.5">
      <c r="U9042" s="32"/>
    </row>
    <row r="9043" spans="21:21" ht="12.5">
      <c r="U9043" s="32"/>
    </row>
    <row r="9044" spans="21:21" ht="12.5">
      <c r="U9044" s="32"/>
    </row>
    <row r="9045" spans="21:21" ht="12.5">
      <c r="U9045" s="32"/>
    </row>
    <row r="9046" spans="21:21" ht="12.5">
      <c r="U9046" s="32"/>
    </row>
    <row r="9047" spans="21:21" ht="12.5">
      <c r="U9047" s="32"/>
    </row>
    <row r="9048" spans="21:21" ht="12.5">
      <c r="U9048" s="32"/>
    </row>
    <row r="9049" spans="21:21" ht="12.5">
      <c r="U9049" s="32"/>
    </row>
    <row r="9050" spans="21:21" ht="12.5">
      <c r="U9050" s="32"/>
    </row>
    <row r="9051" spans="21:21" ht="12.5">
      <c r="U9051" s="32"/>
    </row>
    <row r="9052" spans="21:21" ht="12.5">
      <c r="U9052" s="32"/>
    </row>
    <row r="9053" spans="21:21" ht="12.5">
      <c r="U9053" s="32"/>
    </row>
    <row r="9054" spans="21:21" ht="12.5">
      <c r="U9054" s="32"/>
    </row>
    <row r="9055" spans="21:21" ht="12.5">
      <c r="U9055" s="32"/>
    </row>
    <row r="9056" spans="21:21" ht="12.5">
      <c r="U9056" s="32"/>
    </row>
    <row r="9057" spans="21:21" ht="12.5">
      <c r="U9057" s="32"/>
    </row>
    <row r="9058" spans="21:21" ht="12.5">
      <c r="U9058" s="32"/>
    </row>
    <row r="9059" spans="21:21" ht="12.5">
      <c r="U9059" s="32"/>
    </row>
    <row r="9060" spans="21:21" ht="12.5">
      <c r="U9060" s="32"/>
    </row>
    <row r="9061" spans="21:21" ht="12.5">
      <c r="U9061" s="32"/>
    </row>
    <row r="9062" spans="21:21" ht="12.5">
      <c r="U9062" s="32"/>
    </row>
    <row r="9063" spans="21:21" ht="12.5">
      <c r="U9063" s="32"/>
    </row>
    <row r="9064" spans="21:21" ht="12.5">
      <c r="U9064" s="32"/>
    </row>
    <row r="9065" spans="21:21" ht="12.5">
      <c r="U9065" s="32"/>
    </row>
    <row r="9066" spans="21:21" ht="12.5">
      <c r="U9066" s="32"/>
    </row>
    <row r="9067" spans="21:21" ht="12.5">
      <c r="U9067" s="32"/>
    </row>
    <row r="9068" spans="21:21" ht="12.5">
      <c r="U9068" s="32"/>
    </row>
    <row r="9069" spans="21:21" ht="12.5">
      <c r="U9069" s="32"/>
    </row>
    <row r="9070" spans="21:21" ht="12.5">
      <c r="U9070" s="32"/>
    </row>
    <row r="9071" spans="21:21" ht="12.5">
      <c r="U9071" s="32"/>
    </row>
    <row r="9072" spans="21:21" ht="12.5">
      <c r="U9072" s="32"/>
    </row>
    <row r="9073" spans="21:21" ht="12.5">
      <c r="U9073" s="32"/>
    </row>
    <row r="9074" spans="21:21" ht="12.5">
      <c r="U9074" s="32"/>
    </row>
    <row r="9075" spans="21:21" ht="12.5">
      <c r="U9075" s="32"/>
    </row>
    <row r="9076" spans="21:21" ht="12.5">
      <c r="U9076" s="32"/>
    </row>
    <row r="9077" spans="21:21" ht="12.5">
      <c r="U9077" s="32"/>
    </row>
    <row r="9078" spans="21:21" ht="12.5">
      <c r="U9078" s="32"/>
    </row>
    <row r="9079" spans="21:21" ht="12.5">
      <c r="U9079" s="32"/>
    </row>
    <row r="9080" spans="21:21" ht="12.5">
      <c r="U9080" s="32"/>
    </row>
    <row r="9081" spans="21:21" ht="12.5">
      <c r="U9081" s="32"/>
    </row>
    <row r="9082" spans="21:21" ht="12.5">
      <c r="U9082" s="32"/>
    </row>
    <row r="9083" spans="21:21" ht="12.5">
      <c r="U9083" s="32"/>
    </row>
    <row r="9084" spans="21:21" ht="12.5">
      <c r="U9084" s="32"/>
    </row>
    <row r="9085" spans="21:21" ht="12.5">
      <c r="U9085" s="32"/>
    </row>
    <row r="9086" spans="21:21" ht="12.5">
      <c r="U9086" s="32"/>
    </row>
    <row r="9087" spans="21:21" ht="12.5">
      <c r="U9087" s="32"/>
    </row>
    <row r="9088" spans="21:21" ht="12.5">
      <c r="U9088" s="32"/>
    </row>
    <row r="9089" spans="21:21" ht="12.5">
      <c r="U9089" s="32"/>
    </row>
    <row r="9090" spans="21:21" ht="12.5">
      <c r="U9090" s="32"/>
    </row>
    <row r="9091" spans="21:21" ht="12.5">
      <c r="U9091" s="32"/>
    </row>
    <row r="9092" spans="21:21" ht="12.5">
      <c r="U9092" s="32"/>
    </row>
    <row r="9093" spans="21:21" ht="12.5">
      <c r="U9093" s="32"/>
    </row>
    <row r="9094" spans="21:21" ht="12.5">
      <c r="U9094" s="32"/>
    </row>
    <row r="9095" spans="21:21" ht="12.5">
      <c r="U9095" s="32"/>
    </row>
    <row r="9096" spans="21:21" ht="12.5">
      <c r="U9096" s="32"/>
    </row>
    <row r="9097" spans="21:21" ht="12.5">
      <c r="U9097" s="32"/>
    </row>
    <row r="9098" spans="21:21" ht="12.5">
      <c r="U9098" s="32"/>
    </row>
    <row r="9099" spans="21:21" ht="12.5">
      <c r="U9099" s="32"/>
    </row>
    <row r="9100" spans="21:21" ht="12.5">
      <c r="U9100" s="32"/>
    </row>
    <row r="9101" spans="21:21" ht="12.5">
      <c r="U9101" s="32"/>
    </row>
    <row r="9102" spans="21:21" ht="12.5">
      <c r="U9102" s="32"/>
    </row>
    <row r="9103" spans="21:21" ht="12.5">
      <c r="U9103" s="32"/>
    </row>
    <row r="9104" spans="21:21" ht="12.5">
      <c r="U9104" s="32"/>
    </row>
    <row r="9105" spans="21:21" ht="12.5">
      <c r="U9105" s="32"/>
    </row>
    <row r="9106" spans="21:21" ht="12.5">
      <c r="U9106" s="32"/>
    </row>
    <row r="9107" spans="21:21" ht="12.5">
      <c r="U9107" s="32"/>
    </row>
    <row r="9108" spans="21:21" ht="12.5">
      <c r="U9108" s="32"/>
    </row>
    <row r="9109" spans="21:21" ht="12.5">
      <c r="U9109" s="32"/>
    </row>
    <row r="9110" spans="21:21" ht="12.5">
      <c r="U9110" s="32"/>
    </row>
    <row r="9111" spans="21:21" ht="12.5">
      <c r="U9111" s="32"/>
    </row>
    <row r="9112" spans="21:21" ht="12.5">
      <c r="U9112" s="32"/>
    </row>
    <row r="9113" spans="21:21" ht="12.5">
      <c r="U9113" s="32"/>
    </row>
    <row r="9114" spans="21:21" ht="12.5">
      <c r="U9114" s="32"/>
    </row>
    <row r="9115" spans="21:21" ht="12.5">
      <c r="U9115" s="32"/>
    </row>
    <row r="9116" spans="21:21" ht="12.5">
      <c r="U9116" s="32"/>
    </row>
    <row r="9117" spans="21:21" ht="12.5">
      <c r="U9117" s="32"/>
    </row>
    <row r="9118" spans="21:21" ht="12.5">
      <c r="U9118" s="32"/>
    </row>
    <row r="9119" spans="21:21" ht="12.5">
      <c r="U9119" s="32"/>
    </row>
    <row r="9120" spans="21:21" ht="12.5">
      <c r="U9120" s="32"/>
    </row>
    <row r="9121" spans="21:21" ht="12.5">
      <c r="U9121" s="32"/>
    </row>
    <row r="9122" spans="21:21" ht="12.5">
      <c r="U9122" s="32"/>
    </row>
    <row r="9123" spans="21:21" ht="12.5">
      <c r="U9123" s="32"/>
    </row>
    <row r="9124" spans="21:21" ht="12.5">
      <c r="U9124" s="32"/>
    </row>
    <row r="9125" spans="21:21" ht="12.5">
      <c r="U9125" s="32"/>
    </row>
    <row r="9126" spans="21:21" ht="12.5">
      <c r="U9126" s="32"/>
    </row>
    <row r="9127" spans="21:21" ht="12.5">
      <c r="U9127" s="32"/>
    </row>
    <row r="9128" spans="21:21" ht="12.5">
      <c r="U9128" s="32"/>
    </row>
    <row r="9129" spans="21:21" ht="12.5">
      <c r="U9129" s="32"/>
    </row>
    <row r="9130" spans="21:21" ht="12.5">
      <c r="U9130" s="32"/>
    </row>
    <row r="9131" spans="21:21" ht="12.5">
      <c r="U9131" s="32"/>
    </row>
    <row r="9132" spans="21:21" ht="12.5">
      <c r="U9132" s="32"/>
    </row>
    <row r="9133" spans="21:21" ht="12.5">
      <c r="U9133" s="32"/>
    </row>
    <row r="9134" spans="21:21" ht="12.5">
      <c r="U9134" s="32"/>
    </row>
    <row r="9135" spans="21:21" ht="12.5">
      <c r="U9135" s="32"/>
    </row>
    <row r="9136" spans="21:21" ht="12.5">
      <c r="U9136" s="32"/>
    </row>
    <row r="9137" spans="21:21" ht="12.5">
      <c r="U9137" s="32"/>
    </row>
    <row r="9138" spans="21:21" ht="12.5">
      <c r="U9138" s="32"/>
    </row>
    <row r="9139" spans="21:21" ht="12.5">
      <c r="U9139" s="32"/>
    </row>
    <row r="9140" spans="21:21" ht="12.5">
      <c r="U9140" s="32"/>
    </row>
    <row r="9141" spans="21:21" ht="12.5">
      <c r="U9141" s="32"/>
    </row>
    <row r="9142" spans="21:21" ht="12.5">
      <c r="U9142" s="32"/>
    </row>
    <row r="9143" spans="21:21" ht="12.5">
      <c r="U9143" s="32"/>
    </row>
    <row r="9144" spans="21:21" ht="12.5">
      <c r="U9144" s="32"/>
    </row>
    <row r="9145" spans="21:21" ht="12.5">
      <c r="U9145" s="32"/>
    </row>
    <row r="9146" spans="21:21" ht="12.5">
      <c r="U9146" s="32"/>
    </row>
    <row r="9147" spans="21:21" ht="12.5">
      <c r="U9147" s="32"/>
    </row>
    <row r="9148" spans="21:21" ht="12.5">
      <c r="U9148" s="32"/>
    </row>
    <row r="9149" spans="21:21" ht="12.5">
      <c r="U9149" s="32"/>
    </row>
    <row r="9150" spans="21:21" ht="12.5">
      <c r="U9150" s="32"/>
    </row>
    <row r="9151" spans="21:21" ht="12.5">
      <c r="U9151" s="32"/>
    </row>
    <row r="9152" spans="21:21" ht="12.5">
      <c r="U9152" s="32"/>
    </row>
    <row r="9153" spans="21:21" ht="12.5">
      <c r="U9153" s="32"/>
    </row>
    <row r="9154" spans="21:21" ht="12.5">
      <c r="U9154" s="32"/>
    </row>
    <row r="9155" spans="21:21" ht="12.5">
      <c r="U9155" s="32"/>
    </row>
    <row r="9156" spans="21:21" ht="12.5">
      <c r="U9156" s="32"/>
    </row>
    <row r="9157" spans="21:21" ht="12.5">
      <c r="U9157" s="32"/>
    </row>
    <row r="9158" spans="21:21" ht="12.5">
      <c r="U9158" s="32"/>
    </row>
    <row r="9159" spans="21:21" ht="12.5">
      <c r="U9159" s="32"/>
    </row>
    <row r="9160" spans="21:21" ht="12.5">
      <c r="U9160" s="32"/>
    </row>
    <row r="9161" spans="21:21" ht="12.5">
      <c r="U9161" s="32"/>
    </row>
    <row r="9162" spans="21:21" ht="12.5">
      <c r="U9162" s="32"/>
    </row>
    <row r="9163" spans="21:21" ht="12.5">
      <c r="U9163" s="32"/>
    </row>
    <row r="9164" spans="21:21" ht="12.5">
      <c r="U9164" s="32"/>
    </row>
    <row r="9165" spans="21:21" ht="12.5">
      <c r="U9165" s="32"/>
    </row>
    <row r="9166" spans="21:21" ht="12.5">
      <c r="U9166" s="32"/>
    </row>
    <row r="9167" spans="21:21" ht="12.5">
      <c r="U9167" s="32"/>
    </row>
    <row r="9168" spans="21:21" ht="12.5">
      <c r="U9168" s="32"/>
    </row>
    <row r="9169" spans="21:21" ht="12.5">
      <c r="U9169" s="32"/>
    </row>
    <row r="9170" spans="21:21" ht="12.5">
      <c r="U9170" s="32"/>
    </row>
    <row r="9171" spans="21:21" ht="12.5">
      <c r="U9171" s="32"/>
    </row>
    <row r="9172" spans="21:21" ht="12.5">
      <c r="U9172" s="32"/>
    </row>
    <row r="9173" spans="21:21" ht="12.5">
      <c r="U9173" s="32"/>
    </row>
    <row r="9174" spans="21:21" ht="12.5">
      <c r="U9174" s="32"/>
    </row>
    <row r="9175" spans="21:21" ht="12.5">
      <c r="U9175" s="32"/>
    </row>
    <row r="9176" spans="21:21" ht="12.5">
      <c r="U9176" s="32"/>
    </row>
    <row r="9177" spans="21:21" ht="12.5">
      <c r="U9177" s="32"/>
    </row>
    <row r="9178" spans="21:21" ht="12.5">
      <c r="U9178" s="32"/>
    </row>
    <row r="9179" spans="21:21" ht="12.5">
      <c r="U9179" s="32"/>
    </row>
    <row r="9180" spans="21:21" ht="12.5">
      <c r="U9180" s="32"/>
    </row>
    <row r="9181" spans="21:21" ht="12.5">
      <c r="U9181" s="32"/>
    </row>
    <row r="9182" spans="21:21" ht="12.5">
      <c r="U9182" s="32"/>
    </row>
    <row r="9183" spans="21:21" ht="12.5">
      <c r="U9183" s="32"/>
    </row>
    <row r="9184" spans="21:21" ht="12.5">
      <c r="U9184" s="32"/>
    </row>
    <row r="9185" spans="21:21" ht="12.5">
      <c r="U9185" s="32"/>
    </row>
    <row r="9186" spans="21:21" ht="12.5">
      <c r="U9186" s="32"/>
    </row>
    <row r="9187" spans="21:21" ht="12.5">
      <c r="U9187" s="32"/>
    </row>
    <row r="9188" spans="21:21" ht="12.5">
      <c r="U9188" s="32"/>
    </row>
    <row r="9189" spans="21:21" ht="12.5">
      <c r="U9189" s="32"/>
    </row>
    <row r="9190" spans="21:21" ht="12.5">
      <c r="U9190" s="32"/>
    </row>
    <row r="9191" spans="21:21" ht="12.5">
      <c r="U9191" s="32"/>
    </row>
    <row r="9192" spans="21:21" ht="12.5">
      <c r="U9192" s="32"/>
    </row>
    <row r="9193" spans="21:21" ht="12.5">
      <c r="U9193" s="32"/>
    </row>
    <row r="9194" spans="21:21" ht="12.5">
      <c r="U9194" s="32"/>
    </row>
    <row r="9195" spans="21:21" ht="12.5">
      <c r="U9195" s="32"/>
    </row>
    <row r="9196" spans="21:21" ht="12.5">
      <c r="U9196" s="32"/>
    </row>
    <row r="9197" spans="21:21" ht="12.5">
      <c r="U9197" s="32"/>
    </row>
    <row r="9198" spans="21:21" ht="12.5">
      <c r="U9198" s="32"/>
    </row>
    <row r="9199" spans="21:21" ht="12.5">
      <c r="U9199" s="32"/>
    </row>
    <row r="9200" spans="21:21" ht="12.5">
      <c r="U9200" s="32"/>
    </row>
    <row r="9201" spans="21:21" ht="12.5">
      <c r="U9201" s="32"/>
    </row>
    <row r="9202" spans="21:21" ht="12.5">
      <c r="U9202" s="32"/>
    </row>
    <row r="9203" spans="21:21" ht="12.5">
      <c r="U9203" s="32"/>
    </row>
    <row r="9204" spans="21:21" ht="12.5">
      <c r="U9204" s="32"/>
    </row>
    <row r="9205" spans="21:21" ht="12.5">
      <c r="U9205" s="32"/>
    </row>
    <row r="9206" spans="21:21" ht="12.5">
      <c r="U9206" s="32"/>
    </row>
    <row r="9207" spans="21:21" ht="12.5">
      <c r="U9207" s="32"/>
    </row>
    <row r="9208" spans="21:21" ht="12.5">
      <c r="U9208" s="32"/>
    </row>
    <row r="9209" spans="21:21" ht="12.5">
      <c r="U9209" s="32"/>
    </row>
    <row r="9210" spans="21:21" ht="12.5">
      <c r="U9210" s="32"/>
    </row>
    <row r="9211" spans="21:21" ht="12.5">
      <c r="U9211" s="32"/>
    </row>
    <row r="9212" spans="21:21" ht="12.5">
      <c r="U9212" s="32"/>
    </row>
    <row r="9213" spans="21:21" ht="12.5">
      <c r="U9213" s="32"/>
    </row>
    <row r="9214" spans="21:21" ht="12.5">
      <c r="U9214" s="32"/>
    </row>
    <row r="9215" spans="21:21" ht="12.5">
      <c r="U9215" s="32"/>
    </row>
    <row r="9216" spans="21:21" ht="12.5">
      <c r="U9216" s="32"/>
    </row>
    <row r="9217" spans="21:21" ht="12.5">
      <c r="U9217" s="32"/>
    </row>
    <row r="9218" spans="21:21" ht="12.5">
      <c r="U9218" s="32"/>
    </row>
    <row r="9219" spans="21:21" ht="12.5">
      <c r="U9219" s="32"/>
    </row>
    <row r="9220" spans="21:21" ht="12.5">
      <c r="U9220" s="32"/>
    </row>
    <row r="9221" spans="21:21" ht="12.5">
      <c r="U9221" s="32"/>
    </row>
    <row r="9222" spans="21:21" ht="12.5">
      <c r="U9222" s="32"/>
    </row>
    <row r="9223" spans="21:21" ht="12.5">
      <c r="U9223" s="32"/>
    </row>
    <row r="9224" spans="21:21" ht="12.5">
      <c r="U9224" s="32"/>
    </row>
    <row r="9225" spans="21:21" ht="12.5">
      <c r="U9225" s="32"/>
    </row>
    <row r="9226" spans="21:21" ht="12.5">
      <c r="U9226" s="32"/>
    </row>
    <row r="9227" spans="21:21" ht="12.5">
      <c r="U9227" s="32"/>
    </row>
    <row r="9228" spans="21:21" ht="12.5">
      <c r="U9228" s="32"/>
    </row>
    <row r="9229" spans="21:21" ht="12.5">
      <c r="U9229" s="32"/>
    </row>
    <row r="9230" spans="21:21" ht="12.5">
      <c r="U9230" s="32"/>
    </row>
    <row r="9231" spans="21:21" ht="12.5">
      <c r="U9231" s="32"/>
    </row>
    <row r="9232" spans="21:21" ht="12.5">
      <c r="U9232" s="32"/>
    </row>
    <row r="9233" spans="21:21" ht="12.5">
      <c r="U9233" s="32"/>
    </row>
    <row r="9234" spans="21:21" ht="12.5">
      <c r="U9234" s="32"/>
    </row>
    <row r="9235" spans="21:21" ht="12.5">
      <c r="U9235" s="32"/>
    </row>
    <row r="9236" spans="21:21" ht="12.5">
      <c r="U9236" s="32"/>
    </row>
    <row r="9237" spans="21:21" ht="12.5">
      <c r="U9237" s="32"/>
    </row>
    <row r="9238" spans="21:21" ht="12.5">
      <c r="U9238" s="32"/>
    </row>
    <row r="9239" spans="21:21" ht="12.5">
      <c r="U9239" s="32"/>
    </row>
    <row r="9240" spans="21:21" ht="12.5">
      <c r="U9240" s="32"/>
    </row>
    <row r="9241" spans="21:21" ht="12.5">
      <c r="U9241" s="32"/>
    </row>
    <row r="9242" spans="21:21" ht="12.5">
      <c r="U9242" s="32"/>
    </row>
    <row r="9243" spans="21:21" ht="12.5">
      <c r="U9243" s="32"/>
    </row>
    <row r="9244" spans="21:21" ht="12.5">
      <c r="U9244" s="32"/>
    </row>
    <row r="9245" spans="21:21" ht="12.5">
      <c r="U9245" s="32"/>
    </row>
    <row r="9246" spans="21:21" ht="12.5">
      <c r="U9246" s="32"/>
    </row>
    <row r="9247" spans="21:21" ht="12.5">
      <c r="U9247" s="32"/>
    </row>
    <row r="9248" spans="21:21" ht="12.5">
      <c r="U9248" s="32"/>
    </row>
    <row r="9249" spans="21:21" ht="12.5">
      <c r="U9249" s="32"/>
    </row>
    <row r="9250" spans="21:21" ht="12.5">
      <c r="U9250" s="32"/>
    </row>
    <row r="9251" spans="21:21" ht="12.5">
      <c r="U9251" s="32"/>
    </row>
    <row r="9252" spans="21:21" ht="12.5">
      <c r="U9252" s="32"/>
    </row>
    <row r="9253" spans="21:21" ht="12.5">
      <c r="U9253" s="32"/>
    </row>
    <row r="9254" spans="21:21" ht="12.5">
      <c r="U9254" s="32"/>
    </row>
    <row r="9255" spans="21:21" ht="12.5">
      <c r="U9255" s="32"/>
    </row>
    <row r="9256" spans="21:21" ht="12.5">
      <c r="U9256" s="32"/>
    </row>
    <row r="9257" spans="21:21" ht="12.5">
      <c r="U9257" s="32"/>
    </row>
    <row r="9258" spans="21:21" ht="12.5">
      <c r="U9258" s="32"/>
    </row>
    <row r="9259" spans="21:21" ht="12.5">
      <c r="U9259" s="32"/>
    </row>
    <row r="9260" spans="21:21" ht="12.5">
      <c r="U9260" s="32"/>
    </row>
    <row r="9261" spans="21:21" ht="12.5">
      <c r="U9261" s="32"/>
    </row>
    <row r="9262" spans="21:21" ht="12.5">
      <c r="U9262" s="32"/>
    </row>
    <row r="9263" spans="21:21" ht="12.5">
      <c r="U9263" s="32"/>
    </row>
    <row r="9264" spans="21:21" ht="12.5">
      <c r="U9264" s="32"/>
    </row>
    <row r="9265" spans="21:21" ht="12.5">
      <c r="U9265" s="32"/>
    </row>
    <row r="9266" spans="21:21" ht="12.5">
      <c r="U9266" s="32"/>
    </row>
    <row r="9267" spans="21:21" ht="12.5">
      <c r="U9267" s="32"/>
    </row>
    <row r="9268" spans="21:21" ht="12.5">
      <c r="U9268" s="32"/>
    </row>
    <row r="9269" spans="21:21" ht="12.5">
      <c r="U9269" s="32"/>
    </row>
    <row r="9270" spans="21:21" ht="12.5">
      <c r="U9270" s="32"/>
    </row>
    <row r="9271" spans="21:21" ht="12.5">
      <c r="U9271" s="32"/>
    </row>
    <row r="9272" spans="21:21" ht="12.5">
      <c r="U9272" s="32"/>
    </row>
    <row r="9273" spans="21:21" ht="12.5">
      <c r="U9273" s="32"/>
    </row>
    <row r="9274" spans="21:21" ht="12.5">
      <c r="U9274" s="32"/>
    </row>
    <row r="9275" spans="21:21" ht="12.5">
      <c r="U9275" s="32"/>
    </row>
    <row r="9276" spans="21:21" ht="12.5">
      <c r="U9276" s="32"/>
    </row>
    <row r="9277" spans="21:21" ht="12.5">
      <c r="U9277" s="32"/>
    </row>
    <row r="9278" spans="21:21" ht="12.5">
      <c r="U9278" s="32"/>
    </row>
    <row r="9279" spans="21:21" ht="12.5">
      <c r="U9279" s="32"/>
    </row>
    <row r="9280" spans="21:21" ht="12.5">
      <c r="U9280" s="32"/>
    </row>
    <row r="9281" spans="21:21" ht="12.5">
      <c r="U9281" s="32"/>
    </row>
    <row r="9282" spans="21:21" ht="12.5">
      <c r="U9282" s="32"/>
    </row>
    <row r="9283" spans="21:21" ht="12.5">
      <c r="U9283" s="32"/>
    </row>
    <row r="9284" spans="21:21" ht="12.5">
      <c r="U9284" s="32"/>
    </row>
    <row r="9285" spans="21:21" ht="12.5">
      <c r="U9285" s="32"/>
    </row>
    <row r="9286" spans="21:21" ht="12.5">
      <c r="U9286" s="32"/>
    </row>
    <row r="9287" spans="21:21" ht="12.5">
      <c r="U9287" s="32"/>
    </row>
    <row r="9288" spans="21:21" ht="12.5">
      <c r="U9288" s="32"/>
    </row>
    <row r="9289" spans="21:21" ht="12.5">
      <c r="U9289" s="32"/>
    </row>
    <row r="9290" spans="21:21" ht="12.5">
      <c r="U9290" s="32"/>
    </row>
    <row r="9291" spans="21:21" ht="12.5">
      <c r="U9291" s="32"/>
    </row>
    <row r="9292" spans="21:21" ht="12.5">
      <c r="U9292" s="32"/>
    </row>
    <row r="9293" spans="21:21" ht="12.5">
      <c r="U9293" s="32"/>
    </row>
    <row r="9294" spans="21:21" ht="12.5">
      <c r="U9294" s="32"/>
    </row>
    <row r="9295" spans="21:21" ht="12.5">
      <c r="U9295" s="32"/>
    </row>
    <row r="9296" spans="21:21" ht="12.5">
      <c r="U9296" s="32"/>
    </row>
    <row r="9297" spans="21:21" ht="12.5">
      <c r="U9297" s="32"/>
    </row>
    <row r="9298" spans="21:21" ht="12.5">
      <c r="U9298" s="32"/>
    </row>
    <row r="9299" spans="21:21" ht="12.5">
      <c r="U9299" s="32"/>
    </row>
    <row r="9300" spans="21:21" ht="12.5">
      <c r="U9300" s="32"/>
    </row>
    <row r="9301" spans="21:21" ht="12.5">
      <c r="U9301" s="32"/>
    </row>
    <row r="9302" spans="21:21" ht="12.5">
      <c r="U9302" s="32"/>
    </row>
    <row r="9303" spans="21:21" ht="12.5">
      <c r="U9303" s="32"/>
    </row>
    <row r="9304" spans="21:21" ht="12.5">
      <c r="U9304" s="32"/>
    </row>
    <row r="9305" spans="21:21" ht="12.5">
      <c r="U9305" s="32"/>
    </row>
    <row r="9306" spans="21:21" ht="12.5">
      <c r="U9306" s="32"/>
    </row>
    <row r="9307" spans="21:21" ht="12.5">
      <c r="U9307" s="32"/>
    </row>
    <row r="9308" spans="21:21" ht="12.5">
      <c r="U9308" s="32"/>
    </row>
    <row r="9309" spans="21:21" ht="12.5">
      <c r="U9309" s="32"/>
    </row>
    <row r="9310" spans="21:21" ht="12.5">
      <c r="U9310" s="32"/>
    </row>
    <row r="9311" spans="21:21" ht="12.5">
      <c r="U9311" s="32"/>
    </row>
    <row r="9312" spans="21:21" ht="12.5">
      <c r="U9312" s="32"/>
    </row>
    <row r="9313" spans="21:21" ht="12.5">
      <c r="U9313" s="32"/>
    </row>
    <row r="9314" spans="21:21" ht="12.5">
      <c r="U9314" s="32"/>
    </row>
    <row r="9315" spans="21:21" ht="12.5">
      <c r="U9315" s="32"/>
    </row>
    <row r="9316" spans="21:21" ht="12.5">
      <c r="U9316" s="32"/>
    </row>
    <row r="9317" spans="21:21" ht="12.5">
      <c r="U9317" s="32"/>
    </row>
    <row r="9318" spans="21:21" ht="12.5">
      <c r="U9318" s="32"/>
    </row>
    <row r="9319" spans="21:21" ht="12.5">
      <c r="U9319" s="32"/>
    </row>
    <row r="9320" spans="21:21" ht="12.5">
      <c r="U9320" s="32"/>
    </row>
    <row r="9321" spans="21:21" ht="12.5">
      <c r="U9321" s="32"/>
    </row>
    <row r="9322" spans="21:21" ht="12.5">
      <c r="U9322" s="32"/>
    </row>
    <row r="9323" spans="21:21" ht="12.5">
      <c r="U9323" s="32"/>
    </row>
    <row r="9324" spans="21:21" ht="12.5">
      <c r="U9324" s="32"/>
    </row>
    <row r="9325" spans="21:21" ht="12.5">
      <c r="U9325" s="32"/>
    </row>
    <row r="9326" spans="21:21" ht="12.5">
      <c r="U9326" s="32"/>
    </row>
    <row r="9327" spans="21:21" ht="12.5">
      <c r="U9327" s="32"/>
    </row>
    <row r="9328" spans="21:21" ht="12.5">
      <c r="U9328" s="32"/>
    </row>
    <row r="9329" spans="21:21" ht="12.5">
      <c r="U9329" s="32"/>
    </row>
    <row r="9330" spans="21:21" ht="12.5">
      <c r="U9330" s="32"/>
    </row>
    <row r="9331" spans="21:21" ht="12.5">
      <c r="U9331" s="32"/>
    </row>
    <row r="9332" spans="21:21" ht="12.5">
      <c r="U9332" s="32"/>
    </row>
    <row r="9333" spans="21:21" ht="12.5">
      <c r="U9333" s="32"/>
    </row>
    <row r="9334" spans="21:21" ht="12.5">
      <c r="U9334" s="32"/>
    </row>
    <row r="9335" spans="21:21" ht="12.5">
      <c r="U9335" s="32"/>
    </row>
    <row r="9336" spans="21:21" ht="12.5">
      <c r="U9336" s="32"/>
    </row>
    <row r="9337" spans="21:21" ht="12.5">
      <c r="U9337" s="32"/>
    </row>
    <row r="9338" spans="21:21" ht="12.5">
      <c r="U9338" s="32"/>
    </row>
    <row r="9339" spans="21:21" ht="12.5">
      <c r="U9339" s="32"/>
    </row>
    <row r="9340" spans="21:21" ht="12.5">
      <c r="U9340" s="32"/>
    </row>
    <row r="9341" spans="21:21" ht="12.5">
      <c r="U9341" s="32"/>
    </row>
    <row r="9342" spans="21:21" ht="12.5">
      <c r="U9342" s="32"/>
    </row>
    <row r="9343" spans="21:21" ht="12.5">
      <c r="U9343" s="32"/>
    </row>
    <row r="9344" spans="21:21" ht="12.5">
      <c r="U9344" s="32"/>
    </row>
    <row r="9345" spans="21:21" ht="12.5">
      <c r="U9345" s="32"/>
    </row>
    <row r="9346" spans="21:21" ht="12.5">
      <c r="U9346" s="32"/>
    </row>
    <row r="9347" spans="21:21" ht="12.5">
      <c r="U9347" s="32"/>
    </row>
    <row r="9348" spans="21:21" ht="12.5">
      <c r="U9348" s="32"/>
    </row>
    <row r="9349" spans="21:21" ht="12.5">
      <c r="U9349" s="32"/>
    </row>
    <row r="9350" spans="21:21" ht="12.5">
      <c r="U9350" s="32"/>
    </row>
    <row r="9351" spans="21:21" ht="12.5">
      <c r="U9351" s="32"/>
    </row>
    <row r="9352" spans="21:21" ht="12.5">
      <c r="U9352" s="32"/>
    </row>
    <row r="9353" spans="21:21" ht="12.5">
      <c r="U9353" s="32"/>
    </row>
    <row r="9354" spans="21:21" ht="12.5">
      <c r="U9354" s="32"/>
    </row>
    <row r="9355" spans="21:21" ht="12.5">
      <c r="U9355" s="32"/>
    </row>
    <row r="9356" spans="21:21" ht="12.5">
      <c r="U9356" s="32"/>
    </row>
    <row r="9357" spans="21:21" ht="12.5">
      <c r="U9357" s="32"/>
    </row>
    <row r="9358" spans="21:21" ht="12.5">
      <c r="U9358" s="32"/>
    </row>
    <row r="9359" spans="21:21" ht="12.5">
      <c r="U9359" s="32"/>
    </row>
    <row r="9360" spans="21:21" ht="12.5">
      <c r="U9360" s="32"/>
    </row>
    <row r="9361" spans="21:21" ht="12.5">
      <c r="U9361" s="32"/>
    </row>
    <row r="9362" spans="21:21" ht="12.5">
      <c r="U9362" s="32"/>
    </row>
    <row r="9363" spans="21:21" ht="12.5">
      <c r="U9363" s="32"/>
    </row>
    <row r="9364" spans="21:21" ht="12.5">
      <c r="U9364" s="32"/>
    </row>
    <row r="9365" spans="21:21" ht="12.5">
      <c r="U9365" s="32"/>
    </row>
    <row r="9366" spans="21:21" ht="12.5">
      <c r="U9366" s="32"/>
    </row>
    <row r="9367" spans="21:21" ht="12.5">
      <c r="U9367" s="32"/>
    </row>
    <row r="9368" spans="21:21" ht="12.5">
      <c r="U9368" s="32"/>
    </row>
    <row r="9369" spans="21:21" ht="12.5">
      <c r="U9369" s="32"/>
    </row>
    <row r="9370" spans="21:21" ht="12.5">
      <c r="U9370" s="32"/>
    </row>
    <row r="9371" spans="21:21" ht="12.5">
      <c r="U9371" s="32"/>
    </row>
    <row r="9372" spans="21:21" ht="12.5">
      <c r="U9372" s="32"/>
    </row>
    <row r="9373" spans="21:21" ht="12.5">
      <c r="U9373" s="32"/>
    </row>
    <row r="9374" spans="21:21" ht="12.5">
      <c r="U9374" s="32"/>
    </row>
    <row r="9375" spans="21:21" ht="12.5">
      <c r="U9375" s="32"/>
    </row>
    <row r="9376" spans="21:21" ht="12.5">
      <c r="U9376" s="32"/>
    </row>
    <row r="9377" spans="21:21" ht="12.5">
      <c r="U9377" s="32"/>
    </row>
    <row r="9378" spans="21:21" ht="12.5">
      <c r="U9378" s="32"/>
    </row>
    <row r="9379" spans="21:21" ht="12.5">
      <c r="U9379" s="32"/>
    </row>
    <row r="9380" spans="21:21" ht="12.5">
      <c r="U9380" s="32"/>
    </row>
    <row r="9381" spans="21:21" ht="12.5">
      <c r="U9381" s="32"/>
    </row>
    <row r="9382" spans="21:21" ht="12.5">
      <c r="U9382" s="32"/>
    </row>
    <row r="9383" spans="21:21" ht="12.5">
      <c r="U9383" s="32"/>
    </row>
    <row r="9384" spans="21:21" ht="12.5">
      <c r="U9384" s="32"/>
    </row>
    <row r="9385" spans="21:21" ht="12.5">
      <c r="U9385" s="32"/>
    </row>
    <row r="9386" spans="21:21" ht="12.5">
      <c r="U9386" s="32"/>
    </row>
    <row r="9387" spans="21:21" ht="12.5">
      <c r="U9387" s="32"/>
    </row>
    <row r="9388" spans="21:21" ht="12.5">
      <c r="U9388" s="32"/>
    </row>
    <row r="9389" spans="21:21" ht="12.5">
      <c r="U9389" s="32"/>
    </row>
    <row r="9390" spans="21:21" ht="12.5">
      <c r="U9390" s="32"/>
    </row>
    <row r="9391" spans="21:21" ht="12.5">
      <c r="U9391" s="32"/>
    </row>
    <row r="9392" spans="21:21" ht="12.5">
      <c r="U9392" s="32"/>
    </row>
    <row r="9393" spans="21:21" ht="12.5">
      <c r="U9393" s="32"/>
    </row>
    <row r="9394" spans="21:21" ht="12.5">
      <c r="U9394" s="32"/>
    </row>
    <row r="9395" spans="21:21" ht="12.5">
      <c r="U9395" s="32"/>
    </row>
    <row r="9396" spans="21:21" ht="12.5">
      <c r="U9396" s="32"/>
    </row>
    <row r="9397" spans="21:21" ht="12.5">
      <c r="U9397" s="32"/>
    </row>
    <row r="9398" spans="21:21" ht="12.5">
      <c r="U9398" s="32"/>
    </row>
    <row r="9399" spans="21:21" ht="12.5">
      <c r="U9399" s="32"/>
    </row>
    <row r="9400" spans="21:21" ht="12.5">
      <c r="U9400" s="32"/>
    </row>
    <row r="9401" spans="21:21" ht="12.5">
      <c r="U9401" s="32"/>
    </row>
    <row r="9402" spans="21:21" ht="12.5">
      <c r="U9402" s="32"/>
    </row>
    <row r="9403" spans="21:21" ht="12.5">
      <c r="U9403" s="32"/>
    </row>
    <row r="9404" spans="21:21" ht="12.5">
      <c r="U9404" s="32"/>
    </row>
    <row r="9405" spans="21:21" ht="12.5">
      <c r="U9405" s="32"/>
    </row>
    <row r="9406" spans="21:21" ht="12.5">
      <c r="U9406" s="32"/>
    </row>
    <row r="9407" spans="21:21" ht="12.5">
      <c r="U9407" s="32"/>
    </row>
    <row r="9408" spans="21:21" ht="12.5">
      <c r="U9408" s="32"/>
    </row>
    <row r="9409" spans="21:21" ht="12.5">
      <c r="U9409" s="32"/>
    </row>
    <row r="9410" spans="21:21" ht="12.5">
      <c r="U9410" s="32"/>
    </row>
    <row r="9411" spans="21:21" ht="12.5">
      <c r="U9411" s="32"/>
    </row>
    <row r="9412" spans="21:21" ht="12.5">
      <c r="U9412" s="32"/>
    </row>
    <row r="9413" spans="21:21" ht="12.5">
      <c r="U9413" s="32"/>
    </row>
    <row r="9414" spans="21:21" ht="12.5">
      <c r="U9414" s="32"/>
    </row>
    <row r="9415" spans="21:21" ht="12.5">
      <c r="U9415" s="32"/>
    </row>
    <row r="9416" spans="21:21" ht="12.5">
      <c r="U9416" s="32"/>
    </row>
    <row r="9417" spans="21:21" ht="12.5">
      <c r="U9417" s="32"/>
    </row>
    <row r="9418" spans="21:21" ht="12.5">
      <c r="U9418" s="32"/>
    </row>
    <row r="9419" spans="21:21" ht="12.5">
      <c r="U9419" s="32"/>
    </row>
    <row r="9420" spans="21:21" ht="12.5">
      <c r="U9420" s="32"/>
    </row>
    <row r="9421" spans="21:21" ht="12.5">
      <c r="U9421" s="32"/>
    </row>
    <row r="9422" spans="21:21" ht="12.5">
      <c r="U9422" s="32"/>
    </row>
    <row r="9423" spans="21:21" ht="12.5">
      <c r="U9423" s="32"/>
    </row>
    <row r="9424" spans="21:21" ht="12.5">
      <c r="U9424" s="32"/>
    </row>
    <row r="9425" spans="21:21" ht="12.5">
      <c r="U9425" s="32"/>
    </row>
    <row r="9426" spans="21:21" ht="12.5">
      <c r="U9426" s="32"/>
    </row>
    <row r="9427" spans="21:21" ht="12.5">
      <c r="U9427" s="32"/>
    </row>
    <row r="9428" spans="21:21" ht="12.5">
      <c r="U9428" s="32"/>
    </row>
    <row r="9429" spans="21:21" ht="12.5">
      <c r="U9429" s="32"/>
    </row>
    <row r="9430" spans="21:21" ht="12.5">
      <c r="U9430" s="32"/>
    </row>
    <row r="9431" spans="21:21" ht="12.5">
      <c r="U9431" s="32"/>
    </row>
    <row r="9432" spans="21:21" ht="12.5">
      <c r="U9432" s="32"/>
    </row>
    <row r="9433" spans="21:21" ht="12.5">
      <c r="U9433" s="32"/>
    </row>
    <row r="9434" spans="21:21" ht="12.5">
      <c r="U9434" s="32"/>
    </row>
    <row r="9435" spans="21:21" ht="12.5">
      <c r="U9435" s="32"/>
    </row>
    <row r="9436" spans="21:21" ht="12.5">
      <c r="U9436" s="32"/>
    </row>
    <row r="9437" spans="21:21" ht="12.5">
      <c r="U9437" s="32"/>
    </row>
    <row r="9438" spans="21:21" ht="12.5">
      <c r="U9438" s="32"/>
    </row>
    <row r="9439" spans="21:21" ht="12.5">
      <c r="U9439" s="32"/>
    </row>
    <row r="9440" spans="21:21" ht="12.5">
      <c r="U9440" s="32"/>
    </row>
    <row r="9441" spans="21:21" ht="12.5">
      <c r="U9441" s="32"/>
    </row>
    <row r="9442" spans="21:21" ht="12.5">
      <c r="U9442" s="32"/>
    </row>
    <row r="9443" spans="21:21" ht="12.5">
      <c r="U9443" s="32"/>
    </row>
    <row r="9444" spans="21:21" ht="12.5">
      <c r="U9444" s="32"/>
    </row>
    <row r="9445" spans="21:21" ht="12.5">
      <c r="U9445" s="32"/>
    </row>
    <row r="9446" spans="21:21" ht="12.5">
      <c r="U9446" s="32"/>
    </row>
    <row r="9447" spans="21:21" ht="12.5">
      <c r="U9447" s="32"/>
    </row>
    <row r="9448" spans="21:21" ht="12.5">
      <c r="U9448" s="32"/>
    </row>
    <row r="9449" spans="21:21" ht="12.5">
      <c r="U9449" s="32"/>
    </row>
    <row r="9450" spans="21:21" ht="12.5">
      <c r="U9450" s="32"/>
    </row>
    <row r="9451" spans="21:21" ht="12.5">
      <c r="U9451" s="32"/>
    </row>
    <row r="9452" spans="21:21" ht="12.5">
      <c r="U9452" s="32"/>
    </row>
    <row r="9453" spans="21:21" ht="12.5">
      <c r="U9453" s="32"/>
    </row>
    <row r="9454" spans="21:21" ht="12.5">
      <c r="U9454" s="32"/>
    </row>
    <row r="9455" spans="21:21" ht="12.5">
      <c r="U9455" s="32"/>
    </row>
    <row r="9456" spans="21:21" ht="12.5">
      <c r="U9456" s="32"/>
    </row>
    <row r="9457" spans="21:21" ht="12.5">
      <c r="U9457" s="32"/>
    </row>
    <row r="9458" spans="21:21" ht="12.5">
      <c r="U9458" s="32"/>
    </row>
    <row r="9459" spans="21:21" ht="12.5">
      <c r="U9459" s="32"/>
    </row>
    <row r="9460" spans="21:21" ht="12.5">
      <c r="U9460" s="32"/>
    </row>
    <row r="9461" spans="21:21" ht="12.5">
      <c r="U9461" s="32"/>
    </row>
    <row r="9462" spans="21:21" ht="12.5">
      <c r="U9462" s="32"/>
    </row>
    <row r="9463" spans="21:21" ht="12.5">
      <c r="U9463" s="32"/>
    </row>
    <row r="9464" spans="21:21" ht="12.5">
      <c r="U9464" s="32"/>
    </row>
    <row r="9465" spans="21:21" ht="12.5">
      <c r="U9465" s="32"/>
    </row>
    <row r="9466" spans="21:21" ht="12.5">
      <c r="U9466" s="32"/>
    </row>
    <row r="9467" spans="21:21" ht="12.5">
      <c r="U9467" s="32"/>
    </row>
    <row r="9468" spans="21:21" ht="12.5">
      <c r="U9468" s="32"/>
    </row>
    <row r="9469" spans="21:21" ht="12.5">
      <c r="U9469" s="32"/>
    </row>
    <row r="9470" spans="21:21" ht="12.5">
      <c r="U9470" s="32"/>
    </row>
    <row r="9471" spans="21:21" ht="12.5">
      <c r="U9471" s="32"/>
    </row>
    <row r="9472" spans="21:21" ht="12.5">
      <c r="U9472" s="32"/>
    </row>
    <row r="9473" spans="21:21" ht="12.5">
      <c r="U9473" s="32"/>
    </row>
    <row r="9474" spans="21:21" ht="12.5">
      <c r="U9474" s="32"/>
    </row>
    <row r="9475" spans="21:21" ht="12.5">
      <c r="U9475" s="32"/>
    </row>
    <row r="9476" spans="21:21" ht="12.5">
      <c r="U9476" s="32"/>
    </row>
    <row r="9477" spans="21:21" ht="12.5">
      <c r="U9477" s="32"/>
    </row>
    <row r="9478" spans="21:21" ht="12.5">
      <c r="U9478" s="32"/>
    </row>
    <row r="9479" spans="21:21" ht="12.5">
      <c r="U9479" s="32"/>
    </row>
    <row r="9480" spans="21:21" ht="12.5">
      <c r="U9480" s="32"/>
    </row>
    <row r="9481" spans="21:21" ht="12.5">
      <c r="U9481" s="32"/>
    </row>
    <row r="9482" spans="21:21" ht="12.5">
      <c r="U9482" s="32"/>
    </row>
    <row r="9483" spans="21:21" ht="12.5">
      <c r="U9483" s="32"/>
    </row>
    <row r="9484" spans="21:21" ht="12.5">
      <c r="U9484" s="32"/>
    </row>
    <row r="9485" spans="21:21" ht="12.5">
      <c r="U9485" s="32"/>
    </row>
    <row r="9486" spans="21:21" ht="12.5">
      <c r="U9486" s="32"/>
    </row>
    <row r="9487" spans="21:21" ht="12.5">
      <c r="U9487" s="32"/>
    </row>
    <row r="9488" spans="21:21" ht="12.5">
      <c r="U9488" s="32"/>
    </row>
    <row r="9489" spans="21:21" ht="12.5">
      <c r="U9489" s="32"/>
    </row>
    <row r="9490" spans="21:21" ht="12.5">
      <c r="U9490" s="32"/>
    </row>
    <row r="9491" spans="21:21" ht="12.5">
      <c r="U9491" s="32"/>
    </row>
    <row r="9492" spans="21:21" ht="12.5">
      <c r="U9492" s="32"/>
    </row>
    <row r="9493" spans="21:21" ht="12.5">
      <c r="U9493" s="32"/>
    </row>
    <row r="9494" spans="21:21" ht="12.5">
      <c r="U9494" s="32"/>
    </row>
    <row r="9495" spans="21:21" ht="12.5">
      <c r="U9495" s="32"/>
    </row>
    <row r="9496" spans="21:21" ht="12.5">
      <c r="U9496" s="32"/>
    </row>
    <row r="9497" spans="21:21" ht="12.5">
      <c r="U9497" s="32"/>
    </row>
    <row r="9498" spans="21:21" ht="12.5">
      <c r="U9498" s="32"/>
    </row>
    <row r="9499" spans="21:21" ht="12.5">
      <c r="U9499" s="32"/>
    </row>
    <row r="9500" spans="21:21" ht="12.5">
      <c r="U9500" s="32"/>
    </row>
    <row r="9501" spans="21:21" ht="12.5">
      <c r="U9501" s="32"/>
    </row>
    <row r="9502" spans="21:21" ht="12.5">
      <c r="U9502" s="32"/>
    </row>
    <row r="9503" spans="21:21" ht="12.5">
      <c r="U9503" s="32"/>
    </row>
    <row r="9504" spans="21:21" ht="12.5">
      <c r="U9504" s="32"/>
    </row>
    <row r="9505" spans="21:21" ht="12.5">
      <c r="U9505" s="32"/>
    </row>
    <row r="9506" spans="21:21" ht="12.5">
      <c r="U9506" s="32"/>
    </row>
    <row r="9507" spans="21:21" ht="12.5">
      <c r="U9507" s="32"/>
    </row>
    <row r="9508" spans="21:21" ht="12.5">
      <c r="U9508" s="32"/>
    </row>
    <row r="9509" spans="21:21" ht="12.5">
      <c r="U9509" s="32"/>
    </row>
    <row r="9510" spans="21:21" ht="12.5">
      <c r="U9510" s="32"/>
    </row>
    <row r="9511" spans="21:21" ht="12.5">
      <c r="U9511" s="32"/>
    </row>
    <row r="9512" spans="21:21" ht="12.5">
      <c r="U9512" s="32"/>
    </row>
    <row r="9513" spans="21:21" ht="12.5">
      <c r="U9513" s="32"/>
    </row>
    <row r="9514" spans="21:21" ht="12.5">
      <c r="U9514" s="32"/>
    </row>
    <row r="9515" spans="21:21" ht="12.5">
      <c r="U9515" s="32"/>
    </row>
    <row r="9516" spans="21:21" ht="12.5">
      <c r="U9516" s="32"/>
    </row>
    <row r="9517" spans="21:21" ht="12.5">
      <c r="U9517" s="32"/>
    </row>
    <row r="9518" spans="21:21" ht="12.5">
      <c r="U9518" s="32"/>
    </row>
    <row r="9519" spans="21:21" ht="12.5">
      <c r="U9519" s="32"/>
    </row>
    <row r="9520" spans="21:21" ht="12.5">
      <c r="U9520" s="32"/>
    </row>
    <row r="9521" spans="21:21" ht="12.5">
      <c r="U9521" s="32"/>
    </row>
    <row r="9522" spans="21:21" ht="12.5">
      <c r="U9522" s="32"/>
    </row>
    <row r="9523" spans="21:21" ht="12.5">
      <c r="U9523" s="32"/>
    </row>
    <row r="9524" spans="21:21" ht="12.5">
      <c r="U9524" s="32"/>
    </row>
    <row r="9525" spans="21:21" ht="12.5">
      <c r="U9525" s="32"/>
    </row>
    <row r="9526" spans="21:21" ht="12.5">
      <c r="U9526" s="32"/>
    </row>
    <row r="9527" spans="21:21" ht="12.5">
      <c r="U9527" s="32"/>
    </row>
    <row r="9528" spans="21:21" ht="12.5">
      <c r="U9528" s="32"/>
    </row>
    <row r="9529" spans="21:21" ht="12.5">
      <c r="U9529" s="32"/>
    </row>
    <row r="9530" spans="21:21" ht="12.5">
      <c r="U9530" s="32"/>
    </row>
    <row r="9531" spans="21:21" ht="12.5">
      <c r="U9531" s="32"/>
    </row>
    <row r="9532" spans="21:21" ht="12.5">
      <c r="U9532" s="32"/>
    </row>
    <row r="9533" spans="21:21" ht="12.5">
      <c r="U9533" s="32"/>
    </row>
    <row r="9534" spans="21:21" ht="12.5">
      <c r="U9534" s="32"/>
    </row>
    <row r="9535" spans="21:21" ht="12.5">
      <c r="U9535" s="32"/>
    </row>
    <row r="9536" spans="21:21" ht="12.5">
      <c r="U9536" s="32"/>
    </row>
    <row r="9537" spans="21:21" ht="12.5">
      <c r="U9537" s="32"/>
    </row>
    <row r="9538" spans="21:21" ht="12.5">
      <c r="U9538" s="32"/>
    </row>
    <row r="9539" spans="21:21" ht="12.5">
      <c r="U9539" s="32"/>
    </row>
    <row r="9540" spans="21:21" ht="12.5">
      <c r="U9540" s="32"/>
    </row>
    <row r="9541" spans="21:21" ht="12.5">
      <c r="U9541" s="32"/>
    </row>
    <row r="9542" spans="21:21" ht="12.5">
      <c r="U9542" s="32"/>
    </row>
    <row r="9543" spans="21:21" ht="12.5">
      <c r="U9543" s="32"/>
    </row>
    <row r="9544" spans="21:21" ht="12.5">
      <c r="U9544" s="32"/>
    </row>
    <row r="9545" spans="21:21" ht="12.5">
      <c r="U9545" s="32"/>
    </row>
    <row r="9546" spans="21:21" ht="12.5">
      <c r="U9546" s="32"/>
    </row>
    <row r="9547" spans="21:21" ht="12.5">
      <c r="U9547" s="32"/>
    </row>
    <row r="9548" spans="21:21" ht="12.5">
      <c r="U9548" s="32"/>
    </row>
    <row r="9549" spans="21:21" ht="12.5">
      <c r="U9549" s="32"/>
    </row>
    <row r="9550" spans="21:21" ht="12.5">
      <c r="U9550" s="32"/>
    </row>
    <row r="9551" spans="21:21" ht="12.5">
      <c r="U9551" s="32"/>
    </row>
    <row r="9552" spans="21:21" ht="12.5">
      <c r="U9552" s="32"/>
    </row>
    <row r="9553" spans="21:21" ht="12.5">
      <c r="U9553" s="32"/>
    </row>
    <row r="9554" spans="21:21" ht="12.5">
      <c r="U9554" s="32"/>
    </row>
    <row r="9555" spans="21:21" ht="12.5">
      <c r="U9555" s="32"/>
    </row>
    <row r="9556" spans="21:21" ht="12.5">
      <c r="U9556" s="32"/>
    </row>
    <row r="9557" spans="21:21" ht="12.5">
      <c r="U9557" s="32"/>
    </row>
    <row r="9558" spans="21:21" ht="12.5">
      <c r="U9558" s="32"/>
    </row>
    <row r="9559" spans="21:21" ht="12.5">
      <c r="U9559" s="32"/>
    </row>
    <row r="9560" spans="21:21" ht="12.5">
      <c r="U9560" s="32"/>
    </row>
    <row r="9561" spans="21:21" ht="12.5">
      <c r="U9561" s="32"/>
    </row>
    <row r="9562" spans="21:21" ht="12.5">
      <c r="U9562" s="32"/>
    </row>
    <row r="9563" spans="21:21" ht="12.5">
      <c r="U9563" s="32"/>
    </row>
    <row r="9564" spans="21:21" ht="12.5">
      <c r="U9564" s="32"/>
    </row>
    <row r="9565" spans="21:21" ht="12.5">
      <c r="U9565" s="32"/>
    </row>
    <row r="9566" spans="21:21" ht="12.5">
      <c r="U9566" s="32"/>
    </row>
    <row r="9567" spans="21:21" ht="12.5">
      <c r="U9567" s="32"/>
    </row>
    <row r="9568" spans="21:21" ht="12.5">
      <c r="U9568" s="32"/>
    </row>
    <row r="9569" spans="21:21" ht="12.5">
      <c r="U9569" s="32"/>
    </row>
    <row r="9570" spans="21:21" ht="12.5">
      <c r="U9570" s="32"/>
    </row>
    <row r="9571" spans="21:21" ht="12.5">
      <c r="U9571" s="32"/>
    </row>
    <row r="9572" spans="21:21" ht="12.5">
      <c r="U9572" s="32"/>
    </row>
    <row r="9573" spans="21:21" ht="12.5">
      <c r="U9573" s="32"/>
    </row>
    <row r="9574" spans="21:21" ht="12.5">
      <c r="U9574" s="32"/>
    </row>
    <row r="9575" spans="21:21" ht="12.5">
      <c r="U9575" s="32"/>
    </row>
    <row r="9576" spans="21:21" ht="12.5">
      <c r="U9576" s="32"/>
    </row>
    <row r="9577" spans="21:21" ht="12.5">
      <c r="U9577" s="32"/>
    </row>
    <row r="9578" spans="21:21" ht="12.5">
      <c r="U9578" s="32"/>
    </row>
    <row r="9579" spans="21:21" ht="12.5">
      <c r="U9579" s="32"/>
    </row>
    <row r="9580" spans="21:21" ht="12.5">
      <c r="U9580" s="32"/>
    </row>
    <row r="9581" spans="21:21" ht="12.5">
      <c r="U9581" s="32"/>
    </row>
    <row r="9582" spans="21:21" ht="12.5">
      <c r="U9582" s="32"/>
    </row>
    <row r="9583" spans="21:21" ht="12.5">
      <c r="U9583" s="32"/>
    </row>
    <row r="9584" spans="21:21" ht="12.5">
      <c r="U9584" s="32"/>
    </row>
    <row r="9585" spans="21:21" ht="12.5">
      <c r="U9585" s="32"/>
    </row>
    <row r="9586" spans="21:21" ht="12.5">
      <c r="U9586" s="32"/>
    </row>
    <row r="9587" spans="21:21" ht="12.5">
      <c r="U9587" s="32"/>
    </row>
    <row r="9588" spans="21:21" ht="12.5">
      <c r="U9588" s="32"/>
    </row>
    <row r="9589" spans="21:21" ht="12.5">
      <c r="U9589" s="32"/>
    </row>
    <row r="9590" spans="21:21" ht="12.5">
      <c r="U9590" s="32"/>
    </row>
    <row r="9591" spans="21:21" ht="12.5">
      <c r="U9591" s="32"/>
    </row>
    <row r="9592" spans="21:21" ht="12.5">
      <c r="U9592" s="32"/>
    </row>
    <row r="9593" spans="21:21" ht="12.5">
      <c r="U9593" s="32"/>
    </row>
    <row r="9594" spans="21:21" ht="12.5">
      <c r="U9594" s="32"/>
    </row>
    <row r="9595" spans="21:21" ht="12.5">
      <c r="U9595" s="32"/>
    </row>
    <row r="9596" spans="21:21" ht="12.5">
      <c r="U9596" s="32"/>
    </row>
    <row r="9597" spans="21:21" ht="12.5">
      <c r="U9597" s="32"/>
    </row>
    <row r="9598" spans="21:21" ht="12.5">
      <c r="U9598" s="32"/>
    </row>
    <row r="9599" spans="21:21" ht="12.5">
      <c r="U9599" s="32"/>
    </row>
    <row r="9600" spans="21:21" ht="12.5">
      <c r="U9600" s="32"/>
    </row>
    <row r="9601" spans="21:21" ht="12.5">
      <c r="U9601" s="32"/>
    </row>
    <row r="9602" spans="21:21" ht="12.5">
      <c r="U9602" s="32"/>
    </row>
    <row r="9603" spans="21:21" ht="12.5">
      <c r="U9603" s="32"/>
    </row>
    <row r="9604" spans="21:21" ht="12.5">
      <c r="U9604" s="32"/>
    </row>
    <row r="9605" spans="21:21" ht="12.5">
      <c r="U9605" s="32"/>
    </row>
    <row r="9606" spans="21:21" ht="12.5">
      <c r="U9606" s="32"/>
    </row>
    <row r="9607" spans="21:21" ht="12.5">
      <c r="U9607" s="32"/>
    </row>
    <row r="9608" spans="21:21" ht="12.5">
      <c r="U9608" s="32"/>
    </row>
    <row r="9609" spans="21:21" ht="12.5">
      <c r="U9609" s="32"/>
    </row>
    <row r="9610" spans="21:21" ht="12.5">
      <c r="U9610" s="32"/>
    </row>
    <row r="9611" spans="21:21" ht="12.5">
      <c r="U9611" s="32"/>
    </row>
    <row r="9612" spans="21:21" ht="12.5">
      <c r="U9612" s="32"/>
    </row>
    <row r="9613" spans="21:21" ht="12.5">
      <c r="U9613" s="32"/>
    </row>
    <row r="9614" spans="21:21" ht="12.5">
      <c r="U9614" s="32"/>
    </row>
    <row r="9615" spans="21:21" ht="12.5">
      <c r="U9615" s="32"/>
    </row>
    <row r="9616" spans="21:21" ht="12.5">
      <c r="U9616" s="32"/>
    </row>
    <row r="9617" spans="21:21" ht="12.5">
      <c r="U9617" s="32"/>
    </row>
    <row r="9618" spans="21:21" ht="12.5">
      <c r="U9618" s="32"/>
    </row>
    <row r="9619" spans="21:21" ht="12.5">
      <c r="U9619" s="32"/>
    </row>
    <row r="9620" spans="21:21" ht="12.5">
      <c r="U9620" s="32"/>
    </row>
    <row r="9621" spans="21:21" ht="12.5">
      <c r="U9621" s="32"/>
    </row>
    <row r="9622" spans="21:21" ht="12.5">
      <c r="U9622" s="32"/>
    </row>
    <row r="9623" spans="21:21" ht="12.5">
      <c r="U9623" s="32"/>
    </row>
    <row r="9624" spans="21:21" ht="12.5">
      <c r="U9624" s="32"/>
    </row>
    <row r="9625" spans="21:21" ht="12.5">
      <c r="U9625" s="32"/>
    </row>
    <row r="9626" spans="21:21" ht="12.5">
      <c r="U9626" s="32"/>
    </row>
    <row r="9627" spans="21:21" ht="12.5">
      <c r="U9627" s="32"/>
    </row>
    <row r="9628" spans="21:21" ht="12.5">
      <c r="U9628" s="32"/>
    </row>
    <row r="9629" spans="21:21" ht="12.5">
      <c r="U9629" s="32"/>
    </row>
    <row r="9630" spans="21:21" ht="12.5">
      <c r="U9630" s="32"/>
    </row>
    <row r="9631" spans="21:21" ht="12.5">
      <c r="U9631" s="32"/>
    </row>
    <row r="9632" spans="21:21" ht="12.5">
      <c r="U9632" s="32"/>
    </row>
    <row r="9633" spans="21:21" ht="12.5">
      <c r="U9633" s="32"/>
    </row>
    <row r="9634" spans="21:21" ht="12.5">
      <c r="U9634" s="32"/>
    </row>
    <row r="9635" spans="21:21" ht="12.5">
      <c r="U9635" s="32"/>
    </row>
    <row r="9636" spans="21:21" ht="12.5">
      <c r="U9636" s="32"/>
    </row>
    <row r="9637" spans="21:21" ht="12.5">
      <c r="U9637" s="32"/>
    </row>
    <row r="9638" spans="21:21" ht="12.5">
      <c r="U9638" s="32"/>
    </row>
    <row r="9639" spans="21:21" ht="12.5">
      <c r="U9639" s="32"/>
    </row>
    <row r="9640" spans="21:21" ht="12.5">
      <c r="U9640" s="32"/>
    </row>
    <row r="9641" spans="21:21" ht="12.5">
      <c r="U9641" s="32"/>
    </row>
    <row r="9642" spans="21:21" ht="12.5">
      <c r="U9642" s="32"/>
    </row>
    <row r="9643" spans="21:21" ht="12.5">
      <c r="U9643" s="32"/>
    </row>
    <row r="9644" spans="21:21" ht="12.5">
      <c r="U9644" s="32"/>
    </row>
    <row r="9645" spans="21:21" ht="12.5">
      <c r="U9645" s="32"/>
    </row>
    <row r="9646" spans="21:21" ht="12.5">
      <c r="U9646" s="32"/>
    </row>
    <row r="9647" spans="21:21" ht="12.5">
      <c r="U9647" s="32"/>
    </row>
    <row r="9648" spans="21:21" ht="12.5">
      <c r="U9648" s="32"/>
    </row>
    <row r="9649" spans="21:21" ht="12.5">
      <c r="U9649" s="32"/>
    </row>
    <row r="9650" spans="21:21" ht="12.5">
      <c r="U9650" s="32"/>
    </row>
    <row r="9651" spans="21:21" ht="12.5">
      <c r="U9651" s="32"/>
    </row>
    <row r="9652" spans="21:21" ht="12.5">
      <c r="U9652" s="32"/>
    </row>
    <row r="9653" spans="21:21" ht="12.5">
      <c r="U9653" s="32"/>
    </row>
    <row r="9654" spans="21:21" ht="12.5">
      <c r="U9654" s="32"/>
    </row>
    <row r="9655" spans="21:21" ht="12.5">
      <c r="U9655" s="32"/>
    </row>
    <row r="9656" spans="21:21" ht="12.5">
      <c r="U9656" s="32"/>
    </row>
    <row r="9657" spans="21:21" ht="12.5">
      <c r="U9657" s="32"/>
    </row>
    <row r="9658" spans="21:21" ht="12.5">
      <c r="U9658" s="32"/>
    </row>
    <row r="9659" spans="21:21" ht="12.5">
      <c r="U9659" s="32"/>
    </row>
    <row r="9660" spans="21:21" ht="12.5">
      <c r="U9660" s="32"/>
    </row>
    <row r="9661" spans="21:21" ht="12.5">
      <c r="U9661" s="32"/>
    </row>
    <row r="9662" spans="21:21" ht="12.5">
      <c r="U9662" s="32"/>
    </row>
    <row r="9663" spans="21:21" ht="12.5">
      <c r="U9663" s="32"/>
    </row>
    <row r="9664" spans="21:21" ht="12.5">
      <c r="U9664" s="32"/>
    </row>
    <row r="9665" spans="21:21" ht="12.5">
      <c r="U9665" s="32"/>
    </row>
    <row r="9666" spans="21:21" ht="12.5">
      <c r="U9666" s="32"/>
    </row>
    <row r="9667" spans="21:21" ht="12.5">
      <c r="U9667" s="32"/>
    </row>
    <row r="9668" spans="21:21" ht="12.5">
      <c r="U9668" s="32"/>
    </row>
    <row r="9669" spans="21:21" ht="12.5">
      <c r="U9669" s="32"/>
    </row>
    <row r="9670" spans="21:21" ht="12.5">
      <c r="U9670" s="32"/>
    </row>
    <row r="9671" spans="21:21" ht="12.5">
      <c r="U9671" s="32"/>
    </row>
    <row r="9672" spans="21:21" ht="12.5">
      <c r="U9672" s="32"/>
    </row>
    <row r="9673" spans="21:21" ht="12.5">
      <c r="U9673" s="32"/>
    </row>
    <row r="9674" spans="21:21" ht="12.5">
      <c r="U9674" s="32"/>
    </row>
    <row r="9675" spans="21:21" ht="12.5">
      <c r="U9675" s="32"/>
    </row>
    <row r="9676" spans="21:21" ht="12.5">
      <c r="U9676" s="32"/>
    </row>
    <row r="9677" spans="21:21" ht="12.5">
      <c r="U9677" s="32"/>
    </row>
    <row r="9678" spans="21:21" ht="12.5">
      <c r="U9678" s="32"/>
    </row>
    <row r="9679" spans="21:21" ht="12.5">
      <c r="U9679" s="32"/>
    </row>
    <row r="9680" spans="21:21" ht="12.5">
      <c r="U9680" s="32"/>
    </row>
    <row r="9681" spans="21:21" ht="12.5">
      <c r="U9681" s="32"/>
    </row>
    <row r="9682" spans="21:21" ht="12.5">
      <c r="U9682" s="32"/>
    </row>
    <row r="9683" spans="21:21" ht="12.5">
      <c r="U9683" s="32"/>
    </row>
    <row r="9684" spans="21:21" ht="12.5">
      <c r="U9684" s="32"/>
    </row>
    <row r="9685" spans="21:21" ht="12.5">
      <c r="U9685" s="32"/>
    </row>
    <row r="9686" spans="21:21" ht="12.5">
      <c r="U9686" s="32"/>
    </row>
    <row r="9687" spans="21:21" ht="12.5">
      <c r="U9687" s="32"/>
    </row>
    <row r="9688" spans="21:21" ht="12.5">
      <c r="U9688" s="32"/>
    </row>
    <row r="9689" spans="21:21" ht="12.5">
      <c r="U9689" s="32"/>
    </row>
    <row r="9690" spans="21:21" ht="12.5">
      <c r="U9690" s="32"/>
    </row>
    <row r="9691" spans="21:21" ht="12.5">
      <c r="U9691" s="32"/>
    </row>
    <row r="9692" spans="21:21" ht="12.5">
      <c r="U9692" s="32"/>
    </row>
    <row r="9693" spans="21:21" ht="12.5">
      <c r="U9693" s="32"/>
    </row>
    <row r="9694" spans="21:21" ht="12.5">
      <c r="U9694" s="32"/>
    </row>
    <row r="9695" spans="21:21" ht="12.5">
      <c r="U9695" s="32"/>
    </row>
    <row r="9696" spans="21:21" ht="12.5">
      <c r="U9696" s="32"/>
    </row>
    <row r="9697" spans="21:21" ht="12.5">
      <c r="U9697" s="32"/>
    </row>
    <row r="9698" spans="21:21" ht="12.5">
      <c r="U9698" s="32"/>
    </row>
    <row r="9699" spans="21:21" ht="12.5">
      <c r="U9699" s="32"/>
    </row>
    <row r="9700" spans="21:21" ht="12.5">
      <c r="U9700" s="32"/>
    </row>
    <row r="9701" spans="21:21" ht="12.5">
      <c r="U9701" s="32"/>
    </row>
    <row r="9702" spans="21:21" ht="12.5">
      <c r="U9702" s="32"/>
    </row>
    <row r="9703" spans="21:21" ht="12.5">
      <c r="U9703" s="32"/>
    </row>
    <row r="9704" spans="21:21" ht="12.5">
      <c r="U9704" s="32"/>
    </row>
    <row r="9705" spans="21:21" ht="12.5">
      <c r="U9705" s="32"/>
    </row>
    <row r="9706" spans="21:21" ht="12.5">
      <c r="U9706" s="32"/>
    </row>
    <row r="9707" spans="21:21" ht="12.5">
      <c r="U9707" s="32"/>
    </row>
    <row r="9708" spans="21:21" ht="12.5">
      <c r="U9708" s="32"/>
    </row>
    <row r="9709" spans="21:21" ht="12.5">
      <c r="U9709" s="32"/>
    </row>
    <row r="9710" spans="21:21" ht="12.5">
      <c r="U9710" s="32"/>
    </row>
    <row r="9711" spans="21:21" ht="12.5">
      <c r="U9711" s="32"/>
    </row>
    <row r="9712" spans="21:21" ht="12.5">
      <c r="U9712" s="32"/>
    </row>
    <row r="9713" spans="21:21" ht="12.5">
      <c r="U9713" s="32"/>
    </row>
    <row r="9714" spans="21:21" ht="12.5">
      <c r="U9714" s="32"/>
    </row>
    <row r="9715" spans="21:21" ht="12.5">
      <c r="U9715" s="32"/>
    </row>
    <row r="9716" spans="21:21" ht="12.5">
      <c r="U9716" s="32"/>
    </row>
    <row r="9717" spans="21:21" ht="12.5">
      <c r="U9717" s="32"/>
    </row>
    <row r="9718" spans="21:21" ht="12.5">
      <c r="U9718" s="32"/>
    </row>
    <row r="9719" spans="21:21" ht="12.5">
      <c r="U9719" s="32"/>
    </row>
    <row r="9720" spans="21:21" ht="12.5">
      <c r="U9720" s="32"/>
    </row>
    <row r="9721" spans="21:21" ht="12.5">
      <c r="U9721" s="32"/>
    </row>
    <row r="9722" spans="21:21" ht="12.5">
      <c r="U9722" s="32"/>
    </row>
    <row r="9723" spans="21:21" ht="12.5">
      <c r="U9723" s="32"/>
    </row>
    <row r="9724" spans="21:21" ht="12.5">
      <c r="U9724" s="32"/>
    </row>
    <row r="9725" spans="21:21" ht="12.5">
      <c r="U9725" s="32"/>
    </row>
    <row r="9726" spans="21:21" ht="12.5">
      <c r="U9726" s="32"/>
    </row>
    <row r="9727" spans="21:21" ht="12.5">
      <c r="U9727" s="32"/>
    </row>
    <row r="9728" spans="21:21" ht="12.5">
      <c r="U9728" s="32"/>
    </row>
    <row r="9729" spans="21:21" ht="12.5">
      <c r="U9729" s="32"/>
    </row>
    <row r="9730" spans="21:21" ht="12.5">
      <c r="U9730" s="32"/>
    </row>
    <row r="9731" spans="21:21" ht="12.5">
      <c r="U9731" s="32"/>
    </row>
    <row r="9732" spans="21:21" ht="12.5">
      <c r="U9732" s="32"/>
    </row>
    <row r="9733" spans="21:21" ht="12.5">
      <c r="U9733" s="32"/>
    </row>
    <row r="9734" spans="21:21" ht="12.5">
      <c r="U9734" s="32"/>
    </row>
    <row r="9735" spans="21:21" ht="12.5">
      <c r="U9735" s="32"/>
    </row>
    <row r="9736" spans="21:21" ht="12.5">
      <c r="U9736" s="32"/>
    </row>
    <row r="9737" spans="21:21" ht="12.5">
      <c r="U9737" s="32"/>
    </row>
    <row r="9738" spans="21:21" ht="12.5">
      <c r="U9738" s="32"/>
    </row>
    <row r="9739" spans="21:21" ht="12.5">
      <c r="U9739" s="32"/>
    </row>
    <row r="9740" spans="21:21" ht="12.5">
      <c r="U9740" s="32"/>
    </row>
    <row r="9741" spans="21:21" ht="12.5">
      <c r="U9741" s="32"/>
    </row>
    <row r="9742" spans="21:21" ht="12.5">
      <c r="U9742" s="32"/>
    </row>
    <row r="9743" spans="21:21" ht="12.5">
      <c r="U9743" s="32"/>
    </row>
    <row r="9744" spans="21:21" ht="12.5">
      <c r="U9744" s="32"/>
    </row>
    <row r="9745" spans="21:21" ht="12.5">
      <c r="U9745" s="32"/>
    </row>
    <row r="9746" spans="21:21" ht="12.5">
      <c r="U9746" s="32"/>
    </row>
    <row r="9747" spans="21:21" ht="12.5">
      <c r="U9747" s="32"/>
    </row>
    <row r="9748" spans="21:21" ht="12.5">
      <c r="U9748" s="32"/>
    </row>
    <row r="9749" spans="21:21" ht="12.5">
      <c r="U9749" s="32"/>
    </row>
    <row r="9750" spans="21:21" ht="12.5">
      <c r="U9750" s="32"/>
    </row>
    <row r="9751" spans="21:21" ht="12.5">
      <c r="U9751" s="32"/>
    </row>
    <row r="9752" spans="21:21" ht="12.5">
      <c r="U9752" s="32"/>
    </row>
    <row r="9753" spans="21:21" ht="12.5">
      <c r="U9753" s="32"/>
    </row>
    <row r="9754" spans="21:21" ht="12.5">
      <c r="U9754" s="32"/>
    </row>
    <row r="9755" spans="21:21" ht="12.5">
      <c r="U9755" s="32"/>
    </row>
    <row r="9756" spans="21:21" ht="12.5">
      <c r="U9756" s="32"/>
    </row>
    <row r="9757" spans="21:21" ht="12.5">
      <c r="U9757" s="32"/>
    </row>
    <row r="9758" spans="21:21" ht="12.5">
      <c r="U9758" s="32"/>
    </row>
    <row r="9759" spans="21:21" ht="12.5">
      <c r="U9759" s="32"/>
    </row>
    <row r="9760" spans="21:21" ht="12.5">
      <c r="U9760" s="32"/>
    </row>
    <row r="9761" spans="21:21" ht="12.5">
      <c r="U9761" s="32"/>
    </row>
    <row r="9762" spans="21:21" ht="12.5">
      <c r="U9762" s="32"/>
    </row>
    <row r="9763" spans="21:21" ht="12.5">
      <c r="U9763" s="32"/>
    </row>
    <row r="9764" spans="21:21" ht="12.5">
      <c r="U9764" s="32"/>
    </row>
    <row r="9765" spans="21:21" ht="12.5">
      <c r="U9765" s="32"/>
    </row>
    <row r="9766" spans="21:21" ht="12.5">
      <c r="U9766" s="32"/>
    </row>
    <row r="9767" spans="21:21" ht="12.5">
      <c r="U9767" s="32"/>
    </row>
    <row r="9768" spans="21:21" ht="12.5">
      <c r="U9768" s="32"/>
    </row>
    <row r="9769" spans="21:21" ht="12.5">
      <c r="U9769" s="32"/>
    </row>
    <row r="9770" spans="21:21" ht="12.5">
      <c r="U9770" s="32"/>
    </row>
    <row r="9771" spans="21:21" ht="12.5">
      <c r="U9771" s="32"/>
    </row>
    <row r="9772" spans="21:21" ht="12.5">
      <c r="U9772" s="32"/>
    </row>
    <row r="9773" spans="21:21" ht="12.5">
      <c r="U9773" s="32"/>
    </row>
    <row r="9774" spans="21:21" ht="12.5">
      <c r="U9774" s="32"/>
    </row>
    <row r="9775" spans="21:21" ht="12.5">
      <c r="U9775" s="32"/>
    </row>
    <row r="9776" spans="21:21" ht="12.5">
      <c r="U9776" s="32"/>
    </row>
    <row r="9777" spans="21:21" ht="12.5">
      <c r="U9777" s="32"/>
    </row>
    <row r="9778" spans="21:21" ht="12.5">
      <c r="U9778" s="32"/>
    </row>
    <row r="9779" spans="21:21" ht="12.5">
      <c r="U9779" s="32"/>
    </row>
    <row r="9780" spans="21:21" ht="12.5">
      <c r="U9780" s="32"/>
    </row>
    <row r="9781" spans="21:21" ht="12.5">
      <c r="U9781" s="32"/>
    </row>
    <row r="9782" spans="21:21" ht="12.5">
      <c r="U9782" s="32"/>
    </row>
    <row r="9783" spans="21:21" ht="12.5">
      <c r="U9783" s="32"/>
    </row>
    <row r="9784" spans="21:21" ht="12.5">
      <c r="U9784" s="32"/>
    </row>
    <row r="9785" spans="21:21" ht="12.5">
      <c r="U9785" s="32"/>
    </row>
    <row r="9786" spans="21:21" ht="12.5">
      <c r="U9786" s="32"/>
    </row>
    <row r="9787" spans="21:21" ht="12.5">
      <c r="U9787" s="32"/>
    </row>
    <row r="9788" spans="21:21" ht="12.5">
      <c r="U9788" s="32"/>
    </row>
    <row r="9789" spans="21:21" ht="12.5">
      <c r="U9789" s="32"/>
    </row>
    <row r="9790" spans="21:21" ht="12.5">
      <c r="U9790" s="32"/>
    </row>
    <row r="9791" spans="21:21" ht="12.5">
      <c r="U9791" s="32"/>
    </row>
    <row r="9792" spans="21:21" ht="12.5">
      <c r="U9792" s="32"/>
    </row>
    <row r="9793" spans="21:21" ht="12.5">
      <c r="U9793" s="32"/>
    </row>
    <row r="9794" spans="21:21" ht="12.5">
      <c r="U9794" s="32"/>
    </row>
    <row r="9795" spans="21:21" ht="12.5">
      <c r="U9795" s="32"/>
    </row>
    <row r="9796" spans="21:21" ht="12.5">
      <c r="U9796" s="32"/>
    </row>
    <row r="9797" spans="21:21" ht="12.5">
      <c r="U9797" s="32"/>
    </row>
    <row r="9798" spans="21:21" ht="12.5">
      <c r="U9798" s="32"/>
    </row>
    <row r="9799" spans="21:21" ht="12.5">
      <c r="U9799" s="32"/>
    </row>
    <row r="9800" spans="21:21" ht="12.5">
      <c r="U9800" s="32"/>
    </row>
    <row r="9801" spans="21:21" ht="12.5">
      <c r="U9801" s="32"/>
    </row>
    <row r="9802" spans="21:21" ht="12.5">
      <c r="U9802" s="32"/>
    </row>
    <row r="9803" spans="21:21" ht="12.5">
      <c r="U9803" s="32"/>
    </row>
    <row r="9804" spans="21:21" ht="12.5">
      <c r="U9804" s="32"/>
    </row>
    <row r="9805" spans="21:21" ht="12.5">
      <c r="U9805" s="32"/>
    </row>
    <row r="9806" spans="21:21" ht="12.5">
      <c r="U9806" s="32"/>
    </row>
    <row r="9807" spans="21:21" ht="12.5">
      <c r="U9807" s="32"/>
    </row>
    <row r="9808" spans="21:21" ht="12.5">
      <c r="U9808" s="32"/>
    </row>
    <row r="9809" spans="21:21" ht="12.5">
      <c r="U9809" s="32"/>
    </row>
    <row r="9810" spans="21:21" ht="12.5">
      <c r="U9810" s="32"/>
    </row>
    <row r="9811" spans="21:21" ht="12.5">
      <c r="U9811" s="32"/>
    </row>
    <row r="9812" spans="21:21" ht="12.5">
      <c r="U9812" s="32"/>
    </row>
    <row r="9813" spans="21:21" ht="12.5">
      <c r="U9813" s="32"/>
    </row>
    <row r="9814" spans="21:21" ht="12.5">
      <c r="U9814" s="32"/>
    </row>
    <row r="9815" spans="21:21" ht="12.5">
      <c r="U9815" s="32"/>
    </row>
    <row r="9816" spans="21:21" ht="12.5">
      <c r="U9816" s="32"/>
    </row>
    <row r="9817" spans="21:21" ht="12.5">
      <c r="U9817" s="32"/>
    </row>
    <row r="9818" spans="21:21" ht="12.5">
      <c r="U9818" s="32"/>
    </row>
    <row r="9819" spans="21:21" ht="12.5">
      <c r="U9819" s="32"/>
    </row>
    <row r="9820" spans="21:21" ht="12.5">
      <c r="U9820" s="32"/>
    </row>
    <row r="9821" spans="21:21" ht="12.5">
      <c r="U9821" s="32"/>
    </row>
    <row r="9822" spans="21:21" ht="12.5">
      <c r="U9822" s="32"/>
    </row>
    <row r="9823" spans="21:21" ht="12.5">
      <c r="U9823" s="32"/>
    </row>
    <row r="9824" spans="21:21" ht="12.5">
      <c r="U9824" s="32"/>
    </row>
    <row r="9825" spans="21:21" ht="12.5">
      <c r="U9825" s="32"/>
    </row>
    <row r="9826" spans="21:21" ht="12.5">
      <c r="U9826" s="32"/>
    </row>
    <row r="9827" spans="21:21" ht="12.5">
      <c r="U9827" s="32"/>
    </row>
    <row r="9828" spans="21:21" ht="12.5">
      <c r="U9828" s="32"/>
    </row>
    <row r="9829" spans="21:21" ht="12.5">
      <c r="U9829" s="32"/>
    </row>
    <row r="9830" spans="21:21" ht="12.5">
      <c r="U9830" s="32"/>
    </row>
    <row r="9831" spans="21:21" ht="12.5">
      <c r="U9831" s="32"/>
    </row>
    <row r="9832" spans="21:21" ht="12.5">
      <c r="U9832" s="32"/>
    </row>
    <row r="9833" spans="21:21" ht="12.5">
      <c r="U9833" s="32"/>
    </row>
    <row r="9834" spans="21:21" ht="12.5">
      <c r="U9834" s="32"/>
    </row>
    <row r="9835" spans="21:21" ht="12.5">
      <c r="U9835" s="32"/>
    </row>
    <row r="9836" spans="21:21" ht="12.5">
      <c r="U9836" s="32"/>
    </row>
    <row r="9837" spans="21:21" ht="12.5">
      <c r="U9837" s="32"/>
    </row>
    <row r="9838" spans="21:21" ht="12.5">
      <c r="U9838" s="32"/>
    </row>
    <row r="9839" spans="21:21" ht="12.5">
      <c r="U9839" s="32"/>
    </row>
    <row r="9840" spans="21:21" ht="12.5">
      <c r="U9840" s="32"/>
    </row>
    <row r="9841" spans="21:21" ht="12.5">
      <c r="U9841" s="32"/>
    </row>
    <row r="9842" spans="21:21" ht="12.5">
      <c r="U9842" s="32"/>
    </row>
    <row r="9843" spans="21:21" ht="12.5">
      <c r="U9843" s="32"/>
    </row>
    <row r="9844" spans="21:21" ht="12.5">
      <c r="U9844" s="32"/>
    </row>
    <row r="9845" spans="21:21" ht="12.5">
      <c r="U9845" s="32"/>
    </row>
    <row r="9846" spans="21:21" ht="12.5">
      <c r="U9846" s="32"/>
    </row>
    <row r="9847" spans="21:21" ht="12.5">
      <c r="U9847" s="32"/>
    </row>
    <row r="9848" spans="21:21" ht="12.5">
      <c r="U9848" s="32"/>
    </row>
    <row r="9849" spans="21:21" ht="12.5">
      <c r="U9849" s="32"/>
    </row>
    <row r="9850" spans="21:21" ht="12.5">
      <c r="U9850" s="32"/>
    </row>
    <row r="9851" spans="21:21" ht="12.5">
      <c r="U9851" s="32"/>
    </row>
    <row r="9852" spans="21:21" ht="12.5">
      <c r="U9852" s="32"/>
    </row>
    <row r="9853" spans="21:21" ht="12.5">
      <c r="U9853" s="32"/>
    </row>
    <row r="9854" spans="21:21" ht="12.5">
      <c r="U9854" s="32"/>
    </row>
    <row r="9855" spans="21:21" ht="12.5">
      <c r="U9855" s="32"/>
    </row>
    <row r="9856" spans="21:21" ht="12.5">
      <c r="U9856" s="32"/>
    </row>
    <row r="9857" spans="21:21" ht="12.5">
      <c r="U9857" s="32"/>
    </row>
    <row r="9858" spans="21:21" ht="12.5">
      <c r="U9858" s="32"/>
    </row>
    <row r="9859" spans="21:21" ht="12.5">
      <c r="U9859" s="32"/>
    </row>
    <row r="9860" spans="21:21" ht="12.5">
      <c r="U9860" s="32"/>
    </row>
    <row r="9861" spans="21:21" ht="12.5">
      <c r="U9861" s="32"/>
    </row>
    <row r="9862" spans="21:21" ht="12.5">
      <c r="U9862" s="32"/>
    </row>
    <row r="9863" spans="21:21" ht="12.5">
      <c r="U9863" s="32"/>
    </row>
    <row r="9864" spans="21:21" ht="12.5">
      <c r="U9864" s="32"/>
    </row>
    <row r="9865" spans="21:21" ht="12.5">
      <c r="U9865" s="32"/>
    </row>
    <row r="9866" spans="21:21" ht="12.5">
      <c r="U9866" s="32"/>
    </row>
    <row r="9867" spans="21:21" ht="12.5">
      <c r="U9867" s="32"/>
    </row>
    <row r="9868" spans="21:21" ht="12.5">
      <c r="U9868" s="32"/>
    </row>
    <row r="9869" spans="21:21" ht="12.5">
      <c r="U9869" s="32"/>
    </row>
    <row r="9870" spans="21:21" ht="12.5">
      <c r="U9870" s="32"/>
    </row>
    <row r="9871" spans="21:21" ht="12.5">
      <c r="U9871" s="32"/>
    </row>
    <row r="9872" spans="21:21" ht="12.5">
      <c r="U9872" s="32"/>
    </row>
    <row r="9873" spans="21:21" ht="12.5">
      <c r="U9873" s="32"/>
    </row>
    <row r="9874" spans="21:21" ht="12.5">
      <c r="U9874" s="32"/>
    </row>
    <row r="9875" spans="21:21" ht="12.5">
      <c r="U9875" s="32"/>
    </row>
    <row r="9876" spans="21:21" ht="12.5">
      <c r="U9876" s="32"/>
    </row>
    <row r="9877" spans="21:21" ht="12.5">
      <c r="U9877" s="32"/>
    </row>
    <row r="9878" spans="21:21" ht="12.5">
      <c r="U9878" s="32"/>
    </row>
    <row r="9879" spans="21:21" ht="12.5">
      <c r="U9879" s="32"/>
    </row>
    <row r="9880" spans="21:21" ht="12.5">
      <c r="U9880" s="32"/>
    </row>
    <row r="9881" spans="21:21" ht="12.5">
      <c r="U9881" s="32"/>
    </row>
    <row r="9882" spans="21:21" ht="12.5">
      <c r="U9882" s="32"/>
    </row>
    <row r="9883" spans="21:21" ht="12.5">
      <c r="U9883" s="32"/>
    </row>
    <row r="9884" spans="21:21" ht="12.5">
      <c r="U9884" s="32"/>
    </row>
    <row r="9885" spans="21:21" ht="12.5">
      <c r="U9885" s="32"/>
    </row>
    <row r="9886" spans="21:21" ht="12.5">
      <c r="U9886" s="32"/>
    </row>
    <row r="9887" spans="21:21" ht="12.5">
      <c r="U9887" s="32"/>
    </row>
    <row r="9888" spans="21:21" ht="12.5">
      <c r="U9888" s="32"/>
    </row>
    <row r="9889" spans="21:21" ht="12.5">
      <c r="U9889" s="32"/>
    </row>
    <row r="9890" spans="21:21" ht="12.5">
      <c r="U9890" s="32"/>
    </row>
    <row r="9891" spans="21:21" ht="12.5">
      <c r="U9891" s="32"/>
    </row>
    <row r="9892" spans="21:21" ht="12.5">
      <c r="U9892" s="32"/>
    </row>
    <row r="9893" spans="21:21" ht="12.5">
      <c r="U9893" s="32"/>
    </row>
    <row r="9894" spans="21:21" ht="12.5">
      <c r="U9894" s="32"/>
    </row>
    <row r="9895" spans="21:21" ht="12.5">
      <c r="U9895" s="32"/>
    </row>
    <row r="9896" spans="21:21" ht="12.5">
      <c r="U9896" s="32"/>
    </row>
    <row r="9897" spans="21:21" ht="12.5">
      <c r="U9897" s="32"/>
    </row>
    <row r="9898" spans="21:21" ht="12.5">
      <c r="U9898" s="32"/>
    </row>
    <row r="9899" spans="21:21" ht="12.5">
      <c r="U9899" s="32"/>
    </row>
    <row r="9900" spans="21:21" ht="12.5">
      <c r="U9900" s="32"/>
    </row>
    <row r="9901" spans="21:21" ht="12.5">
      <c r="U9901" s="32"/>
    </row>
    <row r="9902" spans="21:21" ht="12.5">
      <c r="U9902" s="32"/>
    </row>
    <row r="9903" spans="21:21" ht="12.5">
      <c r="U9903" s="32"/>
    </row>
    <row r="9904" spans="21:21" ht="12.5">
      <c r="U9904" s="32"/>
    </row>
    <row r="9905" spans="21:21" ht="12.5">
      <c r="U9905" s="32"/>
    </row>
    <row r="9906" spans="21:21" ht="12.5">
      <c r="U9906" s="32"/>
    </row>
    <row r="9907" spans="21:21" ht="12.5">
      <c r="U9907" s="32"/>
    </row>
    <row r="9908" spans="21:21" ht="12.5">
      <c r="U9908" s="32"/>
    </row>
    <row r="9909" spans="21:21" ht="12.5">
      <c r="U9909" s="32"/>
    </row>
    <row r="9910" spans="21:21" ht="12.5">
      <c r="U9910" s="32"/>
    </row>
    <row r="9911" spans="21:21" ht="12.5">
      <c r="U9911" s="32"/>
    </row>
    <row r="9912" spans="21:21" ht="12.5">
      <c r="U9912" s="32"/>
    </row>
    <row r="9913" spans="21:21" ht="12.5">
      <c r="U9913" s="32"/>
    </row>
    <row r="9914" spans="21:21" ht="12.5">
      <c r="U9914" s="32"/>
    </row>
    <row r="9915" spans="21:21" ht="12.5">
      <c r="U9915" s="32"/>
    </row>
    <row r="9916" spans="21:21" ht="12.5">
      <c r="U9916" s="32"/>
    </row>
    <row r="9917" spans="21:21" ht="12.5">
      <c r="U9917" s="32"/>
    </row>
    <row r="9918" spans="21:21" ht="12.5">
      <c r="U9918" s="32"/>
    </row>
    <row r="9919" spans="21:21" ht="12.5">
      <c r="U9919" s="32"/>
    </row>
    <row r="9920" spans="21:21" ht="12.5">
      <c r="U9920" s="32"/>
    </row>
    <row r="9921" spans="21:21" ht="12.5">
      <c r="U9921" s="32"/>
    </row>
    <row r="9922" spans="21:21" ht="12.5">
      <c r="U9922" s="32"/>
    </row>
    <row r="9923" spans="21:21" ht="12.5">
      <c r="U9923" s="32"/>
    </row>
    <row r="9924" spans="21:21" ht="12.5">
      <c r="U9924" s="32"/>
    </row>
    <row r="9925" spans="21:21" ht="12.5">
      <c r="U9925" s="32"/>
    </row>
    <row r="9926" spans="21:21" ht="12.5">
      <c r="U9926" s="32"/>
    </row>
    <row r="9927" spans="21:21" ht="12.5">
      <c r="U9927" s="32"/>
    </row>
    <row r="9928" spans="21:21" ht="12.5">
      <c r="U9928" s="32"/>
    </row>
    <row r="9929" spans="21:21" ht="12.5">
      <c r="U9929" s="32"/>
    </row>
    <row r="9930" spans="21:21" ht="12.5">
      <c r="U9930" s="32"/>
    </row>
    <row r="9931" spans="21:21" ht="12.5">
      <c r="U9931" s="32"/>
    </row>
    <row r="9932" spans="21:21" ht="12.5">
      <c r="U9932" s="32"/>
    </row>
    <row r="9933" spans="21:21" ht="12.5">
      <c r="U9933" s="32"/>
    </row>
    <row r="9934" spans="21:21" ht="12.5">
      <c r="U9934" s="32"/>
    </row>
    <row r="9935" spans="21:21" ht="12.5">
      <c r="U9935" s="32"/>
    </row>
    <row r="9936" spans="21:21" ht="12.5">
      <c r="U9936" s="32"/>
    </row>
    <row r="9937" spans="21:21" ht="12.5">
      <c r="U9937" s="32"/>
    </row>
    <row r="9938" spans="21:21" ht="12.5">
      <c r="U9938" s="32"/>
    </row>
    <row r="9939" spans="21:21" ht="12.5">
      <c r="U9939" s="32"/>
    </row>
    <row r="9940" spans="21:21" ht="12.5">
      <c r="U9940" s="32"/>
    </row>
    <row r="9941" spans="21:21" ht="12.5">
      <c r="U9941" s="32"/>
    </row>
    <row r="9942" spans="21:21" ht="12.5">
      <c r="U9942" s="32"/>
    </row>
    <row r="9943" spans="21:21" ht="12.5">
      <c r="U9943" s="32"/>
    </row>
    <row r="9944" spans="21:21" ht="12.5">
      <c r="U9944" s="32"/>
    </row>
    <row r="9945" spans="21:21" ht="12.5">
      <c r="U9945" s="32"/>
    </row>
    <row r="9946" spans="21:21" ht="12.5">
      <c r="U9946" s="32"/>
    </row>
    <row r="9947" spans="21:21" ht="12.5">
      <c r="U9947" s="32"/>
    </row>
    <row r="9948" spans="21:21" ht="12.5">
      <c r="U9948" s="32"/>
    </row>
    <row r="9949" spans="21:21" ht="12.5">
      <c r="U9949" s="32"/>
    </row>
    <row r="9950" spans="21:21" ht="12.5">
      <c r="U9950" s="32"/>
    </row>
    <row r="9951" spans="21:21" ht="12.5">
      <c r="U9951" s="32"/>
    </row>
    <row r="9952" spans="21:21" ht="12.5">
      <c r="U9952" s="32"/>
    </row>
    <row r="9953" spans="21:21" ht="12.5">
      <c r="U9953" s="32"/>
    </row>
    <row r="9954" spans="21:21" ht="12.5">
      <c r="U9954" s="32"/>
    </row>
    <row r="9955" spans="21:21" ht="12.5">
      <c r="U9955" s="32"/>
    </row>
    <row r="9956" spans="21:21" ht="12.5">
      <c r="U9956" s="32"/>
    </row>
    <row r="9957" spans="21:21" ht="12.5">
      <c r="U9957" s="32"/>
    </row>
    <row r="9958" spans="21:21" ht="12.5">
      <c r="U9958" s="32"/>
    </row>
    <row r="9959" spans="21:21" ht="12.5">
      <c r="U9959" s="32"/>
    </row>
    <row r="9960" spans="21:21" ht="12.5">
      <c r="U9960" s="32"/>
    </row>
    <row r="9961" spans="21:21" ht="12.5">
      <c r="U9961" s="32"/>
    </row>
    <row r="9962" spans="21:21" ht="12.5">
      <c r="U9962" s="32"/>
    </row>
    <row r="9963" spans="21:21" ht="12.5">
      <c r="U9963" s="32"/>
    </row>
    <row r="9964" spans="21:21" ht="12.5">
      <c r="U9964" s="32"/>
    </row>
    <row r="9965" spans="21:21" ht="12.5">
      <c r="U9965" s="32"/>
    </row>
    <row r="9966" spans="21:21" ht="12.5">
      <c r="U9966" s="32"/>
    </row>
    <row r="9967" spans="21:21" ht="12.5">
      <c r="U9967" s="32"/>
    </row>
    <row r="9968" spans="21:21" ht="12.5">
      <c r="U9968" s="32"/>
    </row>
    <row r="9969" spans="21:21" ht="12.5">
      <c r="U9969" s="32"/>
    </row>
    <row r="9970" spans="21:21" ht="12.5">
      <c r="U9970" s="32"/>
    </row>
    <row r="9971" spans="21:21" ht="12.5">
      <c r="U9971" s="32"/>
    </row>
    <row r="9972" spans="21:21" ht="12.5">
      <c r="U9972" s="32"/>
    </row>
    <row r="9973" spans="21:21" ht="12.5">
      <c r="U9973" s="32"/>
    </row>
    <row r="9974" spans="21:21" ht="12.5">
      <c r="U9974" s="32"/>
    </row>
    <row r="9975" spans="21:21" ht="12.5">
      <c r="U9975" s="32"/>
    </row>
    <row r="9976" spans="21:21" ht="12.5">
      <c r="U9976" s="32"/>
    </row>
    <row r="9977" spans="21:21" ht="12.5">
      <c r="U9977" s="32"/>
    </row>
    <row r="9978" spans="21:21" ht="12.5">
      <c r="U9978" s="32"/>
    </row>
    <row r="9979" spans="21:21" ht="12.5">
      <c r="U9979" s="32"/>
    </row>
    <row r="9980" spans="21:21" ht="12.5">
      <c r="U9980" s="32"/>
    </row>
    <row r="9981" spans="21:21" ht="12.5">
      <c r="U9981" s="32"/>
    </row>
    <row r="9982" spans="21:21" ht="12.5">
      <c r="U9982" s="32"/>
    </row>
    <row r="9983" spans="21:21" ht="12.5">
      <c r="U9983" s="32"/>
    </row>
    <row r="9984" spans="21:21" ht="12.5">
      <c r="U9984" s="32"/>
    </row>
    <row r="9985" spans="21:21" ht="12.5">
      <c r="U9985" s="32"/>
    </row>
    <row r="9986" spans="21:21" ht="12.5">
      <c r="U9986" s="32"/>
    </row>
    <row r="9987" spans="21:21" ht="12.5">
      <c r="U9987" s="32"/>
    </row>
    <row r="9988" spans="21:21" ht="12.5">
      <c r="U9988" s="32"/>
    </row>
    <row r="9989" spans="21:21" ht="12.5">
      <c r="U9989" s="32"/>
    </row>
    <row r="9990" spans="21:21" ht="12.5">
      <c r="U9990" s="32"/>
    </row>
    <row r="9991" spans="21:21" ht="12.5">
      <c r="U9991" s="32"/>
    </row>
    <row r="9992" spans="21:21" ht="12.5">
      <c r="U9992" s="32"/>
    </row>
    <row r="9993" spans="21:21" ht="12.5">
      <c r="U9993" s="32"/>
    </row>
    <row r="9994" spans="21:21" ht="12.5">
      <c r="U9994" s="32"/>
    </row>
    <row r="9995" spans="21:21" ht="12.5">
      <c r="U9995" s="32"/>
    </row>
    <row r="9996" spans="21:21" ht="12.5">
      <c r="U9996" s="32"/>
    </row>
    <row r="9997" spans="21:21" ht="12.5">
      <c r="U9997" s="32"/>
    </row>
    <row r="9998" spans="21:21" ht="12.5">
      <c r="U9998" s="32"/>
    </row>
    <row r="9999" spans="21:21" ht="12.5">
      <c r="U9999" s="32"/>
    </row>
    <row r="10000" spans="21:21" ht="12.5">
      <c r="U10000" s="32"/>
    </row>
    <row r="10001" spans="21:21" ht="12.5">
      <c r="U10001" s="32"/>
    </row>
    <row r="10002" spans="21:21" ht="12.5">
      <c r="U10002" s="32"/>
    </row>
    <row r="10003" spans="21:21" ht="12.5">
      <c r="U10003" s="32"/>
    </row>
    <row r="10004" spans="21:21" ht="12.5">
      <c r="U10004" s="32"/>
    </row>
    <row r="10005" spans="21:21" ht="12.5">
      <c r="U10005" s="32"/>
    </row>
    <row r="10006" spans="21:21" ht="12.5">
      <c r="U10006" s="32"/>
    </row>
    <row r="10007" spans="21:21" ht="12.5">
      <c r="U10007" s="32"/>
    </row>
    <row r="10008" spans="21:21" ht="12.5">
      <c r="U10008" s="32"/>
    </row>
    <row r="10009" spans="21:21" ht="12.5">
      <c r="U10009" s="32"/>
    </row>
    <row r="10010" spans="21:21" ht="12.5">
      <c r="U10010" s="32"/>
    </row>
    <row r="10011" spans="21:21" ht="12.5">
      <c r="U10011" s="32"/>
    </row>
    <row r="10012" spans="21:21" ht="12.5">
      <c r="U10012" s="32"/>
    </row>
    <row r="10013" spans="21:21" ht="12.5">
      <c r="U10013" s="32"/>
    </row>
    <row r="10014" spans="21:21" ht="12.5">
      <c r="U10014" s="32"/>
    </row>
    <row r="10015" spans="21:21" ht="12.5">
      <c r="U10015" s="32"/>
    </row>
    <row r="10016" spans="21:21" ht="12.5">
      <c r="U10016" s="32"/>
    </row>
    <row r="10017" spans="21:21" ht="12.5">
      <c r="U10017" s="32"/>
    </row>
    <row r="10018" spans="21:21" ht="12.5">
      <c r="U10018" s="32"/>
    </row>
    <row r="10019" spans="21:21" ht="12.5">
      <c r="U10019" s="32"/>
    </row>
    <row r="10020" spans="21:21" ht="12.5">
      <c r="U10020" s="32"/>
    </row>
    <row r="10021" spans="21:21" ht="12.5">
      <c r="U10021" s="32"/>
    </row>
    <row r="10022" spans="21:21" ht="12.5">
      <c r="U10022" s="32"/>
    </row>
    <row r="10023" spans="21:21" ht="12.5">
      <c r="U10023" s="32"/>
    </row>
    <row r="10024" spans="21:21" ht="12.5">
      <c r="U10024" s="32"/>
    </row>
    <row r="10025" spans="21:21" ht="12.5">
      <c r="U10025" s="32"/>
    </row>
    <row r="10026" spans="21:21" ht="12.5">
      <c r="U10026" s="32"/>
    </row>
    <row r="10027" spans="21:21" ht="12.5">
      <c r="U10027" s="32"/>
    </row>
    <row r="10028" spans="21:21" ht="12.5">
      <c r="U10028" s="32"/>
    </row>
    <row r="10029" spans="21:21" ht="12.5">
      <c r="U10029" s="32"/>
    </row>
    <row r="10030" spans="21:21" ht="12.5">
      <c r="U10030" s="32"/>
    </row>
    <row r="10031" spans="21:21" ht="12.5">
      <c r="U10031" s="32"/>
    </row>
    <row r="10032" spans="21:21" ht="12.5">
      <c r="U10032" s="32"/>
    </row>
    <row r="10033" spans="21:21" ht="12.5">
      <c r="U10033" s="32"/>
    </row>
    <row r="10034" spans="21:21" ht="12.5">
      <c r="U10034" s="32"/>
    </row>
    <row r="10035" spans="21:21" ht="12.5">
      <c r="U10035" s="32"/>
    </row>
    <row r="10036" spans="21:21" ht="12.5">
      <c r="U10036" s="32"/>
    </row>
    <row r="10037" spans="21:21" ht="12.5">
      <c r="U10037" s="32"/>
    </row>
    <row r="10038" spans="21:21" ht="12.5">
      <c r="U10038" s="32"/>
    </row>
    <row r="10039" spans="21:21" ht="12.5">
      <c r="U10039" s="32"/>
    </row>
    <row r="10040" spans="21:21" ht="12.5">
      <c r="U10040" s="32"/>
    </row>
    <row r="10041" spans="21:21" ht="12.5">
      <c r="U10041" s="32"/>
    </row>
    <row r="10042" spans="21:21" ht="12.5">
      <c r="U10042" s="32"/>
    </row>
    <row r="10043" spans="21:21" ht="12.5">
      <c r="U10043" s="32"/>
    </row>
    <row r="10044" spans="21:21" ht="12.5">
      <c r="U10044" s="32"/>
    </row>
    <row r="10045" spans="21:21" ht="12.5">
      <c r="U10045" s="32"/>
    </row>
    <row r="10046" spans="21:21" ht="12.5">
      <c r="U10046" s="32"/>
    </row>
    <row r="10047" spans="21:21" ht="12.5">
      <c r="U10047" s="32"/>
    </row>
    <row r="10048" spans="21:21" ht="12.5">
      <c r="U10048" s="32"/>
    </row>
    <row r="10049" spans="21:21" ht="12.5">
      <c r="U10049" s="32"/>
    </row>
    <row r="10050" spans="21:21" ht="12.5">
      <c r="U10050" s="32"/>
    </row>
    <row r="10051" spans="21:21" ht="12.5">
      <c r="U10051" s="32"/>
    </row>
    <row r="10052" spans="21:21" ht="12.5">
      <c r="U10052" s="32"/>
    </row>
    <row r="10053" spans="21:21" ht="12.5">
      <c r="U10053" s="32"/>
    </row>
    <row r="10054" spans="21:21" ht="12.5">
      <c r="U10054" s="32"/>
    </row>
    <row r="10055" spans="21:21" ht="12.5">
      <c r="U10055" s="32"/>
    </row>
    <row r="10056" spans="21:21" ht="12.5">
      <c r="U10056" s="32"/>
    </row>
    <row r="10057" spans="21:21" ht="12.5">
      <c r="U10057" s="32"/>
    </row>
    <row r="10058" spans="21:21" ht="12.5">
      <c r="U10058" s="32"/>
    </row>
    <row r="10059" spans="21:21" ht="12.5">
      <c r="U10059" s="32"/>
    </row>
    <row r="10060" spans="21:21" ht="12.5">
      <c r="U10060" s="32"/>
    </row>
    <row r="10061" spans="21:21" ht="12.5">
      <c r="U10061" s="32"/>
    </row>
    <row r="10062" spans="21:21" ht="12.5">
      <c r="U10062" s="32"/>
    </row>
    <row r="10063" spans="21:21" ht="12.5">
      <c r="U10063" s="32"/>
    </row>
    <row r="10064" spans="21:21" ht="12.5">
      <c r="U10064" s="32"/>
    </row>
    <row r="10065" spans="21:21" ht="12.5">
      <c r="U10065" s="32"/>
    </row>
    <row r="10066" spans="21:21" ht="12.5">
      <c r="U10066" s="32"/>
    </row>
    <row r="10067" spans="21:21" ht="12.5">
      <c r="U10067" s="32"/>
    </row>
    <row r="10068" spans="21:21" ht="12.5">
      <c r="U10068" s="32"/>
    </row>
    <row r="10069" spans="21:21" ht="12.5">
      <c r="U10069" s="32"/>
    </row>
    <row r="10070" spans="21:21" ht="12.5">
      <c r="U10070" s="32"/>
    </row>
    <row r="10071" spans="21:21" ht="12.5">
      <c r="U10071" s="32"/>
    </row>
    <row r="10072" spans="21:21" ht="12.5">
      <c r="U10072" s="32"/>
    </row>
    <row r="10073" spans="21:21" ht="12.5">
      <c r="U10073" s="32"/>
    </row>
    <row r="10074" spans="21:21" ht="12.5">
      <c r="U10074" s="32"/>
    </row>
    <row r="10075" spans="21:21" ht="12.5">
      <c r="U10075" s="32"/>
    </row>
    <row r="10076" spans="21:21" ht="12.5">
      <c r="U10076" s="32"/>
    </row>
    <row r="10077" spans="21:21" ht="12.5">
      <c r="U10077" s="32"/>
    </row>
    <row r="10078" spans="21:21" ht="12.5">
      <c r="U10078" s="32"/>
    </row>
    <row r="10079" spans="21:21" ht="12.5">
      <c r="U10079" s="32"/>
    </row>
    <row r="10080" spans="21:21" ht="12.5">
      <c r="U10080" s="32"/>
    </row>
    <row r="10081" spans="21:21" ht="12.5">
      <c r="U10081" s="32"/>
    </row>
    <row r="10082" spans="21:21" ht="12.5">
      <c r="U10082" s="32"/>
    </row>
    <row r="10083" spans="21:21" ht="12.5">
      <c r="U10083" s="32"/>
    </row>
    <row r="10084" spans="21:21" ht="12.5">
      <c r="U10084" s="32"/>
    </row>
    <row r="10085" spans="21:21" ht="12.5">
      <c r="U10085" s="32"/>
    </row>
    <row r="10086" spans="21:21" ht="12.5">
      <c r="U10086" s="32"/>
    </row>
    <row r="10087" spans="21:21" ht="12.5">
      <c r="U10087" s="32"/>
    </row>
    <row r="10088" spans="21:21" ht="12.5">
      <c r="U10088" s="32"/>
    </row>
    <row r="10089" spans="21:21" ht="12.5">
      <c r="U10089" s="32"/>
    </row>
    <row r="10090" spans="21:21" ht="12.5">
      <c r="U10090" s="32"/>
    </row>
    <row r="10091" spans="21:21" ht="12.5">
      <c r="U10091" s="32"/>
    </row>
    <row r="10092" spans="21:21" ht="12.5">
      <c r="U10092" s="32"/>
    </row>
    <row r="10093" spans="21:21" ht="12.5">
      <c r="U10093" s="32"/>
    </row>
    <row r="10094" spans="21:21" ht="12.5">
      <c r="U10094" s="32"/>
    </row>
    <row r="10095" spans="21:21" ht="12.5">
      <c r="U10095" s="32"/>
    </row>
    <row r="10096" spans="21:21" ht="12.5">
      <c r="U10096" s="32"/>
    </row>
    <row r="10097" spans="21:21" ht="12.5">
      <c r="U10097" s="32"/>
    </row>
    <row r="10098" spans="21:21" ht="12.5">
      <c r="U10098" s="32"/>
    </row>
    <row r="10099" spans="21:21" ht="12.5">
      <c r="U10099" s="32"/>
    </row>
    <row r="10100" spans="21:21" ht="12.5">
      <c r="U10100" s="32"/>
    </row>
    <row r="10101" spans="21:21" ht="12.5">
      <c r="U10101" s="32"/>
    </row>
    <row r="10102" spans="21:21" ht="12.5">
      <c r="U10102" s="32"/>
    </row>
    <row r="10103" spans="21:21" ht="12.5">
      <c r="U10103" s="32"/>
    </row>
    <row r="10104" spans="21:21" ht="12.5">
      <c r="U10104" s="32"/>
    </row>
    <row r="10105" spans="21:21" ht="12.5">
      <c r="U10105" s="32"/>
    </row>
    <row r="10106" spans="21:21" ht="12.5">
      <c r="U10106" s="32"/>
    </row>
    <row r="10107" spans="21:21" ht="12.5">
      <c r="U10107" s="32"/>
    </row>
    <row r="10108" spans="21:21" ht="12.5">
      <c r="U10108" s="32"/>
    </row>
    <row r="10109" spans="21:21" ht="12.5">
      <c r="U10109" s="32"/>
    </row>
    <row r="10110" spans="21:21" ht="12.5">
      <c r="U10110" s="32"/>
    </row>
    <row r="10111" spans="21:21" ht="12.5">
      <c r="U10111" s="32"/>
    </row>
    <row r="10112" spans="21:21" ht="12.5">
      <c r="U10112" s="32"/>
    </row>
    <row r="10113" spans="21:21" ht="12.5">
      <c r="U10113" s="32"/>
    </row>
    <row r="10114" spans="21:21" ht="12.5">
      <c r="U10114" s="32"/>
    </row>
    <row r="10115" spans="21:21" ht="12.5">
      <c r="U10115" s="32"/>
    </row>
    <row r="10116" spans="21:21" ht="12.5">
      <c r="U10116" s="32"/>
    </row>
    <row r="10117" spans="21:21" ht="12.5">
      <c r="U10117" s="32"/>
    </row>
    <row r="10118" spans="21:21" ht="12.5">
      <c r="U10118" s="32"/>
    </row>
    <row r="10119" spans="21:21" ht="12.5">
      <c r="U10119" s="32"/>
    </row>
    <row r="10120" spans="21:21" ht="12.5">
      <c r="U10120" s="32"/>
    </row>
    <row r="10121" spans="21:21" ht="12.5">
      <c r="U10121" s="32"/>
    </row>
    <row r="10122" spans="21:21" ht="12.5">
      <c r="U10122" s="32"/>
    </row>
    <row r="10123" spans="21:21" ht="12.5">
      <c r="U10123" s="32"/>
    </row>
    <row r="10124" spans="21:21" ht="12.5">
      <c r="U10124" s="32"/>
    </row>
    <row r="10125" spans="21:21" ht="12.5">
      <c r="U10125" s="32"/>
    </row>
    <row r="10126" spans="21:21" ht="12.5">
      <c r="U10126" s="32"/>
    </row>
    <row r="10127" spans="21:21" ht="12.5">
      <c r="U10127" s="32"/>
    </row>
    <row r="10128" spans="21:21" ht="12.5">
      <c r="U10128" s="32"/>
    </row>
    <row r="10129" spans="21:21" ht="12.5">
      <c r="U10129" s="32"/>
    </row>
    <row r="10130" spans="21:21" ht="12.5">
      <c r="U10130" s="32"/>
    </row>
    <row r="10131" spans="21:21" ht="12.5">
      <c r="U10131" s="32"/>
    </row>
    <row r="10132" spans="21:21" ht="12.5">
      <c r="U10132" s="32"/>
    </row>
    <row r="10133" spans="21:21" ht="12.5">
      <c r="U10133" s="32"/>
    </row>
    <row r="10134" spans="21:21" ht="12.5">
      <c r="U10134" s="32"/>
    </row>
    <row r="10135" spans="21:21" ht="12.5">
      <c r="U10135" s="32"/>
    </row>
    <row r="10136" spans="21:21" ht="12.5">
      <c r="U10136" s="32"/>
    </row>
    <row r="10137" spans="21:21" ht="12.5">
      <c r="U10137" s="32"/>
    </row>
    <row r="10138" spans="21:21" ht="12.5">
      <c r="U10138" s="32"/>
    </row>
    <row r="10139" spans="21:21" ht="12.5">
      <c r="U10139" s="32"/>
    </row>
    <row r="10140" spans="21:21" ht="12.5">
      <c r="U10140" s="32"/>
    </row>
    <row r="10141" spans="21:21" ht="12.5">
      <c r="U10141" s="32"/>
    </row>
    <row r="10142" spans="21:21" ht="12.5">
      <c r="U10142" s="32"/>
    </row>
    <row r="10143" spans="21:21" ht="12.5">
      <c r="U10143" s="32"/>
    </row>
    <row r="10144" spans="21:21" ht="12.5">
      <c r="U10144" s="32"/>
    </row>
    <row r="10145" spans="21:21" ht="12.5">
      <c r="U10145" s="32"/>
    </row>
    <row r="10146" spans="21:21" ht="12.5">
      <c r="U10146" s="32"/>
    </row>
    <row r="10147" spans="21:21" ht="12.5">
      <c r="U10147" s="32"/>
    </row>
    <row r="10148" spans="21:21" ht="12.5">
      <c r="U10148" s="32"/>
    </row>
    <row r="10149" spans="21:21" ht="12.5">
      <c r="U10149" s="32"/>
    </row>
    <row r="10150" spans="21:21" ht="12.5">
      <c r="U10150" s="32"/>
    </row>
    <row r="10151" spans="21:21" ht="12.5">
      <c r="U10151" s="32"/>
    </row>
    <row r="10152" spans="21:21" ht="12.5">
      <c r="U10152" s="32"/>
    </row>
    <row r="10153" spans="21:21" ht="12.5">
      <c r="U10153" s="32"/>
    </row>
    <row r="10154" spans="21:21" ht="12.5">
      <c r="U10154" s="32"/>
    </row>
    <row r="10155" spans="21:21" ht="12.5">
      <c r="U10155" s="32"/>
    </row>
    <row r="10156" spans="21:21" ht="12.5">
      <c r="U10156" s="32"/>
    </row>
    <row r="10157" spans="21:21" ht="12.5">
      <c r="U10157" s="32"/>
    </row>
    <row r="10158" spans="21:21" ht="12.5">
      <c r="U10158" s="32"/>
    </row>
    <row r="10159" spans="21:21" ht="12.5">
      <c r="U10159" s="32"/>
    </row>
    <row r="10160" spans="21:21" ht="12.5">
      <c r="U10160" s="32"/>
    </row>
    <row r="10161" spans="21:21" ht="12.5">
      <c r="U10161" s="32"/>
    </row>
    <row r="10162" spans="21:21" ht="12.5">
      <c r="U10162" s="32"/>
    </row>
    <row r="10163" spans="21:21" ht="12.5">
      <c r="U10163" s="32"/>
    </row>
    <row r="10164" spans="21:21" ht="12.5">
      <c r="U10164" s="32"/>
    </row>
    <row r="10165" spans="21:21" ht="12.5">
      <c r="U10165" s="32"/>
    </row>
    <row r="10166" spans="21:21" ht="12.5">
      <c r="U10166" s="32"/>
    </row>
    <row r="10167" spans="21:21" ht="12.5">
      <c r="U10167" s="32"/>
    </row>
    <row r="10168" spans="21:21" ht="12.5">
      <c r="U10168" s="32"/>
    </row>
    <row r="10169" spans="21:21" ht="12.5">
      <c r="U10169" s="32"/>
    </row>
    <row r="10170" spans="21:21" ht="12.5">
      <c r="U10170" s="32"/>
    </row>
    <row r="10171" spans="21:21" ht="12.5">
      <c r="U10171" s="32"/>
    </row>
    <row r="10172" spans="21:21" ht="12.5">
      <c r="U10172" s="32"/>
    </row>
    <row r="10173" spans="21:21" ht="12.5">
      <c r="U10173" s="32"/>
    </row>
    <row r="10174" spans="21:21" ht="12.5">
      <c r="U10174" s="32"/>
    </row>
    <row r="10175" spans="21:21" ht="12.5">
      <c r="U10175" s="32"/>
    </row>
    <row r="10176" spans="21:21" ht="12.5">
      <c r="U10176" s="32"/>
    </row>
    <row r="10177" spans="21:21" ht="12.5">
      <c r="U10177" s="32"/>
    </row>
    <row r="10178" spans="21:21" ht="12.5">
      <c r="U10178" s="32"/>
    </row>
    <row r="10179" spans="21:21" ht="12.5">
      <c r="U10179" s="32"/>
    </row>
    <row r="10180" spans="21:21" ht="12.5">
      <c r="U10180" s="32"/>
    </row>
    <row r="10181" spans="21:21" ht="12.5">
      <c r="U10181" s="32"/>
    </row>
    <row r="10182" spans="21:21" ht="12.5">
      <c r="U10182" s="32"/>
    </row>
    <row r="10183" spans="21:21" ht="12.5">
      <c r="U10183" s="32"/>
    </row>
    <row r="10184" spans="21:21" ht="12.5">
      <c r="U10184" s="32"/>
    </row>
    <row r="10185" spans="21:21" ht="12.5">
      <c r="U10185" s="32"/>
    </row>
    <row r="10186" spans="21:21" ht="12.5">
      <c r="U10186" s="32"/>
    </row>
    <row r="10187" spans="21:21" ht="12.5">
      <c r="U10187" s="32"/>
    </row>
    <row r="10188" spans="21:21" ht="12.5">
      <c r="U10188" s="32"/>
    </row>
    <row r="10189" spans="21:21" ht="12.5">
      <c r="U10189" s="32"/>
    </row>
    <row r="10190" spans="21:21" ht="12.5">
      <c r="U10190" s="32"/>
    </row>
    <row r="10191" spans="21:21" ht="12.5">
      <c r="U10191" s="32"/>
    </row>
    <row r="10192" spans="21:21" ht="12.5">
      <c r="U10192" s="32"/>
    </row>
    <row r="10193" spans="21:21" ht="12.5">
      <c r="U10193" s="32"/>
    </row>
    <row r="10194" spans="21:21" ht="12.5">
      <c r="U10194" s="32"/>
    </row>
    <row r="10195" spans="21:21" ht="12.5">
      <c r="U10195" s="32"/>
    </row>
    <row r="10196" spans="21:21" ht="12.5">
      <c r="U10196" s="32"/>
    </row>
    <row r="10197" spans="21:21" ht="12.5">
      <c r="U10197" s="32"/>
    </row>
    <row r="10198" spans="21:21" ht="12.5">
      <c r="U10198" s="32"/>
    </row>
    <row r="10199" spans="21:21" ht="12.5">
      <c r="U10199" s="32"/>
    </row>
    <row r="10200" spans="21:21" ht="12.5">
      <c r="U10200" s="32"/>
    </row>
    <row r="10201" spans="21:21" ht="12.5">
      <c r="U10201" s="32"/>
    </row>
    <row r="10202" spans="21:21" ht="12.5">
      <c r="U10202" s="32"/>
    </row>
    <row r="10203" spans="21:21" ht="12.5">
      <c r="U10203" s="32"/>
    </row>
    <row r="10204" spans="21:21" ht="12.5">
      <c r="U10204" s="32"/>
    </row>
    <row r="10205" spans="21:21" ht="12.5">
      <c r="U10205" s="32"/>
    </row>
    <row r="10206" spans="21:21" ht="12.5">
      <c r="U10206" s="32"/>
    </row>
    <row r="10207" spans="21:21" ht="12.5">
      <c r="U10207" s="32"/>
    </row>
    <row r="10208" spans="21:21" ht="12.5">
      <c r="U10208" s="32"/>
    </row>
    <row r="10209" spans="21:21" ht="12.5">
      <c r="U10209" s="32"/>
    </row>
    <row r="10210" spans="21:21" ht="12.5">
      <c r="U10210" s="32"/>
    </row>
    <row r="10211" spans="21:21" ht="12.5">
      <c r="U10211" s="32"/>
    </row>
    <row r="10212" spans="21:21" ht="12.5">
      <c r="U10212" s="32"/>
    </row>
    <row r="10213" spans="21:21" ht="12.5">
      <c r="U10213" s="32"/>
    </row>
    <row r="10214" spans="21:21" ht="12.5">
      <c r="U10214" s="32"/>
    </row>
    <row r="10215" spans="21:21" ht="12.5">
      <c r="U10215" s="32"/>
    </row>
    <row r="10216" spans="21:21" ht="12.5">
      <c r="U10216" s="32"/>
    </row>
    <row r="10217" spans="21:21" ht="12.5">
      <c r="U10217" s="32"/>
    </row>
    <row r="10218" spans="21:21" ht="12.5">
      <c r="U10218" s="32"/>
    </row>
    <row r="10219" spans="21:21" ht="12.5">
      <c r="U10219" s="32"/>
    </row>
    <row r="10220" spans="21:21" ht="12.5">
      <c r="U10220" s="32"/>
    </row>
    <row r="10221" spans="21:21" ht="12.5">
      <c r="U10221" s="32"/>
    </row>
    <row r="10222" spans="21:21" ht="12.5">
      <c r="U10222" s="32"/>
    </row>
    <row r="10223" spans="21:21" ht="12.5">
      <c r="U10223" s="32"/>
    </row>
    <row r="10224" spans="21:21" ht="12.5">
      <c r="U10224" s="32"/>
    </row>
    <row r="10225" spans="21:21" ht="12.5">
      <c r="U10225" s="32"/>
    </row>
    <row r="10226" spans="21:21" ht="12.5">
      <c r="U10226" s="32"/>
    </row>
    <row r="10227" spans="21:21" ht="12.5">
      <c r="U10227" s="32"/>
    </row>
    <row r="10228" spans="21:21" ht="12.5">
      <c r="U10228" s="32"/>
    </row>
    <row r="10229" spans="21:21" ht="12.5">
      <c r="U10229" s="32"/>
    </row>
    <row r="10230" spans="21:21" ht="12.5">
      <c r="U10230" s="32"/>
    </row>
    <row r="10231" spans="21:21" ht="12.5">
      <c r="U10231" s="32"/>
    </row>
    <row r="10232" spans="21:21" ht="12.5">
      <c r="U10232" s="32"/>
    </row>
    <row r="10233" spans="21:21" ht="12.5">
      <c r="U10233" s="32"/>
    </row>
    <row r="10234" spans="21:21" ht="12.5">
      <c r="U10234" s="32"/>
    </row>
    <row r="10235" spans="21:21" ht="12.5">
      <c r="U10235" s="32"/>
    </row>
    <row r="10236" spans="21:21" ht="12.5">
      <c r="U10236" s="32"/>
    </row>
    <row r="10237" spans="21:21" ht="12.5">
      <c r="U10237" s="32"/>
    </row>
    <row r="10238" spans="21:21" ht="12.5">
      <c r="U10238" s="32"/>
    </row>
    <row r="10239" spans="21:21" ht="12.5">
      <c r="U10239" s="32"/>
    </row>
    <row r="10240" spans="21:21" ht="12.5">
      <c r="U10240" s="32"/>
    </row>
    <row r="10241" spans="21:21" ht="12.5">
      <c r="U10241" s="32"/>
    </row>
    <row r="10242" spans="21:21" ht="12.5">
      <c r="U10242" s="32"/>
    </row>
    <row r="10243" spans="21:21" ht="12.5">
      <c r="U10243" s="32"/>
    </row>
    <row r="10244" spans="21:21" ht="12.5">
      <c r="U10244" s="32"/>
    </row>
    <row r="10245" spans="21:21" ht="12.5">
      <c r="U10245" s="32"/>
    </row>
    <row r="10246" spans="21:21" ht="12.5">
      <c r="U10246" s="32"/>
    </row>
    <row r="10247" spans="21:21" ht="12.5">
      <c r="U10247" s="32"/>
    </row>
    <row r="10248" spans="21:21" ht="12.5">
      <c r="U10248" s="32"/>
    </row>
    <row r="10249" spans="21:21" ht="12.5">
      <c r="U10249" s="32"/>
    </row>
    <row r="10250" spans="21:21" ht="12.5">
      <c r="U10250" s="32"/>
    </row>
    <row r="10251" spans="21:21" ht="12.5">
      <c r="U10251" s="32"/>
    </row>
    <row r="10252" spans="21:21" ht="12.5">
      <c r="U10252" s="32"/>
    </row>
    <row r="10253" spans="21:21" ht="12.5">
      <c r="U10253" s="32"/>
    </row>
    <row r="10254" spans="21:21" ht="12.5">
      <c r="U10254" s="32"/>
    </row>
    <row r="10255" spans="21:21" ht="12.5">
      <c r="U10255" s="32"/>
    </row>
    <row r="10256" spans="21:21" ht="12.5">
      <c r="U10256" s="32"/>
    </row>
    <row r="10257" spans="21:21" ht="12.5">
      <c r="U10257" s="32"/>
    </row>
    <row r="10258" spans="21:21" ht="12.5">
      <c r="U10258" s="32"/>
    </row>
    <row r="10259" spans="21:21" ht="12.5">
      <c r="U10259" s="32"/>
    </row>
    <row r="10260" spans="21:21" ht="12.5">
      <c r="U10260" s="32"/>
    </row>
    <row r="10261" spans="21:21" ht="12.5">
      <c r="U10261" s="32"/>
    </row>
    <row r="10262" spans="21:21" ht="12.5">
      <c r="U10262" s="32"/>
    </row>
    <row r="10263" spans="21:21" ht="12.5">
      <c r="U10263" s="32"/>
    </row>
    <row r="10264" spans="21:21" ht="12.5">
      <c r="U10264" s="32"/>
    </row>
    <row r="10265" spans="21:21" ht="12.5">
      <c r="U10265" s="32"/>
    </row>
    <row r="10266" spans="21:21" ht="12.5">
      <c r="U10266" s="32"/>
    </row>
    <row r="10267" spans="21:21" ht="12.5">
      <c r="U10267" s="32"/>
    </row>
    <row r="10268" spans="21:21" ht="12.5">
      <c r="U10268" s="32"/>
    </row>
    <row r="10269" spans="21:21" ht="12.5">
      <c r="U10269" s="32"/>
    </row>
    <row r="10270" spans="21:21" ht="12.5">
      <c r="U10270" s="32"/>
    </row>
    <row r="10271" spans="21:21" ht="12.5">
      <c r="U10271" s="32"/>
    </row>
    <row r="10272" spans="21:21" ht="12.5">
      <c r="U10272" s="32"/>
    </row>
    <row r="10273" spans="21:21" ht="12.5">
      <c r="U10273" s="32"/>
    </row>
    <row r="10274" spans="21:21" ht="12.5">
      <c r="U10274" s="32"/>
    </row>
    <row r="10275" spans="21:21" ht="12.5">
      <c r="U10275" s="32"/>
    </row>
    <row r="10276" spans="21:21" ht="12.5">
      <c r="U10276" s="32"/>
    </row>
    <row r="10277" spans="21:21" ht="12.5">
      <c r="U10277" s="32"/>
    </row>
    <row r="10278" spans="21:21" ht="12.5">
      <c r="U10278" s="32"/>
    </row>
    <row r="10279" spans="21:21" ht="12.5">
      <c r="U10279" s="32"/>
    </row>
    <row r="10280" spans="21:21" ht="12.5">
      <c r="U10280" s="32"/>
    </row>
    <row r="10281" spans="21:21" ht="12.5">
      <c r="U10281" s="32"/>
    </row>
    <row r="10282" spans="21:21" ht="12.5">
      <c r="U10282" s="32"/>
    </row>
    <row r="10283" spans="21:21" ht="12.5">
      <c r="U10283" s="32"/>
    </row>
    <row r="10284" spans="21:21" ht="12.5">
      <c r="U10284" s="32"/>
    </row>
    <row r="10285" spans="21:21" ht="12.5">
      <c r="U10285" s="32"/>
    </row>
    <row r="10286" spans="21:21" ht="12.5">
      <c r="U10286" s="32"/>
    </row>
    <row r="10287" spans="21:21" ht="12.5">
      <c r="U10287" s="32"/>
    </row>
    <row r="10288" spans="21:21" ht="12.5">
      <c r="U10288" s="32"/>
    </row>
    <row r="10289" spans="21:21" ht="12.5">
      <c r="U10289" s="32"/>
    </row>
    <row r="10290" spans="21:21" ht="12.5">
      <c r="U10290" s="32"/>
    </row>
    <row r="10291" spans="21:21" ht="12.5">
      <c r="U10291" s="32"/>
    </row>
    <row r="10292" spans="21:21" ht="12.5">
      <c r="U10292" s="32"/>
    </row>
    <row r="10293" spans="21:21" ht="12.5">
      <c r="U10293" s="32"/>
    </row>
    <row r="10294" spans="21:21" ht="12.5">
      <c r="U10294" s="32"/>
    </row>
    <row r="10295" spans="21:21" ht="12.5">
      <c r="U10295" s="32"/>
    </row>
    <row r="10296" spans="21:21" ht="12.5">
      <c r="U10296" s="32"/>
    </row>
    <row r="10297" spans="21:21" ht="12.5">
      <c r="U10297" s="32"/>
    </row>
    <row r="10298" spans="21:21" ht="12.5">
      <c r="U10298" s="32"/>
    </row>
    <row r="10299" spans="21:21" ht="12.5">
      <c r="U10299" s="32"/>
    </row>
    <row r="10300" spans="21:21" ht="12.5">
      <c r="U10300" s="32"/>
    </row>
    <row r="10301" spans="21:21" ht="12.5">
      <c r="U10301" s="32"/>
    </row>
    <row r="10302" spans="21:21" ht="12.5">
      <c r="U10302" s="32"/>
    </row>
    <row r="10303" spans="21:21" ht="12.5">
      <c r="U10303" s="32"/>
    </row>
    <row r="10304" spans="21:21" ht="12.5">
      <c r="U10304" s="32"/>
    </row>
    <row r="10305" spans="21:21" ht="12.5">
      <c r="U10305" s="32"/>
    </row>
    <row r="10306" spans="21:21" ht="12.5">
      <c r="U10306" s="32"/>
    </row>
    <row r="10307" spans="21:21" ht="12.5">
      <c r="U10307" s="32"/>
    </row>
    <row r="10308" spans="21:21" ht="12.5">
      <c r="U10308" s="32"/>
    </row>
    <row r="10309" spans="21:21" ht="12.5">
      <c r="U10309" s="32"/>
    </row>
    <row r="10310" spans="21:21" ht="12.5">
      <c r="U10310" s="32"/>
    </row>
    <row r="10311" spans="21:21" ht="12.5">
      <c r="U10311" s="32"/>
    </row>
    <row r="10312" spans="21:21" ht="12.5">
      <c r="U10312" s="32"/>
    </row>
    <row r="10313" spans="21:21" ht="12.5">
      <c r="U10313" s="32"/>
    </row>
    <row r="10314" spans="21:21" ht="12.5">
      <c r="U10314" s="32"/>
    </row>
    <row r="10315" spans="21:21" ht="12.5">
      <c r="U10315" s="32"/>
    </row>
    <row r="10316" spans="21:21" ht="12.5">
      <c r="U10316" s="32"/>
    </row>
    <row r="10317" spans="21:21" ht="12.5">
      <c r="U10317" s="32"/>
    </row>
    <row r="10318" spans="21:21" ht="12.5">
      <c r="U10318" s="32"/>
    </row>
    <row r="10319" spans="21:21" ht="12.5">
      <c r="U10319" s="32"/>
    </row>
    <row r="10320" spans="21:21" ht="12.5">
      <c r="U10320" s="32"/>
    </row>
    <row r="10321" spans="21:21" ht="12.5">
      <c r="U10321" s="32"/>
    </row>
    <row r="10322" spans="21:21" ht="12.5">
      <c r="U10322" s="32"/>
    </row>
    <row r="10323" spans="21:21" ht="12.5">
      <c r="U10323" s="32"/>
    </row>
    <row r="10324" spans="21:21" ht="12.5">
      <c r="U10324" s="32"/>
    </row>
    <row r="10325" spans="21:21" ht="12.5">
      <c r="U10325" s="32"/>
    </row>
    <row r="10326" spans="21:21" ht="12.5">
      <c r="U10326" s="32"/>
    </row>
    <row r="10327" spans="21:21" ht="12.5">
      <c r="U10327" s="32"/>
    </row>
    <row r="10328" spans="21:21" ht="12.5">
      <c r="U10328" s="32"/>
    </row>
    <row r="10329" spans="21:21" ht="12.5">
      <c r="U10329" s="32"/>
    </row>
    <row r="10330" spans="21:21" ht="12.5">
      <c r="U10330" s="32"/>
    </row>
    <row r="10331" spans="21:21" ht="12.5">
      <c r="U10331" s="32"/>
    </row>
    <row r="10332" spans="21:21" ht="12.5">
      <c r="U10332" s="32"/>
    </row>
    <row r="10333" spans="21:21" ht="12.5">
      <c r="U10333" s="32"/>
    </row>
    <row r="10334" spans="21:21" ht="12.5">
      <c r="U10334" s="32"/>
    </row>
    <row r="10335" spans="21:21" ht="12.5">
      <c r="U10335" s="32"/>
    </row>
    <row r="10336" spans="21:21" ht="12.5">
      <c r="U10336" s="32"/>
    </row>
    <row r="10337" spans="21:21" ht="12.5">
      <c r="U10337" s="32"/>
    </row>
    <row r="10338" spans="21:21" ht="12.5">
      <c r="U10338" s="32"/>
    </row>
    <row r="10339" spans="21:21" ht="12.5">
      <c r="U10339" s="32"/>
    </row>
    <row r="10340" spans="21:21" ht="12.5">
      <c r="U10340" s="32"/>
    </row>
    <row r="10341" spans="21:21" ht="12.5">
      <c r="U10341" s="32"/>
    </row>
    <row r="10342" spans="21:21" ht="12.5">
      <c r="U10342" s="32"/>
    </row>
    <row r="10343" spans="21:21" ht="12.5">
      <c r="U10343" s="32"/>
    </row>
    <row r="10344" spans="21:21" ht="12.5">
      <c r="U10344" s="32"/>
    </row>
    <row r="10345" spans="21:21" ht="12.5">
      <c r="U10345" s="32"/>
    </row>
    <row r="10346" spans="21:21" ht="12.5">
      <c r="U10346" s="32"/>
    </row>
    <row r="10347" spans="21:21" ht="12.5">
      <c r="U10347" s="32"/>
    </row>
    <row r="10348" spans="21:21" ht="12.5">
      <c r="U10348" s="32"/>
    </row>
    <row r="10349" spans="21:21" ht="12.5">
      <c r="U10349" s="32"/>
    </row>
    <row r="10350" spans="21:21" ht="12.5">
      <c r="U10350" s="32"/>
    </row>
    <row r="10351" spans="21:21" ht="12.5">
      <c r="U10351" s="32"/>
    </row>
    <row r="10352" spans="21:21" ht="12.5">
      <c r="U10352" s="32"/>
    </row>
    <row r="10353" spans="21:21" ht="12.5">
      <c r="U10353" s="32"/>
    </row>
    <row r="10354" spans="21:21" ht="12.5">
      <c r="U10354" s="32"/>
    </row>
    <row r="10355" spans="21:21" ht="12.5">
      <c r="U10355" s="32"/>
    </row>
    <row r="10356" spans="21:21" ht="12.5">
      <c r="U10356" s="32"/>
    </row>
    <row r="10357" spans="21:21" ht="12.5">
      <c r="U10357" s="32"/>
    </row>
    <row r="10358" spans="21:21" ht="12.5">
      <c r="U10358" s="32"/>
    </row>
    <row r="10359" spans="21:21" ht="12.5">
      <c r="U10359" s="32"/>
    </row>
    <row r="10360" spans="21:21" ht="12.5">
      <c r="U10360" s="32"/>
    </row>
    <row r="10361" spans="21:21" ht="12.5">
      <c r="U10361" s="32"/>
    </row>
    <row r="10362" spans="21:21" ht="12.5">
      <c r="U10362" s="32"/>
    </row>
    <row r="10363" spans="21:21" ht="12.5">
      <c r="U10363" s="32"/>
    </row>
    <row r="10364" spans="21:21" ht="12.5">
      <c r="U10364" s="32"/>
    </row>
    <row r="10365" spans="21:21" ht="12.5">
      <c r="U10365" s="32"/>
    </row>
    <row r="10366" spans="21:21" ht="12.5">
      <c r="U10366" s="32"/>
    </row>
    <row r="10367" spans="21:21" ht="12.5">
      <c r="U10367" s="32"/>
    </row>
    <row r="10368" spans="21:21" ht="12.5">
      <c r="U10368" s="32"/>
    </row>
    <row r="10369" spans="21:21" ht="12.5">
      <c r="U10369" s="32"/>
    </row>
    <row r="10370" spans="21:21" ht="12.5">
      <c r="U10370" s="32"/>
    </row>
    <row r="10371" spans="21:21" ht="12.5">
      <c r="U10371" s="32"/>
    </row>
    <row r="10372" spans="21:21" ht="12.5">
      <c r="U10372" s="32"/>
    </row>
    <row r="10373" spans="21:21" ht="12.5">
      <c r="U10373" s="32"/>
    </row>
    <row r="10374" spans="21:21" ht="12.5">
      <c r="U10374" s="32"/>
    </row>
    <row r="10375" spans="21:21" ht="12.5">
      <c r="U10375" s="32"/>
    </row>
    <row r="10376" spans="21:21" ht="12.5">
      <c r="U10376" s="32"/>
    </row>
    <row r="10377" spans="21:21" ht="12.5">
      <c r="U10377" s="32"/>
    </row>
    <row r="10378" spans="21:21" ht="12.5">
      <c r="U10378" s="32"/>
    </row>
    <row r="10379" spans="21:21" ht="12.5">
      <c r="U10379" s="32"/>
    </row>
    <row r="10380" spans="21:21" ht="12.5">
      <c r="U10380" s="32"/>
    </row>
    <row r="10381" spans="21:21" ht="12.5">
      <c r="U10381" s="32"/>
    </row>
    <row r="10382" spans="21:21" ht="12.5">
      <c r="U10382" s="32"/>
    </row>
    <row r="10383" spans="21:21" ht="12.5">
      <c r="U10383" s="32"/>
    </row>
    <row r="10384" spans="21:21" ht="12.5">
      <c r="U10384" s="32"/>
    </row>
    <row r="10385" spans="21:21" ht="12.5">
      <c r="U10385" s="32"/>
    </row>
    <row r="10386" spans="21:21" ht="12.5">
      <c r="U10386" s="32"/>
    </row>
    <row r="10387" spans="21:21" ht="12.5">
      <c r="U10387" s="32"/>
    </row>
    <row r="10388" spans="21:21" ht="12.5">
      <c r="U10388" s="32"/>
    </row>
    <row r="10389" spans="21:21" ht="12.5">
      <c r="U10389" s="32"/>
    </row>
    <row r="10390" spans="21:21" ht="12.5">
      <c r="U10390" s="32"/>
    </row>
    <row r="10391" spans="21:21" ht="12.5">
      <c r="U10391" s="32"/>
    </row>
    <row r="10392" spans="21:21" ht="12.5">
      <c r="U10392" s="32"/>
    </row>
    <row r="10393" spans="21:21" ht="12.5">
      <c r="U10393" s="32"/>
    </row>
    <row r="10394" spans="21:21" ht="12.5">
      <c r="U10394" s="32"/>
    </row>
    <row r="10395" spans="21:21" ht="12.5">
      <c r="U10395" s="32"/>
    </row>
    <row r="10396" spans="21:21" ht="12.5">
      <c r="U10396" s="32"/>
    </row>
    <row r="10397" spans="21:21" ht="12.5">
      <c r="U10397" s="32"/>
    </row>
    <row r="10398" spans="21:21" ht="12.5">
      <c r="U10398" s="32"/>
    </row>
    <row r="10399" spans="21:21" ht="12.5">
      <c r="U10399" s="32"/>
    </row>
    <row r="10400" spans="21:21" ht="12.5">
      <c r="U10400" s="32"/>
    </row>
    <row r="10401" spans="21:21" ht="12.5">
      <c r="U10401" s="32"/>
    </row>
    <row r="10402" spans="21:21" ht="12.5">
      <c r="U10402" s="32"/>
    </row>
    <row r="10403" spans="21:21" ht="12.5">
      <c r="U10403" s="32"/>
    </row>
    <row r="10404" spans="21:21" ht="12.5">
      <c r="U10404" s="32"/>
    </row>
    <row r="10405" spans="21:21" ht="12.5">
      <c r="U10405" s="32"/>
    </row>
    <row r="10406" spans="21:21" ht="12.5">
      <c r="U10406" s="32"/>
    </row>
    <row r="10407" spans="21:21" ht="12.5">
      <c r="U10407" s="32"/>
    </row>
    <row r="10408" spans="21:21" ht="12.5">
      <c r="U10408" s="32"/>
    </row>
    <row r="10409" spans="21:21" ht="12.5">
      <c r="U10409" s="32"/>
    </row>
    <row r="10410" spans="21:21" ht="12.5">
      <c r="U10410" s="32"/>
    </row>
    <row r="10411" spans="21:21" ht="12.5">
      <c r="U10411" s="32"/>
    </row>
    <row r="10412" spans="21:21" ht="12.5">
      <c r="U10412" s="32"/>
    </row>
    <row r="10413" spans="21:21" ht="12.5">
      <c r="U10413" s="32"/>
    </row>
    <row r="10414" spans="21:21" ht="12.5">
      <c r="U10414" s="32"/>
    </row>
    <row r="10415" spans="21:21" ht="12.5">
      <c r="U10415" s="32"/>
    </row>
    <row r="10416" spans="21:21" ht="12.5">
      <c r="U10416" s="32"/>
    </row>
    <row r="10417" spans="21:21" ht="12.5">
      <c r="U10417" s="32"/>
    </row>
    <row r="10418" spans="21:21" ht="12.5">
      <c r="U10418" s="32"/>
    </row>
    <row r="10419" spans="21:21" ht="12.5">
      <c r="U10419" s="32"/>
    </row>
    <row r="10420" spans="21:21" ht="12.5">
      <c r="U10420" s="32"/>
    </row>
    <row r="10421" spans="21:21" ht="12.5">
      <c r="U10421" s="32"/>
    </row>
    <row r="10422" spans="21:21" ht="12.5">
      <c r="U10422" s="32"/>
    </row>
    <row r="10423" spans="21:21" ht="12.5">
      <c r="U10423" s="32"/>
    </row>
    <row r="10424" spans="21:21" ht="12.5">
      <c r="U10424" s="32"/>
    </row>
    <row r="10425" spans="21:21" ht="12.5">
      <c r="U10425" s="32"/>
    </row>
    <row r="10426" spans="21:21" ht="12.5">
      <c r="U10426" s="32"/>
    </row>
    <row r="10427" spans="21:21" ht="12.5">
      <c r="U10427" s="32"/>
    </row>
    <row r="10428" spans="21:21" ht="12.5">
      <c r="U10428" s="32"/>
    </row>
    <row r="10429" spans="21:21" ht="12.5">
      <c r="U10429" s="32"/>
    </row>
    <row r="10430" spans="21:21" ht="12.5">
      <c r="U10430" s="32"/>
    </row>
    <row r="10431" spans="21:21" ht="12.5">
      <c r="U10431" s="32"/>
    </row>
    <row r="10432" spans="21:21" ht="12.5">
      <c r="U10432" s="32"/>
    </row>
    <row r="10433" spans="21:21" ht="12.5">
      <c r="U10433" s="32"/>
    </row>
    <row r="10434" spans="21:21" ht="12.5">
      <c r="U10434" s="32"/>
    </row>
    <row r="10435" spans="21:21" ht="12.5">
      <c r="U10435" s="32"/>
    </row>
    <row r="10436" spans="21:21" ht="12.5">
      <c r="U10436" s="32"/>
    </row>
    <row r="10437" spans="21:21" ht="12.5">
      <c r="U10437" s="32"/>
    </row>
    <row r="10438" spans="21:21" ht="12.5">
      <c r="U10438" s="32"/>
    </row>
    <row r="10439" spans="21:21" ht="12.5">
      <c r="U10439" s="32"/>
    </row>
    <row r="10440" spans="21:21" ht="12.5">
      <c r="U10440" s="32"/>
    </row>
    <row r="10441" spans="21:21" ht="12.5">
      <c r="U10441" s="32"/>
    </row>
    <row r="10442" spans="21:21" ht="12.5">
      <c r="U10442" s="32"/>
    </row>
    <row r="10443" spans="21:21" ht="12.5">
      <c r="U10443" s="32"/>
    </row>
    <row r="10444" spans="21:21" ht="12.5">
      <c r="U10444" s="32"/>
    </row>
    <row r="10445" spans="21:21" ht="12.5">
      <c r="U10445" s="32"/>
    </row>
    <row r="10446" spans="21:21" ht="12.5">
      <c r="U10446" s="32"/>
    </row>
    <row r="10447" spans="21:21" ht="12.5">
      <c r="U10447" s="32"/>
    </row>
    <row r="10448" spans="21:21" ht="12.5">
      <c r="U10448" s="32"/>
    </row>
    <row r="10449" spans="21:21" ht="12.5">
      <c r="U10449" s="32"/>
    </row>
    <row r="10450" spans="21:21" ht="12.5">
      <c r="U10450" s="32"/>
    </row>
    <row r="10451" spans="21:21" ht="12.5">
      <c r="U10451" s="32"/>
    </row>
    <row r="10452" spans="21:21" ht="12.5">
      <c r="U10452" s="32"/>
    </row>
    <row r="10453" spans="21:21" ht="12.5">
      <c r="U10453" s="32"/>
    </row>
    <row r="10454" spans="21:21" ht="12.5">
      <c r="U10454" s="32"/>
    </row>
    <row r="10455" spans="21:21" ht="12.5">
      <c r="U10455" s="32"/>
    </row>
    <row r="10456" spans="21:21" ht="12.5">
      <c r="U10456" s="32"/>
    </row>
    <row r="10457" spans="21:21" ht="12.5">
      <c r="U10457" s="32"/>
    </row>
    <row r="10458" spans="21:21" ht="12.5">
      <c r="U10458" s="32"/>
    </row>
    <row r="10459" spans="21:21" ht="12.5">
      <c r="U10459" s="32"/>
    </row>
    <row r="10460" spans="21:21" ht="12.5">
      <c r="U10460" s="32"/>
    </row>
    <row r="10461" spans="21:21" ht="12.5">
      <c r="U10461" s="32"/>
    </row>
    <row r="10462" spans="21:21" ht="12.5">
      <c r="U10462" s="32"/>
    </row>
    <row r="10463" spans="21:21" ht="12.5">
      <c r="U10463" s="32"/>
    </row>
    <row r="10464" spans="21:21" ht="12.5">
      <c r="U10464" s="32"/>
    </row>
    <row r="10465" spans="21:21" ht="12.5">
      <c r="U10465" s="32"/>
    </row>
    <row r="10466" spans="21:21" ht="12.5">
      <c r="U10466" s="32"/>
    </row>
    <row r="10467" spans="21:21" ht="12.5">
      <c r="U10467" s="32"/>
    </row>
    <row r="10468" spans="21:21" ht="12.5">
      <c r="U10468" s="32"/>
    </row>
    <row r="10469" spans="21:21" ht="12.5">
      <c r="U10469" s="32"/>
    </row>
    <row r="10470" spans="21:21" ht="12.5">
      <c r="U10470" s="32"/>
    </row>
    <row r="10471" spans="21:21" ht="12.5">
      <c r="U10471" s="32"/>
    </row>
    <row r="10472" spans="21:21" ht="12.5">
      <c r="U10472" s="32"/>
    </row>
    <row r="10473" spans="21:21" ht="12.5">
      <c r="U10473" s="32"/>
    </row>
    <row r="10474" spans="21:21" ht="12.5">
      <c r="U10474" s="32"/>
    </row>
    <row r="10475" spans="21:21" ht="12.5">
      <c r="U10475" s="32"/>
    </row>
    <row r="10476" spans="21:21" ht="12.5">
      <c r="U10476" s="32"/>
    </row>
    <row r="10477" spans="21:21" ht="12.5">
      <c r="U10477" s="32"/>
    </row>
    <row r="10478" spans="21:21" ht="12.5">
      <c r="U10478" s="32"/>
    </row>
    <row r="10479" spans="21:21" ht="12.5">
      <c r="U10479" s="32"/>
    </row>
    <row r="10480" spans="21:21" ht="12.5">
      <c r="U10480" s="32"/>
    </row>
    <row r="10481" spans="21:21" ht="12.5">
      <c r="U10481" s="32"/>
    </row>
    <row r="10482" spans="21:21" ht="12.5">
      <c r="U10482" s="32"/>
    </row>
    <row r="10483" spans="21:21" ht="12.5">
      <c r="U10483" s="32"/>
    </row>
    <row r="10484" spans="21:21" ht="12.5">
      <c r="U10484" s="32"/>
    </row>
    <row r="10485" spans="21:21" ht="12.5">
      <c r="U10485" s="32"/>
    </row>
    <row r="10486" spans="21:21" ht="12.5">
      <c r="U10486" s="32"/>
    </row>
    <row r="10487" spans="21:21" ht="12.5">
      <c r="U10487" s="32"/>
    </row>
    <row r="10488" spans="21:21" ht="12.5">
      <c r="U10488" s="32"/>
    </row>
    <row r="10489" spans="21:21" ht="12.5">
      <c r="U10489" s="32"/>
    </row>
    <row r="10490" spans="21:21" ht="12.5">
      <c r="U10490" s="32"/>
    </row>
    <row r="10491" spans="21:21" ht="12.5">
      <c r="U10491" s="32"/>
    </row>
    <row r="10492" spans="21:21" ht="12.5">
      <c r="U10492" s="32"/>
    </row>
    <row r="10493" spans="21:21" ht="12.5">
      <c r="U10493" s="32"/>
    </row>
    <row r="10494" spans="21:21" ht="12.5">
      <c r="U10494" s="32"/>
    </row>
    <row r="10495" spans="21:21" ht="12.5">
      <c r="U10495" s="32"/>
    </row>
    <row r="10496" spans="21:21" ht="12.5">
      <c r="U10496" s="32"/>
    </row>
    <row r="10497" spans="21:21" ht="12.5">
      <c r="U10497" s="32"/>
    </row>
    <row r="10498" spans="21:21" ht="12.5">
      <c r="U10498" s="32"/>
    </row>
    <row r="10499" spans="21:21" ht="12.5">
      <c r="U10499" s="32"/>
    </row>
    <row r="10500" spans="21:21" ht="12.5">
      <c r="U10500" s="32"/>
    </row>
    <row r="10501" spans="21:21" ht="12.5">
      <c r="U10501" s="32"/>
    </row>
    <row r="10502" spans="21:21" ht="12.5">
      <c r="U10502" s="32"/>
    </row>
    <row r="10503" spans="21:21" ht="12.5">
      <c r="U10503" s="32"/>
    </row>
    <row r="10504" spans="21:21" ht="12.5">
      <c r="U10504" s="32"/>
    </row>
    <row r="10505" spans="21:21" ht="12.5">
      <c r="U10505" s="32"/>
    </row>
    <row r="10506" spans="21:21" ht="12.5">
      <c r="U10506" s="32"/>
    </row>
    <row r="10507" spans="21:21" ht="12.5">
      <c r="U10507" s="32"/>
    </row>
    <row r="10508" spans="21:21" ht="12.5">
      <c r="U10508" s="32"/>
    </row>
    <row r="10509" spans="21:21" ht="12.5">
      <c r="U10509" s="32"/>
    </row>
    <row r="10510" spans="21:21" ht="12.5">
      <c r="U10510" s="32"/>
    </row>
    <row r="10511" spans="21:21" ht="12.5">
      <c r="U10511" s="32"/>
    </row>
    <row r="10512" spans="21:21" ht="12.5">
      <c r="U10512" s="32"/>
    </row>
    <row r="10513" spans="21:21" ht="12.5">
      <c r="U10513" s="32"/>
    </row>
    <row r="10514" spans="21:21" ht="12.5">
      <c r="U10514" s="32"/>
    </row>
    <row r="10515" spans="21:21" ht="12.5">
      <c r="U10515" s="32"/>
    </row>
    <row r="10516" spans="21:21" ht="12.5">
      <c r="U10516" s="32"/>
    </row>
    <row r="10517" spans="21:21" ht="12.5">
      <c r="U10517" s="32"/>
    </row>
    <row r="10518" spans="21:21" ht="12.5">
      <c r="U10518" s="32"/>
    </row>
    <row r="10519" spans="21:21" ht="12.5">
      <c r="U10519" s="32"/>
    </row>
    <row r="10520" spans="21:21" ht="12.5">
      <c r="U10520" s="32"/>
    </row>
    <row r="10521" spans="21:21" ht="12.5">
      <c r="U10521" s="32"/>
    </row>
    <row r="10522" spans="21:21" ht="12.5">
      <c r="U10522" s="32"/>
    </row>
    <row r="10523" spans="21:21" ht="12.5">
      <c r="U10523" s="32"/>
    </row>
    <row r="10524" spans="21:21" ht="12.5">
      <c r="U10524" s="32"/>
    </row>
    <row r="10525" spans="21:21" ht="12.5">
      <c r="U10525" s="32"/>
    </row>
    <row r="10526" spans="21:21" ht="12.5">
      <c r="U10526" s="32"/>
    </row>
    <row r="10527" spans="21:21" ht="12.5">
      <c r="U10527" s="32"/>
    </row>
    <row r="10528" spans="21:21" ht="12.5">
      <c r="U10528" s="32"/>
    </row>
    <row r="10529" spans="21:21" ht="12.5">
      <c r="U10529" s="32"/>
    </row>
    <row r="10530" spans="21:21" ht="12.5">
      <c r="U10530" s="32"/>
    </row>
    <row r="10531" spans="21:21" ht="12.5">
      <c r="U10531" s="32"/>
    </row>
    <row r="10532" spans="21:21" ht="12.5">
      <c r="U10532" s="32"/>
    </row>
    <row r="10533" spans="21:21" ht="12.5">
      <c r="U10533" s="32"/>
    </row>
    <row r="10534" spans="21:21" ht="12.5">
      <c r="U10534" s="32"/>
    </row>
    <row r="10535" spans="21:21" ht="12.5">
      <c r="U10535" s="32"/>
    </row>
    <row r="10536" spans="21:21" ht="12.5">
      <c r="U10536" s="32"/>
    </row>
    <row r="10537" spans="21:21" ht="12.5">
      <c r="U10537" s="32"/>
    </row>
    <row r="10538" spans="21:21" ht="12.5">
      <c r="U10538" s="32"/>
    </row>
    <row r="10539" spans="21:21" ht="12.5">
      <c r="U10539" s="32"/>
    </row>
    <row r="10540" spans="21:21" ht="12.5">
      <c r="U10540" s="32"/>
    </row>
    <row r="10541" spans="21:21" ht="12.5">
      <c r="U10541" s="32"/>
    </row>
    <row r="10542" spans="21:21" ht="12.5">
      <c r="U10542" s="32"/>
    </row>
    <row r="10543" spans="21:21" ht="12.5">
      <c r="U10543" s="32"/>
    </row>
    <row r="10544" spans="21:21" ht="12.5">
      <c r="U10544" s="32"/>
    </row>
    <row r="10545" spans="21:21" ht="12.5">
      <c r="U10545" s="32"/>
    </row>
    <row r="10546" spans="21:21" ht="12.5">
      <c r="U10546" s="32"/>
    </row>
    <row r="10547" spans="21:21" ht="12.5">
      <c r="U10547" s="32"/>
    </row>
    <row r="10548" spans="21:21" ht="12.5">
      <c r="U10548" s="32"/>
    </row>
    <row r="10549" spans="21:21" ht="12.5">
      <c r="U10549" s="32"/>
    </row>
    <row r="10550" spans="21:21" ht="12.5">
      <c r="U10550" s="32"/>
    </row>
    <row r="10551" spans="21:21" ht="12.5">
      <c r="U10551" s="32"/>
    </row>
    <row r="10552" spans="21:21" ht="12.5">
      <c r="U10552" s="32"/>
    </row>
    <row r="10553" spans="21:21" ht="12.5">
      <c r="U10553" s="32"/>
    </row>
    <row r="10554" spans="21:21" ht="12.5">
      <c r="U10554" s="32"/>
    </row>
    <row r="10555" spans="21:21" ht="12.5">
      <c r="U10555" s="32"/>
    </row>
    <row r="10556" spans="21:21" ht="12.5">
      <c r="U10556" s="32"/>
    </row>
    <row r="10557" spans="21:21" ht="12.5">
      <c r="U10557" s="32"/>
    </row>
    <row r="10558" spans="21:21" ht="12.5">
      <c r="U10558" s="32"/>
    </row>
    <row r="10559" spans="21:21" ht="12.5">
      <c r="U10559" s="32"/>
    </row>
    <row r="10560" spans="21:21" ht="12.5">
      <c r="U10560" s="32"/>
    </row>
    <row r="10561" spans="21:21" ht="12.5">
      <c r="U10561" s="32"/>
    </row>
    <row r="10562" spans="21:21" ht="12.5">
      <c r="U10562" s="32"/>
    </row>
    <row r="10563" spans="21:21" ht="12.5">
      <c r="U10563" s="32"/>
    </row>
    <row r="10564" spans="21:21" ht="12.5">
      <c r="U10564" s="32"/>
    </row>
    <row r="10565" spans="21:21" ht="12.5">
      <c r="U10565" s="32"/>
    </row>
    <row r="10566" spans="21:21" ht="12.5">
      <c r="U10566" s="32"/>
    </row>
    <row r="10567" spans="21:21" ht="12.5">
      <c r="U10567" s="32"/>
    </row>
    <row r="10568" spans="21:21" ht="12.5">
      <c r="U10568" s="32"/>
    </row>
    <row r="10569" spans="21:21" ht="12.5">
      <c r="U10569" s="32"/>
    </row>
    <row r="10570" spans="21:21" ht="12.5">
      <c r="U10570" s="32"/>
    </row>
    <row r="10571" spans="21:21" ht="12.5">
      <c r="U10571" s="32"/>
    </row>
    <row r="10572" spans="21:21" ht="12.5">
      <c r="U10572" s="32"/>
    </row>
    <row r="10573" spans="21:21" ht="12.5">
      <c r="U10573" s="32"/>
    </row>
    <row r="10574" spans="21:21" ht="12.5">
      <c r="U10574" s="32"/>
    </row>
    <row r="10575" spans="21:21" ht="12.5">
      <c r="U10575" s="32"/>
    </row>
    <row r="10576" spans="21:21" ht="12.5">
      <c r="U10576" s="32"/>
    </row>
    <row r="10577" spans="21:21" ht="12.5">
      <c r="U10577" s="32"/>
    </row>
    <row r="10578" spans="21:21" ht="12.5">
      <c r="U10578" s="32"/>
    </row>
    <row r="10579" spans="21:21" ht="12.5">
      <c r="U10579" s="32"/>
    </row>
    <row r="10580" spans="21:21" ht="12.5">
      <c r="U10580" s="32"/>
    </row>
    <row r="10581" spans="21:21" ht="12.5">
      <c r="U10581" s="32"/>
    </row>
    <row r="10582" spans="21:21" ht="12.5">
      <c r="U10582" s="32"/>
    </row>
    <row r="10583" spans="21:21" ht="12.5">
      <c r="U10583" s="32"/>
    </row>
    <row r="10584" spans="21:21" ht="12.5">
      <c r="U10584" s="32"/>
    </row>
    <row r="10585" spans="21:21" ht="12.5">
      <c r="U10585" s="32"/>
    </row>
    <row r="10586" spans="21:21" ht="12.5">
      <c r="U10586" s="32"/>
    </row>
    <row r="10587" spans="21:21" ht="12.5">
      <c r="U10587" s="32"/>
    </row>
    <row r="10588" spans="21:21" ht="12.5">
      <c r="U10588" s="32"/>
    </row>
    <row r="10589" spans="21:21" ht="12.5">
      <c r="U10589" s="32"/>
    </row>
    <row r="10590" spans="21:21" ht="12.5">
      <c r="U10590" s="32"/>
    </row>
    <row r="10591" spans="21:21" ht="12.5">
      <c r="U10591" s="32"/>
    </row>
    <row r="10592" spans="21:21" ht="12.5">
      <c r="U10592" s="32"/>
    </row>
    <row r="10593" spans="21:21" ht="12.5">
      <c r="U10593" s="32"/>
    </row>
    <row r="10594" spans="21:21" ht="12.5">
      <c r="U10594" s="32"/>
    </row>
    <row r="10595" spans="21:21" ht="12.5">
      <c r="U10595" s="32"/>
    </row>
    <row r="10596" spans="21:21" ht="12.5">
      <c r="U10596" s="32"/>
    </row>
    <row r="10597" spans="21:21" ht="12.5">
      <c r="U10597" s="32"/>
    </row>
    <row r="10598" spans="21:21" ht="12.5">
      <c r="U10598" s="32"/>
    </row>
    <row r="10599" spans="21:21" ht="12.5">
      <c r="U10599" s="32"/>
    </row>
    <row r="10600" spans="21:21" ht="12.5">
      <c r="U10600" s="32"/>
    </row>
    <row r="10601" spans="21:21" ht="12.5">
      <c r="U10601" s="32"/>
    </row>
    <row r="10602" spans="21:21" ht="12.5">
      <c r="U10602" s="32"/>
    </row>
    <row r="10603" spans="21:21" ht="12.5">
      <c r="U10603" s="32"/>
    </row>
    <row r="10604" spans="21:21" ht="12.5">
      <c r="U10604" s="32"/>
    </row>
    <row r="10605" spans="21:21" ht="12.5">
      <c r="U10605" s="32"/>
    </row>
    <row r="10606" spans="21:21" ht="12.5">
      <c r="U10606" s="32"/>
    </row>
    <row r="10607" spans="21:21" ht="12.5">
      <c r="U10607" s="32"/>
    </row>
    <row r="10608" spans="21:21" ht="12.5">
      <c r="U10608" s="32"/>
    </row>
    <row r="10609" spans="21:21" ht="12.5">
      <c r="U10609" s="32"/>
    </row>
    <row r="10610" spans="21:21" ht="12.5">
      <c r="U10610" s="32"/>
    </row>
    <row r="10611" spans="21:21" ht="12.5">
      <c r="U10611" s="32"/>
    </row>
    <row r="10612" spans="21:21" ht="12.5">
      <c r="U10612" s="32"/>
    </row>
    <row r="10613" spans="21:21" ht="12.5">
      <c r="U10613" s="32"/>
    </row>
    <row r="10614" spans="21:21" ht="12.5">
      <c r="U10614" s="32"/>
    </row>
    <row r="10615" spans="21:21" ht="12.5">
      <c r="U10615" s="32"/>
    </row>
    <row r="10616" spans="21:21" ht="12.5">
      <c r="U10616" s="32"/>
    </row>
    <row r="10617" spans="21:21" ht="12.5">
      <c r="U10617" s="32"/>
    </row>
    <row r="10618" spans="21:21" ht="12.5">
      <c r="U10618" s="32"/>
    </row>
    <row r="10619" spans="21:21" ht="12.5">
      <c r="U10619" s="32"/>
    </row>
    <row r="10620" spans="21:21" ht="12.5">
      <c r="U10620" s="32"/>
    </row>
    <row r="10621" spans="21:21" ht="12.5">
      <c r="U10621" s="32"/>
    </row>
    <row r="10622" spans="21:21" ht="12.5">
      <c r="U10622" s="32"/>
    </row>
    <row r="10623" spans="21:21" ht="12.5">
      <c r="U10623" s="32"/>
    </row>
    <row r="10624" spans="21:21" ht="12.5">
      <c r="U10624" s="32"/>
    </row>
    <row r="10625" spans="21:21" ht="12.5">
      <c r="U10625" s="32"/>
    </row>
    <row r="10626" spans="21:21" ht="12.5">
      <c r="U10626" s="32"/>
    </row>
    <row r="10627" spans="21:21" ht="12.5">
      <c r="U10627" s="32"/>
    </row>
    <row r="10628" spans="21:21" ht="12.5">
      <c r="U10628" s="32"/>
    </row>
    <row r="10629" spans="21:21" ht="12.5">
      <c r="U10629" s="32"/>
    </row>
    <row r="10630" spans="21:21" ht="12.5">
      <c r="U10630" s="32"/>
    </row>
    <row r="10631" spans="21:21" ht="12.5">
      <c r="U10631" s="32"/>
    </row>
    <row r="10632" spans="21:21" ht="12.5">
      <c r="U10632" s="32"/>
    </row>
    <row r="10633" spans="21:21" ht="12.5">
      <c r="U10633" s="32"/>
    </row>
    <row r="10634" spans="21:21" ht="12.5">
      <c r="U10634" s="32"/>
    </row>
    <row r="10635" spans="21:21" ht="12.5">
      <c r="U10635" s="32"/>
    </row>
    <row r="10636" spans="21:21" ht="12.5">
      <c r="U10636" s="32"/>
    </row>
    <row r="10637" spans="21:21" ht="12.5">
      <c r="U10637" s="32"/>
    </row>
    <row r="10638" spans="21:21" ht="12.5">
      <c r="U10638" s="32"/>
    </row>
    <row r="10639" spans="21:21" ht="12.5">
      <c r="U10639" s="32"/>
    </row>
    <row r="10640" spans="21:21" ht="12.5">
      <c r="U10640" s="32"/>
    </row>
    <row r="10641" spans="21:21" ht="12.5">
      <c r="U10641" s="32"/>
    </row>
    <row r="10642" spans="21:21" ht="12.5">
      <c r="U10642" s="32"/>
    </row>
    <row r="10643" spans="21:21" ht="12.5">
      <c r="U10643" s="32"/>
    </row>
    <row r="10644" spans="21:21" ht="12.5">
      <c r="U10644" s="32"/>
    </row>
    <row r="10645" spans="21:21" ht="12.5">
      <c r="U10645" s="32"/>
    </row>
    <row r="10646" spans="21:21" ht="12.5">
      <c r="U10646" s="32"/>
    </row>
    <row r="10647" spans="21:21" ht="12.5">
      <c r="U10647" s="32"/>
    </row>
    <row r="10648" spans="21:21" ht="12.5">
      <c r="U10648" s="32"/>
    </row>
    <row r="10649" spans="21:21" ht="12.5">
      <c r="U10649" s="32"/>
    </row>
    <row r="10650" spans="21:21" ht="12.5">
      <c r="U10650" s="32"/>
    </row>
    <row r="10651" spans="21:21" ht="12.5">
      <c r="U10651" s="32"/>
    </row>
    <row r="10652" spans="21:21" ht="12.5">
      <c r="U10652" s="32"/>
    </row>
    <row r="10653" spans="21:21" ht="12.5">
      <c r="U10653" s="32"/>
    </row>
    <row r="10654" spans="21:21" ht="12.5">
      <c r="U10654" s="32"/>
    </row>
    <row r="10655" spans="21:21" ht="12.5">
      <c r="U10655" s="32"/>
    </row>
    <row r="10656" spans="21:21" ht="12.5">
      <c r="U10656" s="32"/>
    </row>
    <row r="10657" spans="21:21" ht="12.5">
      <c r="U10657" s="32"/>
    </row>
    <row r="10658" spans="21:21" ht="12.5">
      <c r="U10658" s="32"/>
    </row>
    <row r="10659" spans="21:21" ht="12.5">
      <c r="U10659" s="32"/>
    </row>
    <row r="10660" spans="21:21" ht="12.5">
      <c r="U10660" s="32"/>
    </row>
    <row r="10661" spans="21:21" ht="12.5">
      <c r="U10661" s="32"/>
    </row>
    <row r="10662" spans="21:21" ht="12.5">
      <c r="U10662" s="32"/>
    </row>
    <row r="10663" spans="21:21" ht="12.5">
      <c r="U10663" s="32"/>
    </row>
    <row r="10664" spans="21:21" ht="12.5">
      <c r="U10664" s="32"/>
    </row>
    <row r="10665" spans="21:21" ht="12.5">
      <c r="U10665" s="32"/>
    </row>
    <row r="10666" spans="21:21" ht="12.5">
      <c r="U10666" s="32"/>
    </row>
    <row r="10667" spans="21:21" ht="12.5">
      <c r="U10667" s="32"/>
    </row>
    <row r="10668" spans="21:21" ht="12.5">
      <c r="U10668" s="32"/>
    </row>
    <row r="10669" spans="21:21" ht="12.5">
      <c r="U10669" s="32"/>
    </row>
    <row r="10670" spans="21:21" ht="12.5">
      <c r="U10670" s="32"/>
    </row>
    <row r="10671" spans="21:21" ht="12.5">
      <c r="U10671" s="32"/>
    </row>
    <row r="10672" spans="21:21" ht="12.5">
      <c r="U10672" s="32"/>
    </row>
    <row r="10673" spans="21:21" ht="12.5">
      <c r="U10673" s="32"/>
    </row>
    <row r="10674" spans="21:21" ht="12.5">
      <c r="U10674" s="32"/>
    </row>
    <row r="10675" spans="21:21" ht="12.5">
      <c r="U10675" s="32"/>
    </row>
    <row r="10676" spans="21:21" ht="12.5">
      <c r="U10676" s="32"/>
    </row>
    <row r="10677" spans="21:21" ht="12.5">
      <c r="U10677" s="32"/>
    </row>
    <row r="10678" spans="21:21" ht="12.5">
      <c r="U10678" s="32"/>
    </row>
    <row r="10679" spans="21:21" ht="12.5">
      <c r="U10679" s="32"/>
    </row>
    <row r="10680" spans="21:21" ht="12.5">
      <c r="U10680" s="32"/>
    </row>
    <row r="10681" spans="21:21" ht="12.5">
      <c r="U10681" s="32"/>
    </row>
    <row r="10682" spans="21:21" ht="12.5">
      <c r="U10682" s="32"/>
    </row>
    <row r="10683" spans="21:21" ht="12.5">
      <c r="U10683" s="32"/>
    </row>
    <row r="10684" spans="21:21" ht="12.5">
      <c r="U10684" s="32"/>
    </row>
    <row r="10685" spans="21:21" ht="12.5">
      <c r="U10685" s="32"/>
    </row>
    <row r="10686" spans="21:21" ht="12.5">
      <c r="U10686" s="32"/>
    </row>
    <row r="10687" spans="21:21" ht="12.5">
      <c r="U10687" s="32"/>
    </row>
    <row r="10688" spans="21:21" ht="12.5">
      <c r="U10688" s="32"/>
    </row>
    <row r="10689" spans="21:21" ht="12.5">
      <c r="U10689" s="32"/>
    </row>
    <row r="10690" spans="21:21" ht="12.5">
      <c r="U10690" s="32"/>
    </row>
    <row r="10691" spans="21:21" ht="12.5">
      <c r="U10691" s="32"/>
    </row>
    <row r="10692" spans="21:21" ht="12.5">
      <c r="U10692" s="32"/>
    </row>
    <row r="10693" spans="21:21" ht="12.5">
      <c r="U10693" s="32"/>
    </row>
    <row r="10694" spans="21:21" ht="12.5">
      <c r="U10694" s="32"/>
    </row>
    <row r="10695" spans="21:21" ht="12.5">
      <c r="U10695" s="32"/>
    </row>
    <row r="10696" spans="21:21" ht="12.5">
      <c r="U10696" s="32"/>
    </row>
    <row r="10697" spans="21:21" ht="12.5">
      <c r="U10697" s="32"/>
    </row>
    <row r="10698" spans="21:21" ht="12.5">
      <c r="U10698" s="32"/>
    </row>
    <row r="10699" spans="21:21" ht="12.5">
      <c r="U10699" s="32"/>
    </row>
    <row r="10700" spans="21:21" ht="12.5">
      <c r="U10700" s="32"/>
    </row>
    <row r="10701" spans="21:21" ht="12.5">
      <c r="U10701" s="32"/>
    </row>
    <row r="10702" spans="21:21" ht="12.5">
      <c r="U10702" s="32"/>
    </row>
    <row r="10703" spans="21:21" ht="12.5">
      <c r="U10703" s="32"/>
    </row>
    <row r="10704" spans="21:21" ht="12.5">
      <c r="U10704" s="32"/>
    </row>
    <row r="10705" spans="21:21" ht="12.5">
      <c r="U10705" s="32"/>
    </row>
    <row r="10706" spans="21:21" ht="12.5">
      <c r="U10706" s="32"/>
    </row>
    <row r="10707" spans="21:21" ht="12.5">
      <c r="U10707" s="32"/>
    </row>
    <row r="10708" spans="21:21" ht="12.5">
      <c r="U10708" s="32"/>
    </row>
    <row r="10709" spans="21:21" ht="12.5">
      <c r="U10709" s="32"/>
    </row>
    <row r="10710" spans="21:21" ht="12.5">
      <c r="U10710" s="32"/>
    </row>
    <row r="10711" spans="21:21" ht="12.5">
      <c r="U10711" s="32"/>
    </row>
    <row r="10712" spans="21:21" ht="12.5">
      <c r="U10712" s="32"/>
    </row>
    <row r="10713" spans="21:21" ht="12.5">
      <c r="U10713" s="32"/>
    </row>
    <row r="10714" spans="21:21" ht="12.5">
      <c r="U10714" s="32"/>
    </row>
    <row r="10715" spans="21:21" ht="12.5">
      <c r="U10715" s="32"/>
    </row>
    <row r="10716" spans="21:21" ht="12.5">
      <c r="U10716" s="32"/>
    </row>
    <row r="10717" spans="21:21" ht="12.5">
      <c r="U10717" s="32"/>
    </row>
    <row r="10718" spans="21:21" ht="12.5">
      <c r="U10718" s="32"/>
    </row>
    <row r="10719" spans="21:21" ht="12.5">
      <c r="U10719" s="32"/>
    </row>
    <row r="10720" spans="21:21" ht="12.5">
      <c r="U10720" s="32"/>
    </row>
    <row r="10721" spans="21:21" ht="12.5">
      <c r="U10721" s="32"/>
    </row>
    <row r="10722" spans="21:21" ht="12.5">
      <c r="U10722" s="32"/>
    </row>
    <row r="10723" spans="21:21" ht="12.5">
      <c r="U10723" s="32"/>
    </row>
    <row r="10724" spans="21:21" ht="12.5">
      <c r="U10724" s="32"/>
    </row>
    <row r="10725" spans="21:21" ht="12.5">
      <c r="U10725" s="32"/>
    </row>
    <row r="10726" spans="21:21" ht="12.5">
      <c r="U10726" s="32"/>
    </row>
    <row r="10727" spans="21:21" ht="12.5">
      <c r="U10727" s="32"/>
    </row>
    <row r="10728" spans="21:21" ht="12.5">
      <c r="U10728" s="32"/>
    </row>
    <row r="10729" spans="21:21" ht="12.5">
      <c r="U10729" s="32"/>
    </row>
    <row r="10730" spans="21:21" ht="12.5">
      <c r="U10730" s="32"/>
    </row>
    <row r="10731" spans="21:21" ht="12.5">
      <c r="U10731" s="32"/>
    </row>
    <row r="10732" spans="21:21" ht="12.5">
      <c r="U10732" s="32"/>
    </row>
    <row r="10733" spans="21:21" ht="12.5">
      <c r="U10733" s="32"/>
    </row>
    <row r="10734" spans="21:21" ht="12.5">
      <c r="U10734" s="32"/>
    </row>
    <row r="10735" spans="21:21" ht="12.5">
      <c r="U10735" s="32"/>
    </row>
    <row r="10736" spans="21:21" ht="12.5">
      <c r="U10736" s="32"/>
    </row>
    <row r="10737" spans="21:21" ht="12.5">
      <c r="U10737" s="32"/>
    </row>
    <row r="10738" spans="21:21" ht="12.5">
      <c r="U10738" s="32"/>
    </row>
    <row r="10739" spans="21:21" ht="12.5">
      <c r="U10739" s="32"/>
    </row>
    <row r="10740" spans="21:21" ht="12.5">
      <c r="U10740" s="32"/>
    </row>
    <row r="10741" spans="21:21" ht="12.5">
      <c r="U10741" s="32"/>
    </row>
    <row r="10742" spans="21:21" ht="12.5">
      <c r="U10742" s="32"/>
    </row>
    <row r="10743" spans="21:21" ht="12.5">
      <c r="U10743" s="32"/>
    </row>
    <row r="10744" spans="21:21" ht="12.5">
      <c r="U10744" s="32"/>
    </row>
    <row r="10745" spans="21:21" ht="12.5">
      <c r="U10745" s="32"/>
    </row>
    <row r="10746" spans="21:21" ht="12.5">
      <c r="U10746" s="32"/>
    </row>
    <row r="10747" spans="21:21" ht="12.5">
      <c r="U10747" s="32"/>
    </row>
    <row r="10748" spans="21:21" ht="12.5">
      <c r="U10748" s="32"/>
    </row>
    <row r="10749" spans="21:21" ht="12.5">
      <c r="U10749" s="32"/>
    </row>
    <row r="10750" spans="21:21" ht="12.5">
      <c r="U10750" s="32"/>
    </row>
    <row r="10751" spans="21:21" ht="12.5">
      <c r="U10751" s="32"/>
    </row>
    <row r="10752" spans="21:21" ht="12.5">
      <c r="U10752" s="32"/>
    </row>
    <row r="10753" spans="21:21" ht="12.5">
      <c r="U10753" s="32"/>
    </row>
    <row r="10754" spans="21:21" ht="12.5">
      <c r="U10754" s="32"/>
    </row>
    <row r="10755" spans="21:21" ht="12.5">
      <c r="U10755" s="32"/>
    </row>
    <row r="10756" spans="21:21" ht="12.5">
      <c r="U10756" s="32"/>
    </row>
    <row r="10757" spans="21:21" ht="12.5">
      <c r="U10757" s="32"/>
    </row>
    <row r="10758" spans="21:21" ht="12.5">
      <c r="U10758" s="32"/>
    </row>
    <row r="10759" spans="21:21" ht="12.5">
      <c r="U10759" s="32"/>
    </row>
    <row r="10760" spans="21:21" ht="12.5">
      <c r="U10760" s="32"/>
    </row>
    <row r="10761" spans="21:21" ht="12.5">
      <c r="U10761" s="32"/>
    </row>
    <row r="10762" spans="21:21" ht="12.5">
      <c r="U10762" s="32"/>
    </row>
    <row r="10763" spans="21:21" ht="12.5">
      <c r="U10763" s="32"/>
    </row>
    <row r="10764" spans="21:21" ht="12.5">
      <c r="U10764" s="32"/>
    </row>
    <row r="10765" spans="21:21" ht="12.5">
      <c r="U10765" s="32"/>
    </row>
    <row r="10766" spans="21:21" ht="12.5">
      <c r="U10766" s="32"/>
    </row>
    <row r="10767" spans="21:21" ht="12.5">
      <c r="U10767" s="32"/>
    </row>
    <row r="10768" spans="21:21" ht="12.5">
      <c r="U10768" s="32"/>
    </row>
    <row r="10769" spans="21:21" ht="12.5">
      <c r="U10769" s="32"/>
    </row>
    <row r="10770" spans="21:21" ht="12.5">
      <c r="U10770" s="32"/>
    </row>
    <row r="10771" spans="21:21" ht="12.5">
      <c r="U10771" s="32"/>
    </row>
    <row r="10772" spans="21:21" ht="12.5">
      <c r="U10772" s="32"/>
    </row>
    <row r="10773" spans="21:21" ht="12.5">
      <c r="U10773" s="32"/>
    </row>
    <row r="10774" spans="21:21" ht="12.5">
      <c r="U10774" s="32"/>
    </row>
    <row r="10775" spans="21:21" ht="12.5">
      <c r="U10775" s="32"/>
    </row>
    <row r="10776" spans="21:21" ht="12.5">
      <c r="U10776" s="32"/>
    </row>
    <row r="10777" spans="21:21" ht="12.5">
      <c r="U10777" s="32"/>
    </row>
    <row r="10778" spans="21:21" ht="12.5">
      <c r="U10778" s="32"/>
    </row>
    <row r="10779" spans="21:21" ht="12.5">
      <c r="U10779" s="32"/>
    </row>
    <row r="10780" spans="21:21" ht="12.5">
      <c r="U10780" s="32"/>
    </row>
    <row r="10781" spans="21:21" ht="12.5">
      <c r="U10781" s="32"/>
    </row>
    <row r="10782" spans="21:21" ht="12.5">
      <c r="U10782" s="32"/>
    </row>
    <row r="10783" spans="21:21" ht="12.5">
      <c r="U10783" s="32"/>
    </row>
    <row r="10784" spans="21:21" ht="12.5">
      <c r="U10784" s="32"/>
    </row>
    <row r="10785" spans="21:21" ht="12.5">
      <c r="U10785" s="32"/>
    </row>
    <row r="10786" spans="21:21" ht="12.5">
      <c r="U10786" s="32"/>
    </row>
    <row r="10787" spans="21:21" ht="12.5">
      <c r="U10787" s="32"/>
    </row>
    <row r="10788" spans="21:21" ht="12.5">
      <c r="U10788" s="32"/>
    </row>
    <row r="10789" spans="21:21" ht="12.5">
      <c r="U10789" s="32"/>
    </row>
    <row r="10790" spans="21:21" ht="12.5">
      <c r="U10790" s="32"/>
    </row>
    <row r="10791" spans="21:21" ht="12.5">
      <c r="U10791" s="32"/>
    </row>
    <row r="10792" spans="21:21" ht="12.5">
      <c r="U10792" s="32"/>
    </row>
    <row r="10793" spans="21:21" ht="12.5">
      <c r="U10793" s="32"/>
    </row>
    <row r="10794" spans="21:21" ht="12.5">
      <c r="U10794" s="32"/>
    </row>
    <row r="10795" spans="21:21" ht="12.5">
      <c r="U10795" s="32"/>
    </row>
    <row r="10796" spans="21:21" ht="12.5">
      <c r="U10796" s="32"/>
    </row>
    <row r="10797" spans="21:21" ht="12.5">
      <c r="U10797" s="32"/>
    </row>
    <row r="10798" spans="21:21" ht="12.5">
      <c r="U10798" s="32"/>
    </row>
    <row r="10799" spans="21:21" ht="12.5">
      <c r="U10799" s="32"/>
    </row>
    <row r="10800" spans="21:21" ht="12.5">
      <c r="U10800" s="32"/>
    </row>
    <row r="10801" spans="21:21" ht="12.5">
      <c r="U10801" s="32"/>
    </row>
    <row r="10802" spans="21:21" ht="12.5">
      <c r="U10802" s="32"/>
    </row>
    <row r="10803" spans="21:21" ht="12.5">
      <c r="U10803" s="32"/>
    </row>
    <row r="10804" spans="21:21" ht="12.5">
      <c r="U10804" s="32"/>
    </row>
    <row r="10805" spans="21:21" ht="12.5">
      <c r="U10805" s="32"/>
    </row>
    <row r="10806" spans="21:21" ht="12.5">
      <c r="U10806" s="32"/>
    </row>
    <row r="10807" spans="21:21" ht="12.5">
      <c r="U10807" s="32"/>
    </row>
    <row r="10808" spans="21:21" ht="12.5">
      <c r="U10808" s="32"/>
    </row>
    <row r="10809" spans="21:21" ht="12.5">
      <c r="U10809" s="32"/>
    </row>
    <row r="10810" spans="21:21" ht="12.5">
      <c r="U10810" s="32"/>
    </row>
    <row r="10811" spans="21:21" ht="12.5">
      <c r="U10811" s="32"/>
    </row>
    <row r="10812" spans="21:21" ht="12.5">
      <c r="U10812" s="32"/>
    </row>
    <row r="10813" spans="21:21" ht="12.5">
      <c r="U10813" s="32"/>
    </row>
    <row r="10814" spans="21:21" ht="12.5">
      <c r="U10814" s="32"/>
    </row>
    <row r="10815" spans="21:21" ht="12.5">
      <c r="U10815" s="32"/>
    </row>
    <row r="10816" spans="21:21" ht="12.5">
      <c r="U10816" s="32"/>
    </row>
    <row r="10817" spans="21:21" ht="12.5">
      <c r="U10817" s="32"/>
    </row>
    <row r="10818" spans="21:21" ht="12.5">
      <c r="U10818" s="32"/>
    </row>
    <row r="10819" spans="21:21" ht="12.5">
      <c r="U10819" s="32"/>
    </row>
    <row r="10820" spans="21:21" ht="12.5">
      <c r="U10820" s="32"/>
    </row>
    <row r="10821" spans="21:21" ht="12.5">
      <c r="U10821" s="32"/>
    </row>
    <row r="10822" spans="21:21" ht="12.5">
      <c r="U10822" s="32"/>
    </row>
    <row r="10823" spans="21:21" ht="12.5">
      <c r="U10823" s="32"/>
    </row>
    <row r="10824" spans="21:21" ht="12.5">
      <c r="U10824" s="32"/>
    </row>
    <row r="10825" spans="21:21" ht="12.5">
      <c r="U10825" s="32"/>
    </row>
    <row r="10826" spans="21:21" ht="12.5">
      <c r="U10826" s="32"/>
    </row>
    <row r="10827" spans="21:21" ht="12.5">
      <c r="U10827" s="32"/>
    </row>
    <row r="10828" spans="21:21" ht="12.5">
      <c r="U10828" s="32"/>
    </row>
    <row r="10829" spans="21:21" ht="12.5">
      <c r="U10829" s="32"/>
    </row>
    <row r="10830" spans="21:21" ht="12.5">
      <c r="U10830" s="32"/>
    </row>
    <row r="10831" spans="21:21" ht="12.5">
      <c r="U10831" s="32"/>
    </row>
    <row r="10832" spans="21:21" ht="12.5">
      <c r="U10832" s="32"/>
    </row>
    <row r="10833" spans="21:21" ht="12.5">
      <c r="U10833" s="32"/>
    </row>
    <row r="10834" spans="21:21" ht="12.5">
      <c r="U10834" s="32"/>
    </row>
    <row r="10835" spans="21:21" ht="12.5">
      <c r="U10835" s="32"/>
    </row>
    <row r="10836" spans="21:21" ht="12.5">
      <c r="U10836" s="32"/>
    </row>
    <row r="10837" spans="21:21" ht="12.5">
      <c r="U10837" s="32"/>
    </row>
    <row r="10838" spans="21:21" ht="12.5">
      <c r="U10838" s="32"/>
    </row>
    <row r="10839" spans="21:21" ht="12.5">
      <c r="U10839" s="32"/>
    </row>
    <row r="10840" spans="21:21" ht="12.5">
      <c r="U10840" s="32"/>
    </row>
    <row r="10841" spans="21:21" ht="12.5">
      <c r="U10841" s="32"/>
    </row>
    <row r="10842" spans="21:21" ht="12.5">
      <c r="U10842" s="32"/>
    </row>
    <row r="10843" spans="21:21" ht="12.5">
      <c r="U10843" s="32"/>
    </row>
    <row r="10844" spans="21:21" ht="12.5">
      <c r="U10844" s="32"/>
    </row>
    <row r="10845" spans="21:21" ht="12.5">
      <c r="U10845" s="32"/>
    </row>
    <row r="10846" spans="21:21" ht="12.5">
      <c r="U10846" s="32"/>
    </row>
    <row r="10847" spans="21:21" ht="12.5">
      <c r="U10847" s="32"/>
    </row>
    <row r="10848" spans="21:21" ht="12.5">
      <c r="U10848" s="32"/>
    </row>
    <row r="10849" spans="21:21" ht="12.5">
      <c r="U10849" s="32"/>
    </row>
    <row r="10850" spans="21:21" ht="12.5">
      <c r="U10850" s="32"/>
    </row>
    <row r="10851" spans="21:21" ht="12.5">
      <c r="U10851" s="32"/>
    </row>
    <row r="10852" spans="21:21" ht="12.5">
      <c r="U10852" s="32"/>
    </row>
    <row r="10853" spans="21:21" ht="12.5">
      <c r="U10853" s="32"/>
    </row>
    <row r="10854" spans="21:21" ht="12.5">
      <c r="U10854" s="32"/>
    </row>
    <row r="10855" spans="21:21" ht="12.5">
      <c r="U10855" s="32"/>
    </row>
    <row r="10856" spans="21:21" ht="12.5">
      <c r="U10856" s="32"/>
    </row>
    <row r="10857" spans="21:21" ht="12.5">
      <c r="U10857" s="32"/>
    </row>
    <row r="10858" spans="21:21" ht="12.5">
      <c r="U10858" s="32"/>
    </row>
    <row r="10859" spans="21:21" ht="12.5">
      <c r="U10859" s="32"/>
    </row>
    <row r="10860" spans="21:21" ht="12.5">
      <c r="U10860" s="32"/>
    </row>
    <row r="10861" spans="21:21" ht="12.5">
      <c r="U10861" s="32"/>
    </row>
    <row r="10862" spans="21:21" ht="12.5">
      <c r="U10862" s="32"/>
    </row>
    <row r="10863" spans="21:21" ht="12.5">
      <c r="U10863" s="32"/>
    </row>
    <row r="10864" spans="21:21" ht="12.5">
      <c r="U10864" s="32"/>
    </row>
    <row r="10865" spans="21:21" ht="12.5">
      <c r="U10865" s="32"/>
    </row>
    <row r="10866" spans="21:21" ht="12.5">
      <c r="U10866" s="32"/>
    </row>
    <row r="10867" spans="21:21" ht="12.5">
      <c r="U10867" s="32"/>
    </row>
    <row r="10868" spans="21:21" ht="12.5">
      <c r="U10868" s="32"/>
    </row>
    <row r="10869" spans="21:21" ht="12.5">
      <c r="U10869" s="32"/>
    </row>
    <row r="10870" spans="21:21" ht="12.5">
      <c r="U10870" s="32"/>
    </row>
    <row r="10871" spans="21:21" ht="12.5">
      <c r="U10871" s="32"/>
    </row>
    <row r="10872" spans="21:21" ht="12.5">
      <c r="U10872" s="32"/>
    </row>
    <row r="10873" spans="21:21" ht="12.5">
      <c r="U10873" s="32"/>
    </row>
    <row r="10874" spans="21:21" ht="12.5">
      <c r="U10874" s="32"/>
    </row>
    <row r="10875" spans="21:21" ht="12.5">
      <c r="U10875" s="32"/>
    </row>
    <row r="10876" spans="21:21" ht="12.5">
      <c r="U10876" s="32"/>
    </row>
    <row r="10877" spans="21:21" ht="12.5">
      <c r="U10877" s="32"/>
    </row>
    <row r="10878" spans="21:21" ht="12.5">
      <c r="U10878" s="32"/>
    </row>
    <row r="10879" spans="21:21" ht="12.5">
      <c r="U10879" s="32"/>
    </row>
    <row r="10880" spans="21:21" ht="12.5">
      <c r="U10880" s="32"/>
    </row>
    <row r="10881" spans="21:21" ht="12.5">
      <c r="U10881" s="32"/>
    </row>
    <row r="10882" spans="21:21" ht="12.5">
      <c r="U10882" s="32"/>
    </row>
    <row r="10883" spans="21:21" ht="12.5">
      <c r="U10883" s="32"/>
    </row>
    <row r="10884" spans="21:21" ht="12.5">
      <c r="U10884" s="32"/>
    </row>
    <row r="10885" spans="21:21" ht="12.5">
      <c r="U10885" s="32"/>
    </row>
    <row r="10886" spans="21:21" ht="12.5">
      <c r="U10886" s="32"/>
    </row>
    <row r="10887" spans="21:21" ht="12.5">
      <c r="U10887" s="32"/>
    </row>
    <row r="10888" spans="21:21" ht="12.5">
      <c r="U10888" s="32"/>
    </row>
    <row r="10889" spans="21:21" ht="12.5">
      <c r="U10889" s="32"/>
    </row>
    <row r="10890" spans="21:21" ht="12.5">
      <c r="U10890" s="32"/>
    </row>
    <row r="10891" spans="21:21" ht="12.5">
      <c r="U10891" s="32"/>
    </row>
    <row r="10892" spans="21:21" ht="12.5">
      <c r="U10892" s="32"/>
    </row>
    <row r="10893" spans="21:21" ht="12.5">
      <c r="U10893" s="32"/>
    </row>
    <row r="10894" spans="21:21" ht="12.5">
      <c r="U10894" s="32"/>
    </row>
    <row r="10895" spans="21:21" ht="12.5">
      <c r="U10895" s="32"/>
    </row>
    <row r="10896" spans="21:21" ht="12.5">
      <c r="U10896" s="32"/>
    </row>
    <row r="10897" spans="21:21" ht="12.5">
      <c r="U10897" s="32"/>
    </row>
    <row r="10898" spans="21:21" ht="12.5">
      <c r="U10898" s="32"/>
    </row>
    <row r="10899" spans="21:21" ht="12.5">
      <c r="U10899" s="32"/>
    </row>
    <row r="10900" spans="21:21" ht="12.5">
      <c r="U10900" s="32"/>
    </row>
    <row r="10901" spans="21:21" ht="12.5">
      <c r="U10901" s="32"/>
    </row>
    <row r="10902" spans="21:21" ht="12.5">
      <c r="U10902" s="32"/>
    </row>
    <row r="10903" spans="21:21" ht="12.5">
      <c r="U10903" s="32"/>
    </row>
    <row r="10904" spans="21:21" ht="12.5">
      <c r="U10904" s="32"/>
    </row>
    <row r="10905" spans="21:21" ht="12.5">
      <c r="U10905" s="32"/>
    </row>
    <row r="10906" spans="21:21" ht="12.5">
      <c r="U10906" s="32"/>
    </row>
    <row r="10907" spans="21:21" ht="12.5">
      <c r="U10907" s="32"/>
    </row>
    <row r="10908" spans="21:21" ht="12.5">
      <c r="U10908" s="32"/>
    </row>
    <row r="10909" spans="21:21" ht="12.5">
      <c r="U10909" s="32"/>
    </row>
    <row r="10910" spans="21:21" ht="12.5">
      <c r="U10910" s="32"/>
    </row>
    <row r="10911" spans="21:21" ht="12.5">
      <c r="U10911" s="32"/>
    </row>
    <row r="10912" spans="21:21" ht="12.5">
      <c r="U10912" s="32"/>
    </row>
    <row r="10913" spans="21:21" ht="12.5">
      <c r="U10913" s="32"/>
    </row>
    <row r="10914" spans="21:21" ht="12.5">
      <c r="U10914" s="32"/>
    </row>
    <row r="10915" spans="21:21" ht="12.5">
      <c r="U10915" s="32"/>
    </row>
    <row r="10916" spans="21:21" ht="12.5">
      <c r="U10916" s="32"/>
    </row>
    <row r="10917" spans="21:21" ht="12.5">
      <c r="U10917" s="32"/>
    </row>
    <row r="10918" spans="21:21" ht="12.5">
      <c r="U10918" s="32"/>
    </row>
    <row r="10919" spans="21:21" ht="12.5">
      <c r="U10919" s="32"/>
    </row>
    <row r="10920" spans="21:21" ht="12.5">
      <c r="U10920" s="32"/>
    </row>
    <row r="10921" spans="21:21" ht="12.5">
      <c r="U10921" s="32"/>
    </row>
    <row r="10922" spans="21:21" ht="12.5">
      <c r="U10922" s="32"/>
    </row>
    <row r="10923" spans="21:21" ht="12.5">
      <c r="U10923" s="32"/>
    </row>
    <row r="10924" spans="21:21" ht="12.5">
      <c r="U10924" s="32"/>
    </row>
    <row r="10925" spans="21:21" ht="12.5">
      <c r="U10925" s="32"/>
    </row>
    <row r="10926" spans="21:21" ht="12.5">
      <c r="U10926" s="32"/>
    </row>
    <row r="10927" spans="21:21" ht="12.5">
      <c r="U10927" s="32"/>
    </row>
    <row r="10928" spans="21:21" ht="12.5">
      <c r="U10928" s="32"/>
    </row>
    <row r="10929" spans="21:21" ht="12.5">
      <c r="U10929" s="32"/>
    </row>
    <row r="10930" spans="21:21" ht="12.5">
      <c r="U10930" s="32"/>
    </row>
    <row r="10931" spans="21:21" ht="12.5">
      <c r="U10931" s="32"/>
    </row>
    <row r="10932" spans="21:21" ht="12.5">
      <c r="U10932" s="32"/>
    </row>
    <row r="10933" spans="21:21" ht="12.5">
      <c r="U10933" s="32"/>
    </row>
    <row r="10934" spans="21:21" ht="12.5">
      <c r="U10934" s="32"/>
    </row>
    <row r="10935" spans="21:21" ht="12.5">
      <c r="U10935" s="32"/>
    </row>
    <row r="10936" spans="21:21" ht="12.5">
      <c r="U10936" s="32"/>
    </row>
    <row r="10937" spans="21:21" ht="12.5">
      <c r="U10937" s="32"/>
    </row>
    <row r="10938" spans="21:21" ht="12.5">
      <c r="U10938" s="32"/>
    </row>
    <row r="10939" spans="21:21" ht="12.5">
      <c r="U10939" s="32"/>
    </row>
    <row r="10940" spans="21:21" ht="12.5">
      <c r="U10940" s="32"/>
    </row>
    <row r="10941" spans="21:21" ht="12.5">
      <c r="U10941" s="32"/>
    </row>
    <row r="10942" spans="21:21" ht="12.5">
      <c r="U10942" s="32"/>
    </row>
    <row r="10943" spans="21:21" ht="12.5">
      <c r="U10943" s="32"/>
    </row>
    <row r="10944" spans="21:21" ht="12.5">
      <c r="U10944" s="32"/>
    </row>
    <row r="10945" spans="21:21" ht="12.5">
      <c r="U10945" s="32"/>
    </row>
    <row r="10946" spans="21:21" ht="12.5">
      <c r="U10946" s="32"/>
    </row>
    <row r="10947" spans="21:21" ht="12.5">
      <c r="U10947" s="32"/>
    </row>
    <row r="10948" spans="21:21" ht="12.5">
      <c r="U10948" s="32"/>
    </row>
    <row r="10949" spans="21:21" ht="12.5">
      <c r="U10949" s="32"/>
    </row>
    <row r="10950" spans="21:21" ht="12.5">
      <c r="U10950" s="32"/>
    </row>
    <row r="10951" spans="21:21" ht="12.5">
      <c r="U10951" s="32"/>
    </row>
    <row r="10952" spans="21:21" ht="12.5">
      <c r="U10952" s="32"/>
    </row>
    <row r="10953" spans="21:21" ht="12.5">
      <c r="U10953" s="32"/>
    </row>
    <row r="10954" spans="21:21" ht="12.5">
      <c r="U10954" s="32"/>
    </row>
    <row r="10955" spans="21:21" ht="12.5">
      <c r="U10955" s="32"/>
    </row>
    <row r="10956" spans="21:21" ht="12.5">
      <c r="U10956" s="32"/>
    </row>
    <row r="10957" spans="21:21" ht="12.5">
      <c r="U10957" s="32"/>
    </row>
    <row r="10958" spans="21:21" ht="12.5">
      <c r="U10958" s="32"/>
    </row>
    <row r="10959" spans="21:21" ht="12.5">
      <c r="U10959" s="32"/>
    </row>
    <row r="10960" spans="21:21" ht="12.5">
      <c r="U10960" s="32"/>
    </row>
    <row r="10961" spans="21:21" ht="12.5">
      <c r="U10961" s="32"/>
    </row>
    <row r="10962" spans="21:21" ht="12.5">
      <c r="U10962" s="32"/>
    </row>
    <row r="10963" spans="21:21" ht="12.5">
      <c r="U10963" s="32"/>
    </row>
    <row r="10964" spans="21:21" ht="12.5">
      <c r="U10964" s="32"/>
    </row>
    <row r="10965" spans="21:21" ht="12.5">
      <c r="U10965" s="32"/>
    </row>
    <row r="10966" spans="21:21" ht="12.5">
      <c r="U10966" s="32"/>
    </row>
    <row r="10967" spans="21:21" ht="12.5">
      <c r="U10967" s="32"/>
    </row>
    <row r="10968" spans="21:21" ht="12.5">
      <c r="U10968" s="32"/>
    </row>
    <row r="10969" spans="21:21" ht="12.5">
      <c r="U10969" s="32"/>
    </row>
    <row r="10970" spans="21:21" ht="12.5">
      <c r="U10970" s="32"/>
    </row>
    <row r="10971" spans="21:21" ht="12.5">
      <c r="U10971" s="32"/>
    </row>
    <row r="10972" spans="21:21" ht="12.5">
      <c r="U10972" s="32"/>
    </row>
    <row r="10973" spans="21:21" ht="12.5">
      <c r="U10973" s="32"/>
    </row>
    <row r="10974" spans="21:21" ht="12.5">
      <c r="U10974" s="32"/>
    </row>
    <row r="10975" spans="21:21" ht="12.5">
      <c r="U10975" s="32"/>
    </row>
    <row r="10976" spans="21:21" ht="12.5">
      <c r="U10976" s="32"/>
    </row>
    <row r="10977" spans="21:21" ht="12.5">
      <c r="U10977" s="32"/>
    </row>
    <row r="10978" spans="21:21" ht="12.5">
      <c r="U10978" s="32"/>
    </row>
    <row r="10979" spans="21:21" ht="12.5">
      <c r="U10979" s="32"/>
    </row>
    <row r="10980" spans="21:21" ht="12.5">
      <c r="U10980" s="32"/>
    </row>
    <row r="10981" spans="21:21" ht="12.5">
      <c r="U10981" s="32"/>
    </row>
    <row r="10982" spans="21:21" ht="12.5">
      <c r="U10982" s="32"/>
    </row>
    <row r="10983" spans="21:21" ht="12.5">
      <c r="U10983" s="32"/>
    </row>
    <row r="10984" spans="21:21" ht="12.5">
      <c r="U10984" s="32"/>
    </row>
    <row r="10985" spans="21:21" ht="12.5">
      <c r="U10985" s="32"/>
    </row>
    <row r="10986" spans="21:21" ht="12.5">
      <c r="U10986" s="32"/>
    </row>
    <row r="10987" spans="21:21" ht="12.5">
      <c r="U10987" s="32"/>
    </row>
    <row r="10988" spans="21:21" ht="12.5">
      <c r="U10988" s="32"/>
    </row>
    <row r="10989" spans="21:21" ht="12.5">
      <c r="U10989" s="32"/>
    </row>
    <row r="10990" spans="21:21" ht="12.5">
      <c r="U10990" s="32"/>
    </row>
    <row r="10991" spans="21:21" ht="12.5">
      <c r="U10991" s="32"/>
    </row>
    <row r="10992" spans="21:21" ht="12.5">
      <c r="U10992" s="32"/>
    </row>
    <row r="10993" spans="21:21" ht="12.5">
      <c r="U10993" s="32"/>
    </row>
    <row r="10994" spans="21:21" ht="12.5">
      <c r="U10994" s="32"/>
    </row>
    <row r="10995" spans="21:21" ht="12.5">
      <c r="U10995" s="32"/>
    </row>
    <row r="10996" spans="21:21" ht="12.5">
      <c r="U10996" s="32"/>
    </row>
    <row r="10997" spans="21:21" ht="12.5">
      <c r="U10997" s="32"/>
    </row>
    <row r="10998" spans="21:21" ht="12.5">
      <c r="U10998" s="32"/>
    </row>
    <row r="10999" spans="21:21" ht="12.5">
      <c r="U10999" s="32"/>
    </row>
    <row r="11000" spans="21:21" ht="12.5">
      <c r="U11000" s="32"/>
    </row>
    <row r="11001" spans="21:21" ht="12.5">
      <c r="U11001" s="32"/>
    </row>
    <row r="11002" spans="21:21" ht="12.5">
      <c r="U11002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Q1"/>
  <sheetViews>
    <sheetView workbookViewId="0">
      <selection activeCell="B1" sqref="B1"/>
    </sheetView>
  </sheetViews>
  <sheetFormatPr defaultColWidth="12.6328125" defaultRowHeight="15.75" customHeight="1"/>
  <sheetData>
    <row r="1" spans="1:69" ht="15.75" customHeight="1">
      <c r="A1" s="27" t="str">
        <f>B1 &amp; " " &amp; C1 &amp; " " &amp; D1</f>
        <v>First Name Middle Name Last Name</v>
      </c>
      <c r="B1" s="26" t="s">
        <v>45</v>
      </c>
      <c r="C1" s="27" t="s">
        <v>46</v>
      </c>
      <c r="D1" s="27" t="s">
        <v>47</v>
      </c>
      <c r="E1" s="27" t="s">
        <v>48</v>
      </c>
      <c r="P1" s="27" t="s">
        <v>49</v>
      </c>
      <c r="T1" s="27" t="s">
        <v>50</v>
      </c>
      <c r="V1" s="27" t="s">
        <v>51</v>
      </c>
      <c r="Z1" s="27" t="s">
        <v>52</v>
      </c>
      <c r="AD1" s="27" t="s">
        <v>53</v>
      </c>
      <c r="AE1" s="27" t="s">
        <v>54</v>
      </c>
      <c r="AF1" s="27" t="s">
        <v>55</v>
      </c>
      <c r="AN1" s="27" t="s">
        <v>56</v>
      </c>
      <c r="AP1" s="27" t="s">
        <v>57</v>
      </c>
      <c r="AR1" s="27" t="s">
        <v>0</v>
      </c>
      <c r="AZ1" s="27" t="s">
        <v>58</v>
      </c>
      <c r="BD1" s="27" t="s">
        <v>59</v>
      </c>
      <c r="BE1" s="27" t="s">
        <v>60</v>
      </c>
      <c r="BF1" s="27" t="s">
        <v>61</v>
      </c>
      <c r="BK1" s="27" t="s">
        <v>62</v>
      </c>
      <c r="BO1" s="27" t="s">
        <v>63</v>
      </c>
      <c r="BP1" s="27" t="s">
        <v>64</v>
      </c>
      <c r="BQ1" s="27" t="s">
        <v>65</v>
      </c>
    </row>
  </sheetData>
  <autoFilter ref="A1:CL2000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5"/>
  <sheetViews>
    <sheetView workbookViewId="0">
      <selection activeCell="F1" sqref="F1"/>
    </sheetView>
  </sheetViews>
  <sheetFormatPr defaultColWidth="12.6328125" defaultRowHeight="15.75" customHeight="1"/>
  <cols>
    <col min="1" max="1" width="25.08984375" customWidth="1"/>
    <col min="5" max="7" width="25.08984375" customWidth="1"/>
  </cols>
  <sheetData>
    <row r="1" spans="1:7">
      <c r="A1" s="29" t="str">
        <f>contacts!A1</f>
        <v>First Name Middle Name Last Name</v>
      </c>
      <c r="B1" s="49" t="s">
        <v>5</v>
      </c>
      <c r="C1" s="39"/>
      <c r="D1" s="39"/>
      <c r="E1" s="37" t="s">
        <v>66</v>
      </c>
      <c r="F1" s="26"/>
    </row>
    <row r="2" spans="1:7">
      <c r="A2" s="29" t="str">
        <f>contacts!AR1</f>
        <v>Company</v>
      </c>
      <c r="B2" s="27" t="str">
        <f>VLOOKUP(B1, contacts!A:CJ, 44, FALSE)</f>
        <v>Company</v>
      </c>
      <c r="E2" s="29" t="str">
        <f>contacts!AR1</f>
        <v>Company</v>
      </c>
    </row>
    <row r="3" spans="1:7">
      <c r="A3" s="29" t="str">
        <f>contacts!AZ1</f>
        <v>Business Street</v>
      </c>
      <c r="B3" s="27" t="str">
        <f>VLOOKUP(B1, contacts!A:CJ, 52, FALSE)</f>
        <v>Business Street</v>
      </c>
      <c r="E3" s="29" t="str">
        <f>contacts!AZ1</f>
        <v>Business Street</v>
      </c>
    </row>
    <row r="4" spans="1:7">
      <c r="A4" s="29" t="str">
        <f>contacts!BD1</f>
        <v>Business City</v>
      </c>
      <c r="B4" s="27" t="str">
        <f>VLOOKUP(B1, contacts!A:CJ, 56, FALSE) &amp; ", " &amp; VLOOKUP(B1, contacts!A:CJ, 57, FALSE) &amp; "   " &amp; VLOOKUP(B1, contacts!A:CJ, 58, FALSE)</f>
        <v>Business City, Business State   Business Postal Code</v>
      </c>
      <c r="E4" s="29" t="str">
        <f>contacts!BD1</f>
        <v>Business City</v>
      </c>
    </row>
    <row r="5" spans="1:7">
      <c r="A5" s="29" t="str">
        <f>contacts!P1</f>
        <v>E-mail Address</v>
      </c>
      <c r="B5" s="30" t="str">
        <f>HYPERLINK(VLOOKUP(B1, contacts!A:CJ, 16, FALSE))</f>
        <v>E-mail Address</v>
      </c>
      <c r="E5" s="29" t="str">
        <f>contacts!P1</f>
        <v>E-mail Address</v>
      </c>
    </row>
    <row r="6" spans="1:7">
      <c r="A6" s="29" t="str">
        <f>contacts!AN1</f>
        <v>Business Phone</v>
      </c>
      <c r="B6" s="27" t="str">
        <f>VLOOKUP(B1, contacts!A:CJ, 40, FALSE)</f>
        <v>Business Phone</v>
      </c>
      <c r="E6" s="29" t="str">
        <f>contacts!AN1</f>
        <v>Business Phone</v>
      </c>
    </row>
    <row r="7" spans="1:7">
      <c r="A7" s="29" t="str">
        <f>contacts!AP1</f>
        <v>Business Fax</v>
      </c>
      <c r="B7" s="27" t="str">
        <f>VLOOKUP(B1, contacts!A:CJ, 42, FALSE)</f>
        <v>Business Fax</v>
      </c>
      <c r="E7" s="29" t="str">
        <f>contacts!AP1</f>
        <v>Business Fax</v>
      </c>
    </row>
    <row r="8" spans="1:7">
      <c r="A8" s="29" t="str">
        <f>contacts!Z1</f>
        <v>Home Street</v>
      </c>
      <c r="B8" s="27" t="str">
        <f>VLOOKUP(B1, contacts!A:CJ, 26, FALSE)</f>
        <v>Home Street</v>
      </c>
      <c r="E8" s="29" t="str">
        <f>contacts!Z1</f>
        <v>Home Street</v>
      </c>
    </row>
    <row r="9" spans="1:7">
      <c r="A9" s="29" t="str">
        <f>contacts!AD1</f>
        <v>Home City</v>
      </c>
      <c r="B9" s="27" t="str">
        <f>VLOOKUP(B1, contacts!A:CJ, 30, FALSE) &amp; ", " &amp; VLOOKUP(B1, contacts!A:CJ, 31, FALSE) &amp; "   " &amp; VLOOKUP(B1, contacts!A:CJ, 32, FALSE)</f>
        <v>Home City, Home State   Home Postal Code</v>
      </c>
      <c r="E9" s="29" t="str">
        <f>contacts!AD1</f>
        <v>Home City</v>
      </c>
    </row>
    <row r="10" spans="1:7">
      <c r="A10" s="29" t="str">
        <f>contacts!BK1</f>
        <v>Other Street</v>
      </c>
      <c r="B10" s="27" t="str">
        <f>VLOOKUP(B1, contacts!A:CJ, 63, FALSE)</f>
        <v>Other Street</v>
      </c>
      <c r="E10" s="29" t="str">
        <f>contacts!BK1</f>
        <v>Other Street</v>
      </c>
    </row>
    <row r="11" spans="1:7">
      <c r="A11" s="29" t="str">
        <f>contacts!BO1</f>
        <v>Other City</v>
      </c>
      <c r="B11" s="27" t="str">
        <f>VLOOKUP(B1, contacts!A:CJ, 67, FALSE) &amp; ", " &amp; VLOOKUP(B1, contacts!A:CJ, 68, FALSE) &amp; "   " &amp; VLOOKUP(B1, contacts!A:CJ, 69, FALSE)</f>
        <v>Other City, Other State   Other Postal Code</v>
      </c>
      <c r="E11" s="29" t="str">
        <f>contacts!BO1</f>
        <v>Other City</v>
      </c>
    </row>
    <row r="12" spans="1:7">
      <c r="A12" s="29" t="str">
        <f>contacts!E1</f>
        <v>Title</v>
      </c>
      <c r="B12" s="27" t="str">
        <f>VLOOKUP(B1, contacts!A:CJ, 5, FALSE)</f>
        <v>Title</v>
      </c>
      <c r="E12" s="29" t="str">
        <f>contacts!E1</f>
        <v>Title</v>
      </c>
    </row>
    <row r="13" spans="1:7">
      <c r="A13" s="29" t="str">
        <f>contacts!T1</f>
        <v>Home Phone</v>
      </c>
      <c r="B13" s="27" t="str">
        <f>VLOOKUP(B1, contacts!A:CJ, 20, FALSE)</f>
        <v>Home Phone</v>
      </c>
      <c r="E13" s="29" t="str">
        <f>contacts!T1</f>
        <v>Home Phone</v>
      </c>
    </row>
    <row r="14" spans="1:7">
      <c r="A14" s="29" t="str">
        <f>contacts!V1</f>
        <v>Mobile Phone</v>
      </c>
      <c r="B14" s="27" t="str">
        <f>VLOOKUP(B1, contacts!A:CJ, 22, FALSE)</f>
        <v>Mobile Phone</v>
      </c>
      <c r="E14" s="29" t="str">
        <f>contacts!V1</f>
        <v>Mobile Phone</v>
      </c>
    </row>
    <row r="15" spans="1:7" ht="15.75" customHeight="1">
      <c r="F15" s="27" t="s">
        <v>67</v>
      </c>
      <c r="G15" s="27" t="s">
        <v>68</v>
      </c>
    </row>
  </sheetData>
  <mergeCells count="1">
    <mergeCell ref="B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A00-000000000000}">
          <x14:formula1>
            <xm:f>contacts!$A:$A</xm:f>
          </x14:formula1>
          <xm:sqref>B1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000"/>
  <sheetViews>
    <sheetView workbookViewId="0">
      <selection activeCell="B1" sqref="B1"/>
    </sheetView>
  </sheetViews>
  <sheetFormatPr defaultColWidth="12.6328125" defaultRowHeight="15.75" customHeight="1"/>
  <cols>
    <col min="1" max="2" width="25.08984375" customWidth="1"/>
  </cols>
  <sheetData>
    <row r="1" spans="1:10">
      <c r="A1" s="29" t="str">
        <f>contacts!B1</f>
        <v>First Name</v>
      </c>
      <c r="B1" s="26"/>
    </row>
    <row r="2" spans="1:10">
      <c r="A2" s="29" t="str">
        <f>contacts!C1</f>
        <v>Middle Name</v>
      </c>
      <c r="B2" s="26"/>
    </row>
    <row r="3" spans="1:10">
      <c r="A3" s="29" t="str">
        <f>contacts!D1</f>
        <v>Last Name</v>
      </c>
      <c r="B3" s="26"/>
      <c r="F3" s="51" t="s">
        <v>69</v>
      </c>
      <c r="G3" s="39"/>
      <c r="H3" s="39"/>
      <c r="I3" s="39"/>
      <c r="J3" s="39"/>
    </row>
    <row r="4" spans="1:10">
      <c r="A4" s="29" t="str">
        <f>contacts!AR1</f>
        <v>Company</v>
      </c>
      <c r="B4" s="26"/>
      <c r="F4" s="39"/>
      <c r="G4" s="39"/>
      <c r="H4" s="39"/>
      <c r="I4" s="39"/>
      <c r="J4" s="39"/>
    </row>
    <row r="5" spans="1:10">
      <c r="A5" s="29" t="str">
        <f>contacts!AZ1</f>
        <v>Business Street</v>
      </c>
      <c r="B5" s="26"/>
      <c r="F5" s="39"/>
      <c r="G5" s="39"/>
      <c r="H5" s="39"/>
      <c r="I5" s="39"/>
      <c r="J5" s="39"/>
    </row>
    <row r="6" spans="1:10">
      <c r="A6" s="29" t="str">
        <f>contacts!BD1</f>
        <v>Business City</v>
      </c>
      <c r="B6" s="26"/>
      <c r="F6" s="39"/>
      <c r="G6" s="39"/>
      <c r="H6" s="39"/>
      <c r="I6" s="39"/>
      <c r="J6" s="39"/>
    </row>
    <row r="7" spans="1:10">
      <c r="A7" s="29" t="str">
        <f>contacts!BE1</f>
        <v>Business State</v>
      </c>
      <c r="B7" s="26"/>
      <c r="F7" s="39"/>
      <c r="G7" s="39"/>
      <c r="H7" s="39"/>
      <c r="I7" s="39"/>
      <c r="J7" s="39"/>
    </row>
    <row r="8" spans="1:10">
      <c r="A8" s="29" t="str">
        <f>contacts!BF1</f>
        <v>Business Postal Code</v>
      </c>
      <c r="B8" s="26"/>
      <c r="F8" s="39"/>
      <c r="G8" s="39"/>
      <c r="H8" s="39"/>
      <c r="I8" s="39"/>
      <c r="J8" s="39"/>
    </row>
    <row r="9" spans="1:10">
      <c r="A9" s="29" t="str">
        <f>contacts!P1</f>
        <v>E-mail Address</v>
      </c>
      <c r="B9" s="26"/>
      <c r="F9" s="39"/>
      <c r="G9" s="39"/>
      <c r="H9" s="39"/>
      <c r="I9" s="39"/>
      <c r="J9" s="39"/>
    </row>
    <row r="10" spans="1:10">
      <c r="A10" s="29" t="str">
        <f>contacts!AN1</f>
        <v>Business Phone</v>
      </c>
      <c r="B10" s="26"/>
      <c r="F10" s="39"/>
      <c r="G10" s="39"/>
      <c r="H10" s="39"/>
      <c r="I10" s="39"/>
      <c r="J10" s="39"/>
    </row>
    <row r="11" spans="1:10">
      <c r="A11" s="29" t="str">
        <f>contacts!AP1</f>
        <v>Business Fax</v>
      </c>
      <c r="B11" s="26"/>
      <c r="F11" s="39"/>
      <c r="G11" s="39"/>
      <c r="H11" s="39"/>
      <c r="I11" s="39"/>
      <c r="J11" s="39"/>
    </row>
    <row r="12" spans="1:10">
      <c r="A12" s="29" t="str">
        <f>contacts!Z1</f>
        <v>Home Street</v>
      </c>
      <c r="B12" s="26"/>
      <c r="F12" s="39"/>
      <c r="G12" s="39"/>
      <c r="H12" s="39"/>
      <c r="I12" s="39"/>
      <c r="J12" s="39"/>
    </row>
    <row r="13" spans="1:10">
      <c r="A13" s="29" t="str">
        <f>contacts!AD1</f>
        <v>Home City</v>
      </c>
      <c r="B13" s="26"/>
    </row>
    <row r="14" spans="1:10">
      <c r="A14" s="29" t="str">
        <f>contacts!AE1</f>
        <v>Home State</v>
      </c>
      <c r="B14" s="26"/>
    </row>
    <row r="15" spans="1:10">
      <c r="A15" s="29" t="str">
        <f>contacts!AF1</f>
        <v>Home Postal Code</v>
      </c>
      <c r="B15" s="26"/>
    </row>
    <row r="16" spans="1:10">
      <c r="A16" s="29" t="str">
        <f>contacts!BK1</f>
        <v>Other Street</v>
      </c>
      <c r="B16" s="26"/>
    </row>
    <row r="17" spans="1:2">
      <c r="A17" s="29" t="str">
        <f>contacts!BO1</f>
        <v>Other City</v>
      </c>
      <c r="B17" s="26"/>
    </row>
    <row r="18" spans="1:2">
      <c r="A18" s="29" t="str">
        <f>contacts!BP1</f>
        <v>Other State</v>
      </c>
      <c r="B18" s="26"/>
    </row>
    <row r="19" spans="1:2">
      <c r="A19" s="29" t="str">
        <f>contacts!BQ1</f>
        <v>Other Postal Code</v>
      </c>
      <c r="B19" s="26"/>
    </row>
    <row r="20" spans="1:2">
      <c r="A20" s="29" t="str">
        <f>contacts!E1</f>
        <v>Title</v>
      </c>
      <c r="B20" s="26"/>
    </row>
    <row r="21" spans="1:2">
      <c r="A21" s="29" t="str">
        <f>contacts!T1</f>
        <v>Home Phone</v>
      </c>
      <c r="B21" s="26"/>
    </row>
    <row r="22" spans="1:2">
      <c r="A22" s="29" t="str">
        <f>contacts!V1</f>
        <v>Mobile Phone</v>
      </c>
      <c r="B22" s="26"/>
    </row>
    <row r="23" spans="1:2">
      <c r="A23" s="29"/>
      <c r="B23" s="27" t="s">
        <v>70</v>
      </c>
    </row>
    <row r="24" spans="1:2">
      <c r="A24" s="29"/>
    </row>
    <row r="25" spans="1:2">
      <c r="A25" s="29"/>
    </row>
    <row r="26" spans="1:2">
      <c r="A26" s="29"/>
    </row>
    <row r="27" spans="1:2">
      <c r="A27" s="29"/>
    </row>
    <row r="28" spans="1:2">
      <c r="A28" s="29"/>
    </row>
    <row r="29" spans="1:2">
      <c r="A29" s="29"/>
    </row>
    <row r="30" spans="1:2">
      <c r="A30" s="29"/>
    </row>
    <row r="31" spans="1:2">
      <c r="A31" s="29"/>
    </row>
    <row r="32" spans="1:2">
      <c r="A32" s="29"/>
    </row>
    <row r="33" spans="1:1">
      <c r="A33" s="29"/>
    </row>
    <row r="34" spans="1:1">
      <c r="A34" s="29"/>
    </row>
    <row r="35" spans="1:1">
      <c r="A35" s="29"/>
    </row>
    <row r="36" spans="1:1">
      <c r="A36" s="29"/>
    </row>
    <row r="37" spans="1:1">
      <c r="A37" s="29"/>
    </row>
    <row r="38" spans="1:1">
      <c r="A38" s="29"/>
    </row>
    <row r="39" spans="1:1">
      <c r="A39" s="29"/>
    </row>
    <row r="40" spans="1:1">
      <c r="A40" s="29"/>
    </row>
    <row r="41" spans="1:1">
      <c r="A41" s="29"/>
    </row>
    <row r="42" spans="1:1">
      <c r="A42" s="29"/>
    </row>
    <row r="43" spans="1:1">
      <c r="A43" s="29"/>
    </row>
    <row r="44" spans="1:1">
      <c r="A44" s="29"/>
    </row>
    <row r="45" spans="1:1">
      <c r="A45" s="29"/>
    </row>
    <row r="46" spans="1:1">
      <c r="A46" s="29"/>
    </row>
    <row r="47" spans="1:1">
      <c r="A47" s="29"/>
    </row>
    <row r="48" spans="1:1">
      <c r="A48" s="29"/>
    </row>
    <row r="49" spans="1:1">
      <c r="A49" s="29"/>
    </row>
    <row r="50" spans="1:1">
      <c r="A50" s="29"/>
    </row>
    <row r="51" spans="1:1">
      <c r="A51" s="29"/>
    </row>
    <row r="52" spans="1:1">
      <c r="A52" s="29"/>
    </row>
    <row r="53" spans="1:1">
      <c r="A53" s="29"/>
    </row>
    <row r="54" spans="1:1">
      <c r="A54" s="29"/>
    </row>
    <row r="55" spans="1:1">
      <c r="A55" s="29"/>
    </row>
    <row r="56" spans="1:1">
      <c r="A56" s="29"/>
    </row>
    <row r="57" spans="1:1">
      <c r="A57" s="29"/>
    </row>
    <row r="58" spans="1:1">
      <c r="A58" s="29"/>
    </row>
    <row r="59" spans="1:1">
      <c r="A59" s="29"/>
    </row>
    <row r="60" spans="1:1">
      <c r="A60" s="29"/>
    </row>
    <row r="61" spans="1:1">
      <c r="A61" s="29"/>
    </row>
    <row r="62" spans="1:1">
      <c r="A62" s="29"/>
    </row>
    <row r="63" spans="1:1">
      <c r="A63" s="29"/>
    </row>
    <row r="64" spans="1:1">
      <c r="A64" s="29"/>
    </row>
    <row r="65" spans="1:1">
      <c r="A65" s="29"/>
    </row>
    <row r="66" spans="1:1">
      <c r="A66" s="29"/>
    </row>
    <row r="67" spans="1:1">
      <c r="A67" s="29"/>
    </row>
    <row r="68" spans="1:1">
      <c r="A68" s="29"/>
    </row>
    <row r="69" spans="1:1">
      <c r="A69" s="29"/>
    </row>
    <row r="70" spans="1:1">
      <c r="A70" s="29"/>
    </row>
    <row r="71" spans="1:1">
      <c r="A71" s="29"/>
    </row>
    <row r="72" spans="1:1">
      <c r="A72" s="29"/>
    </row>
    <row r="73" spans="1:1">
      <c r="A73" s="29"/>
    </row>
    <row r="74" spans="1:1">
      <c r="A74" s="29"/>
    </row>
    <row r="75" spans="1:1">
      <c r="A75" s="29"/>
    </row>
    <row r="76" spans="1:1">
      <c r="A76" s="29"/>
    </row>
    <row r="77" spans="1:1">
      <c r="A77" s="29"/>
    </row>
    <row r="78" spans="1:1">
      <c r="A78" s="29"/>
    </row>
    <row r="79" spans="1:1">
      <c r="A79" s="29"/>
    </row>
    <row r="80" spans="1:1">
      <c r="A80" s="29"/>
    </row>
    <row r="81" spans="1:1">
      <c r="A81" s="29"/>
    </row>
    <row r="82" spans="1:1">
      <c r="A82" s="29"/>
    </row>
    <row r="83" spans="1:1">
      <c r="A83" s="29"/>
    </row>
    <row r="84" spans="1:1">
      <c r="A84" s="29"/>
    </row>
    <row r="85" spans="1:1">
      <c r="A85" s="29"/>
    </row>
    <row r="86" spans="1:1">
      <c r="A86" s="29"/>
    </row>
    <row r="87" spans="1:1">
      <c r="A87" s="29"/>
    </row>
    <row r="88" spans="1:1">
      <c r="A88" s="29"/>
    </row>
    <row r="89" spans="1:1">
      <c r="A89" s="29"/>
    </row>
    <row r="90" spans="1:1">
      <c r="A90" s="29"/>
    </row>
    <row r="91" spans="1:1">
      <c r="A91" s="29"/>
    </row>
    <row r="92" spans="1:1">
      <c r="A92" s="29"/>
    </row>
    <row r="93" spans="1:1">
      <c r="A93" s="29"/>
    </row>
    <row r="94" spans="1:1">
      <c r="A94" s="29"/>
    </row>
    <row r="95" spans="1:1">
      <c r="A95" s="29"/>
    </row>
    <row r="96" spans="1:1">
      <c r="A96" s="29"/>
    </row>
    <row r="97" spans="1:1">
      <c r="A97" s="29"/>
    </row>
    <row r="98" spans="1:1">
      <c r="A98" s="29"/>
    </row>
    <row r="99" spans="1:1">
      <c r="A99" s="29"/>
    </row>
    <row r="100" spans="1:1">
      <c r="A100" s="29"/>
    </row>
    <row r="101" spans="1:1">
      <c r="A101" s="29"/>
    </row>
    <row r="102" spans="1:1">
      <c r="A102" s="29"/>
    </row>
    <row r="103" spans="1:1">
      <c r="A103" s="29"/>
    </row>
    <row r="104" spans="1:1">
      <c r="A104" s="29"/>
    </row>
    <row r="105" spans="1:1">
      <c r="A105" s="29"/>
    </row>
    <row r="106" spans="1:1">
      <c r="A106" s="29"/>
    </row>
    <row r="107" spans="1:1">
      <c r="A107" s="29"/>
    </row>
    <row r="108" spans="1:1">
      <c r="A108" s="29"/>
    </row>
    <row r="109" spans="1:1">
      <c r="A109" s="29"/>
    </row>
    <row r="110" spans="1:1">
      <c r="A110" s="29"/>
    </row>
    <row r="111" spans="1:1">
      <c r="A111" s="29"/>
    </row>
    <row r="112" spans="1:1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29"/>
    </row>
    <row r="117" spans="1:1">
      <c r="A117" s="29"/>
    </row>
    <row r="118" spans="1:1">
      <c r="A118" s="29"/>
    </row>
    <row r="119" spans="1:1">
      <c r="A119" s="29"/>
    </row>
    <row r="120" spans="1:1">
      <c r="A120" s="29"/>
    </row>
    <row r="121" spans="1:1">
      <c r="A121" s="29"/>
    </row>
    <row r="122" spans="1:1">
      <c r="A122" s="29"/>
    </row>
    <row r="123" spans="1:1">
      <c r="A123" s="29"/>
    </row>
    <row r="124" spans="1:1">
      <c r="A124" s="29"/>
    </row>
    <row r="125" spans="1:1">
      <c r="A125" s="29"/>
    </row>
    <row r="126" spans="1:1">
      <c r="A126" s="29"/>
    </row>
    <row r="127" spans="1:1">
      <c r="A127" s="29"/>
    </row>
    <row r="128" spans="1:1">
      <c r="A128" s="29"/>
    </row>
    <row r="129" spans="1:1">
      <c r="A129" s="29"/>
    </row>
    <row r="130" spans="1:1">
      <c r="A130" s="29"/>
    </row>
    <row r="131" spans="1:1">
      <c r="A131" s="29"/>
    </row>
    <row r="132" spans="1:1">
      <c r="A132" s="29"/>
    </row>
    <row r="133" spans="1:1">
      <c r="A133" s="29"/>
    </row>
    <row r="134" spans="1:1">
      <c r="A134" s="29"/>
    </row>
    <row r="135" spans="1:1">
      <c r="A135" s="29"/>
    </row>
    <row r="136" spans="1:1">
      <c r="A136" s="29"/>
    </row>
    <row r="137" spans="1:1">
      <c r="A137" s="29"/>
    </row>
    <row r="138" spans="1:1">
      <c r="A138" s="29"/>
    </row>
    <row r="139" spans="1:1">
      <c r="A139" s="29"/>
    </row>
    <row r="140" spans="1:1">
      <c r="A140" s="29"/>
    </row>
    <row r="141" spans="1:1">
      <c r="A141" s="29"/>
    </row>
    <row r="142" spans="1:1">
      <c r="A142" s="29"/>
    </row>
    <row r="143" spans="1:1">
      <c r="A143" s="29"/>
    </row>
    <row r="144" spans="1:1">
      <c r="A144" s="29"/>
    </row>
    <row r="145" spans="1:1">
      <c r="A145" s="29"/>
    </row>
    <row r="146" spans="1:1">
      <c r="A146" s="29"/>
    </row>
    <row r="147" spans="1:1">
      <c r="A147" s="29"/>
    </row>
    <row r="148" spans="1:1">
      <c r="A148" s="29"/>
    </row>
    <row r="149" spans="1:1">
      <c r="A149" s="29"/>
    </row>
    <row r="150" spans="1:1">
      <c r="A150" s="29"/>
    </row>
    <row r="151" spans="1:1">
      <c r="A151" s="29"/>
    </row>
    <row r="152" spans="1:1">
      <c r="A152" s="29"/>
    </row>
    <row r="153" spans="1:1">
      <c r="A153" s="29"/>
    </row>
    <row r="154" spans="1:1">
      <c r="A154" s="29"/>
    </row>
    <row r="155" spans="1:1">
      <c r="A155" s="29"/>
    </row>
    <row r="156" spans="1:1">
      <c r="A156" s="29"/>
    </row>
    <row r="157" spans="1:1">
      <c r="A157" s="29"/>
    </row>
    <row r="158" spans="1:1">
      <c r="A158" s="29"/>
    </row>
    <row r="159" spans="1:1">
      <c r="A159" s="29"/>
    </row>
    <row r="160" spans="1:1">
      <c r="A160" s="29"/>
    </row>
    <row r="161" spans="1:1">
      <c r="A161" s="29"/>
    </row>
    <row r="162" spans="1:1">
      <c r="A162" s="29"/>
    </row>
    <row r="163" spans="1:1">
      <c r="A163" s="29"/>
    </row>
    <row r="164" spans="1:1">
      <c r="A164" s="29"/>
    </row>
    <row r="165" spans="1:1">
      <c r="A165" s="29"/>
    </row>
    <row r="166" spans="1:1">
      <c r="A166" s="29"/>
    </row>
    <row r="167" spans="1:1">
      <c r="A167" s="29"/>
    </row>
    <row r="168" spans="1:1">
      <c r="A168" s="29"/>
    </row>
    <row r="169" spans="1:1">
      <c r="A169" s="29"/>
    </row>
    <row r="170" spans="1:1">
      <c r="A170" s="29"/>
    </row>
    <row r="171" spans="1:1">
      <c r="A171" s="29"/>
    </row>
    <row r="172" spans="1:1">
      <c r="A172" s="29"/>
    </row>
    <row r="173" spans="1:1">
      <c r="A173" s="29"/>
    </row>
    <row r="174" spans="1:1">
      <c r="A174" s="29"/>
    </row>
    <row r="175" spans="1:1">
      <c r="A175" s="29"/>
    </row>
    <row r="176" spans="1:1">
      <c r="A176" s="29"/>
    </row>
    <row r="177" spans="1:1">
      <c r="A177" s="29"/>
    </row>
    <row r="178" spans="1:1">
      <c r="A178" s="29"/>
    </row>
    <row r="179" spans="1:1">
      <c r="A179" s="29"/>
    </row>
    <row r="180" spans="1:1">
      <c r="A180" s="29"/>
    </row>
    <row r="181" spans="1:1">
      <c r="A181" s="29"/>
    </row>
    <row r="182" spans="1:1">
      <c r="A182" s="29"/>
    </row>
    <row r="183" spans="1:1">
      <c r="A183" s="29"/>
    </row>
    <row r="184" spans="1:1">
      <c r="A184" s="29"/>
    </row>
    <row r="185" spans="1:1">
      <c r="A185" s="29"/>
    </row>
    <row r="186" spans="1:1">
      <c r="A186" s="29"/>
    </row>
    <row r="187" spans="1:1">
      <c r="A187" s="29"/>
    </row>
    <row r="188" spans="1:1">
      <c r="A188" s="29"/>
    </row>
    <row r="189" spans="1:1">
      <c r="A189" s="29"/>
    </row>
    <row r="190" spans="1:1">
      <c r="A190" s="29"/>
    </row>
    <row r="191" spans="1:1">
      <c r="A191" s="29"/>
    </row>
    <row r="192" spans="1:1">
      <c r="A192" s="29"/>
    </row>
    <row r="193" spans="1:1">
      <c r="A193" s="29"/>
    </row>
    <row r="194" spans="1:1">
      <c r="A194" s="29"/>
    </row>
    <row r="195" spans="1:1">
      <c r="A195" s="29"/>
    </row>
    <row r="196" spans="1:1">
      <c r="A196" s="29"/>
    </row>
    <row r="197" spans="1:1">
      <c r="A197" s="29"/>
    </row>
    <row r="198" spans="1:1">
      <c r="A198" s="29"/>
    </row>
    <row r="199" spans="1:1">
      <c r="A199" s="29"/>
    </row>
    <row r="200" spans="1:1">
      <c r="A200" s="29"/>
    </row>
    <row r="201" spans="1:1">
      <c r="A201" s="29"/>
    </row>
    <row r="202" spans="1:1">
      <c r="A202" s="29"/>
    </row>
    <row r="203" spans="1:1">
      <c r="A203" s="29"/>
    </row>
    <row r="204" spans="1:1">
      <c r="A204" s="29"/>
    </row>
    <row r="205" spans="1:1">
      <c r="A205" s="29"/>
    </row>
    <row r="206" spans="1:1">
      <c r="A206" s="29"/>
    </row>
    <row r="207" spans="1:1">
      <c r="A207" s="29"/>
    </row>
    <row r="208" spans="1:1">
      <c r="A208" s="29"/>
    </row>
    <row r="209" spans="1:1">
      <c r="A209" s="29"/>
    </row>
    <row r="210" spans="1:1">
      <c r="A210" s="29"/>
    </row>
    <row r="211" spans="1:1">
      <c r="A211" s="29"/>
    </row>
    <row r="212" spans="1:1">
      <c r="A212" s="29"/>
    </row>
    <row r="213" spans="1:1">
      <c r="A213" s="29"/>
    </row>
    <row r="214" spans="1:1">
      <c r="A214" s="29"/>
    </row>
    <row r="215" spans="1:1">
      <c r="A215" s="29"/>
    </row>
    <row r="216" spans="1:1">
      <c r="A216" s="29"/>
    </row>
    <row r="217" spans="1:1">
      <c r="A217" s="29"/>
    </row>
    <row r="218" spans="1:1">
      <c r="A218" s="29"/>
    </row>
    <row r="219" spans="1:1">
      <c r="A219" s="29"/>
    </row>
    <row r="220" spans="1:1">
      <c r="A220" s="29"/>
    </row>
    <row r="221" spans="1:1">
      <c r="A221" s="29"/>
    </row>
    <row r="222" spans="1:1">
      <c r="A222" s="29"/>
    </row>
    <row r="223" spans="1:1">
      <c r="A223" s="29"/>
    </row>
    <row r="224" spans="1:1">
      <c r="A224" s="29"/>
    </row>
    <row r="225" spans="1:1">
      <c r="A225" s="29"/>
    </row>
    <row r="226" spans="1:1">
      <c r="A226" s="29"/>
    </row>
    <row r="227" spans="1:1">
      <c r="A227" s="29"/>
    </row>
    <row r="228" spans="1:1">
      <c r="A228" s="29"/>
    </row>
    <row r="229" spans="1:1">
      <c r="A229" s="29"/>
    </row>
    <row r="230" spans="1:1">
      <c r="A230" s="29"/>
    </row>
    <row r="231" spans="1:1">
      <c r="A231" s="29"/>
    </row>
    <row r="232" spans="1:1">
      <c r="A232" s="29"/>
    </row>
    <row r="233" spans="1:1">
      <c r="A233" s="29"/>
    </row>
    <row r="234" spans="1:1">
      <c r="A234" s="29"/>
    </row>
    <row r="235" spans="1:1">
      <c r="A235" s="29"/>
    </row>
    <row r="236" spans="1:1">
      <c r="A236" s="29"/>
    </row>
    <row r="237" spans="1:1">
      <c r="A237" s="29"/>
    </row>
    <row r="238" spans="1:1">
      <c r="A238" s="29"/>
    </row>
    <row r="239" spans="1:1">
      <c r="A239" s="29"/>
    </row>
    <row r="240" spans="1:1">
      <c r="A240" s="29"/>
    </row>
    <row r="241" spans="1:1">
      <c r="A241" s="29"/>
    </row>
    <row r="242" spans="1:1">
      <c r="A242" s="29"/>
    </row>
    <row r="243" spans="1:1">
      <c r="A243" s="29"/>
    </row>
    <row r="244" spans="1:1">
      <c r="A244" s="29"/>
    </row>
    <row r="245" spans="1:1">
      <c r="A245" s="29"/>
    </row>
    <row r="246" spans="1:1">
      <c r="A246" s="29"/>
    </row>
    <row r="247" spans="1:1">
      <c r="A247" s="29"/>
    </row>
    <row r="248" spans="1:1">
      <c r="A248" s="29"/>
    </row>
    <row r="249" spans="1:1">
      <c r="A249" s="29"/>
    </row>
    <row r="250" spans="1:1">
      <c r="A250" s="29"/>
    </row>
    <row r="251" spans="1:1">
      <c r="A251" s="29"/>
    </row>
    <row r="252" spans="1:1">
      <c r="A252" s="29"/>
    </row>
    <row r="253" spans="1:1">
      <c r="A253" s="29"/>
    </row>
    <row r="254" spans="1:1">
      <c r="A254" s="29"/>
    </row>
    <row r="255" spans="1:1">
      <c r="A255" s="29"/>
    </row>
    <row r="256" spans="1:1">
      <c r="A256" s="29"/>
    </row>
    <row r="257" spans="1:1">
      <c r="A257" s="29"/>
    </row>
    <row r="258" spans="1:1">
      <c r="A258" s="29"/>
    </row>
    <row r="259" spans="1:1">
      <c r="A259" s="29"/>
    </row>
    <row r="260" spans="1:1">
      <c r="A260" s="29"/>
    </row>
    <row r="261" spans="1:1">
      <c r="A261" s="29"/>
    </row>
    <row r="262" spans="1:1">
      <c r="A262" s="29"/>
    </row>
    <row r="263" spans="1:1">
      <c r="A263" s="29"/>
    </row>
    <row r="264" spans="1:1">
      <c r="A264" s="29"/>
    </row>
    <row r="265" spans="1:1">
      <c r="A265" s="29"/>
    </row>
    <row r="266" spans="1:1">
      <c r="A266" s="29"/>
    </row>
    <row r="267" spans="1:1">
      <c r="A267" s="29"/>
    </row>
    <row r="268" spans="1:1">
      <c r="A268" s="29"/>
    </row>
    <row r="269" spans="1:1">
      <c r="A269" s="29"/>
    </row>
    <row r="270" spans="1:1">
      <c r="A270" s="29"/>
    </row>
    <row r="271" spans="1:1">
      <c r="A271" s="29"/>
    </row>
    <row r="272" spans="1:1">
      <c r="A272" s="29"/>
    </row>
    <row r="273" spans="1:1">
      <c r="A273" s="29"/>
    </row>
    <row r="274" spans="1:1">
      <c r="A274" s="29"/>
    </row>
    <row r="275" spans="1:1">
      <c r="A275" s="29"/>
    </row>
    <row r="276" spans="1:1">
      <c r="A276" s="29"/>
    </row>
    <row r="277" spans="1:1">
      <c r="A277" s="29"/>
    </row>
    <row r="278" spans="1:1">
      <c r="A278" s="29"/>
    </row>
    <row r="279" spans="1:1">
      <c r="A279" s="29"/>
    </row>
    <row r="280" spans="1:1">
      <c r="A280" s="29"/>
    </row>
    <row r="281" spans="1:1">
      <c r="A281" s="29"/>
    </row>
    <row r="282" spans="1:1">
      <c r="A282" s="29"/>
    </row>
    <row r="283" spans="1:1">
      <c r="A283" s="29"/>
    </row>
    <row r="284" spans="1:1">
      <c r="A284" s="29"/>
    </row>
    <row r="285" spans="1:1">
      <c r="A285" s="29"/>
    </row>
    <row r="286" spans="1:1">
      <c r="A286" s="29"/>
    </row>
    <row r="287" spans="1:1">
      <c r="A287" s="29"/>
    </row>
    <row r="288" spans="1:1">
      <c r="A288" s="29"/>
    </row>
    <row r="289" spans="1:1">
      <c r="A289" s="29"/>
    </row>
    <row r="290" spans="1:1">
      <c r="A290" s="29"/>
    </row>
    <row r="291" spans="1:1">
      <c r="A291" s="29"/>
    </row>
    <row r="292" spans="1:1">
      <c r="A292" s="29"/>
    </row>
    <row r="293" spans="1:1">
      <c r="A293" s="29"/>
    </row>
    <row r="294" spans="1:1">
      <c r="A294" s="29"/>
    </row>
    <row r="295" spans="1:1">
      <c r="A295" s="29"/>
    </row>
    <row r="296" spans="1:1">
      <c r="A296" s="29"/>
    </row>
    <row r="297" spans="1:1">
      <c r="A297" s="29"/>
    </row>
    <row r="298" spans="1:1">
      <c r="A298" s="29"/>
    </row>
    <row r="299" spans="1:1">
      <c r="A299" s="29"/>
    </row>
    <row r="300" spans="1:1">
      <c r="A300" s="29"/>
    </row>
    <row r="301" spans="1:1">
      <c r="A301" s="29"/>
    </row>
    <row r="302" spans="1:1">
      <c r="A302" s="29"/>
    </row>
    <row r="303" spans="1:1">
      <c r="A303" s="29"/>
    </row>
    <row r="304" spans="1:1">
      <c r="A304" s="29"/>
    </row>
    <row r="305" spans="1:1">
      <c r="A305" s="29"/>
    </row>
    <row r="306" spans="1:1">
      <c r="A306" s="29"/>
    </row>
    <row r="307" spans="1:1">
      <c r="A307" s="29"/>
    </row>
    <row r="308" spans="1:1">
      <c r="A308" s="29"/>
    </row>
    <row r="309" spans="1:1">
      <c r="A309" s="29"/>
    </row>
    <row r="310" spans="1:1">
      <c r="A310" s="29"/>
    </row>
    <row r="311" spans="1:1">
      <c r="A311" s="29"/>
    </row>
    <row r="312" spans="1:1">
      <c r="A312" s="29"/>
    </row>
    <row r="313" spans="1:1">
      <c r="A313" s="29"/>
    </row>
    <row r="314" spans="1:1">
      <c r="A314" s="29"/>
    </row>
    <row r="315" spans="1:1">
      <c r="A315" s="29"/>
    </row>
    <row r="316" spans="1:1">
      <c r="A316" s="29"/>
    </row>
    <row r="317" spans="1:1">
      <c r="A317" s="29"/>
    </row>
    <row r="318" spans="1:1">
      <c r="A318" s="29"/>
    </row>
    <row r="319" spans="1:1">
      <c r="A319" s="29"/>
    </row>
    <row r="320" spans="1:1">
      <c r="A320" s="29"/>
    </row>
    <row r="321" spans="1:1">
      <c r="A321" s="29"/>
    </row>
    <row r="322" spans="1:1">
      <c r="A322" s="29"/>
    </row>
    <row r="323" spans="1:1">
      <c r="A323" s="29"/>
    </row>
    <row r="324" spans="1:1">
      <c r="A324" s="29"/>
    </row>
    <row r="325" spans="1:1">
      <c r="A325" s="29"/>
    </row>
    <row r="326" spans="1:1">
      <c r="A326" s="29"/>
    </row>
    <row r="327" spans="1:1">
      <c r="A327" s="29"/>
    </row>
    <row r="328" spans="1:1">
      <c r="A328" s="29"/>
    </row>
    <row r="329" spans="1:1">
      <c r="A329" s="29"/>
    </row>
    <row r="330" spans="1:1">
      <c r="A330" s="29"/>
    </row>
    <row r="331" spans="1:1">
      <c r="A331" s="29"/>
    </row>
    <row r="332" spans="1:1">
      <c r="A332" s="29"/>
    </row>
    <row r="333" spans="1:1">
      <c r="A333" s="29"/>
    </row>
    <row r="334" spans="1:1">
      <c r="A334" s="29"/>
    </row>
    <row r="335" spans="1:1">
      <c r="A335" s="29"/>
    </row>
    <row r="336" spans="1:1">
      <c r="A336" s="29"/>
    </row>
    <row r="337" spans="1:1">
      <c r="A337" s="29"/>
    </row>
    <row r="338" spans="1:1">
      <c r="A338" s="29"/>
    </row>
    <row r="339" spans="1:1">
      <c r="A339" s="29"/>
    </row>
    <row r="340" spans="1:1">
      <c r="A340" s="29"/>
    </row>
    <row r="341" spans="1:1">
      <c r="A341" s="29"/>
    </row>
    <row r="342" spans="1:1">
      <c r="A342" s="29"/>
    </row>
    <row r="343" spans="1:1">
      <c r="A343" s="29"/>
    </row>
    <row r="344" spans="1:1">
      <c r="A344" s="29"/>
    </row>
    <row r="345" spans="1:1">
      <c r="A345" s="29"/>
    </row>
    <row r="346" spans="1:1">
      <c r="A346" s="29"/>
    </row>
    <row r="347" spans="1:1">
      <c r="A347" s="29"/>
    </row>
    <row r="348" spans="1:1">
      <c r="A348" s="29"/>
    </row>
    <row r="349" spans="1:1">
      <c r="A349" s="29"/>
    </row>
    <row r="350" spans="1:1">
      <c r="A350" s="29"/>
    </row>
    <row r="351" spans="1:1">
      <c r="A351" s="29"/>
    </row>
    <row r="352" spans="1:1">
      <c r="A352" s="29"/>
    </row>
    <row r="353" spans="1:1">
      <c r="A353" s="29"/>
    </row>
    <row r="354" spans="1:1">
      <c r="A354" s="29"/>
    </row>
    <row r="355" spans="1:1">
      <c r="A355" s="29"/>
    </row>
    <row r="356" spans="1:1">
      <c r="A356" s="29"/>
    </row>
    <row r="357" spans="1:1">
      <c r="A357" s="29"/>
    </row>
    <row r="358" spans="1:1">
      <c r="A358" s="29"/>
    </row>
    <row r="359" spans="1:1">
      <c r="A359" s="29"/>
    </row>
    <row r="360" spans="1:1">
      <c r="A360" s="29"/>
    </row>
    <row r="361" spans="1:1">
      <c r="A361" s="29"/>
    </row>
    <row r="362" spans="1:1">
      <c r="A362" s="29"/>
    </row>
    <row r="363" spans="1:1">
      <c r="A363" s="29"/>
    </row>
    <row r="364" spans="1:1">
      <c r="A364" s="29"/>
    </row>
    <row r="365" spans="1:1">
      <c r="A365" s="29"/>
    </row>
    <row r="366" spans="1:1">
      <c r="A366" s="29"/>
    </row>
    <row r="367" spans="1:1">
      <c r="A367" s="29"/>
    </row>
    <row r="368" spans="1:1">
      <c r="A368" s="29"/>
    </row>
    <row r="369" spans="1:1">
      <c r="A369" s="29"/>
    </row>
    <row r="370" spans="1:1">
      <c r="A370" s="29"/>
    </row>
    <row r="371" spans="1:1">
      <c r="A371" s="29"/>
    </row>
    <row r="372" spans="1:1">
      <c r="A372" s="29"/>
    </row>
    <row r="373" spans="1:1">
      <c r="A373" s="29"/>
    </row>
    <row r="374" spans="1:1">
      <c r="A374" s="29"/>
    </row>
    <row r="375" spans="1:1">
      <c r="A375" s="29"/>
    </row>
    <row r="376" spans="1:1">
      <c r="A376" s="29"/>
    </row>
    <row r="377" spans="1:1">
      <c r="A377" s="29"/>
    </row>
    <row r="378" spans="1:1">
      <c r="A378" s="29"/>
    </row>
    <row r="379" spans="1:1">
      <c r="A379" s="29"/>
    </row>
    <row r="380" spans="1:1">
      <c r="A380" s="29"/>
    </row>
    <row r="381" spans="1:1">
      <c r="A381" s="29"/>
    </row>
    <row r="382" spans="1:1">
      <c r="A382" s="29"/>
    </row>
    <row r="383" spans="1:1">
      <c r="A383" s="29"/>
    </row>
    <row r="384" spans="1:1">
      <c r="A384" s="29"/>
    </row>
    <row r="385" spans="1:1">
      <c r="A385" s="29"/>
    </row>
    <row r="386" spans="1:1">
      <c r="A386" s="29"/>
    </row>
    <row r="387" spans="1:1">
      <c r="A387" s="29"/>
    </row>
    <row r="388" spans="1:1">
      <c r="A388" s="29"/>
    </row>
    <row r="389" spans="1:1">
      <c r="A389" s="29"/>
    </row>
    <row r="390" spans="1:1">
      <c r="A390" s="29"/>
    </row>
    <row r="391" spans="1:1">
      <c r="A391" s="29"/>
    </row>
    <row r="392" spans="1:1">
      <c r="A392" s="29"/>
    </row>
    <row r="393" spans="1:1">
      <c r="A393" s="29"/>
    </row>
    <row r="394" spans="1:1">
      <c r="A394" s="29"/>
    </row>
    <row r="395" spans="1:1">
      <c r="A395" s="29"/>
    </row>
    <row r="396" spans="1:1">
      <c r="A396" s="29"/>
    </row>
    <row r="397" spans="1:1">
      <c r="A397" s="29"/>
    </row>
    <row r="398" spans="1:1">
      <c r="A398" s="29"/>
    </row>
    <row r="399" spans="1:1">
      <c r="A399" s="29"/>
    </row>
    <row r="400" spans="1:1">
      <c r="A400" s="29"/>
    </row>
    <row r="401" spans="1:1">
      <c r="A401" s="29"/>
    </row>
    <row r="402" spans="1:1">
      <c r="A402" s="29"/>
    </row>
    <row r="403" spans="1:1">
      <c r="A403" s="29"/>
    </row>
    <row r="404" spans="1:1">
      <c r="A404" s="29"/>
    </row>
    <row r="405" spans="1:1">
      <c r="A405" s="29"/>
    </row>
    <row r="406" spans="1:1">
      <c r="A406" s="29"/>
    </row>
    <row r="407" spans="1:1">
      <c r="A407" s="29"/>
    </row>
    <row r="408" spans="1:1">
      <c r="A408" s="29"/>
    </row>
    <row r="409" spans="1:1">
      <c r="A409" s="29"/>
    </row>
    <row r="410" spans="1:1">
      <c r="A410" s="29"/>
    </row>
    <row r="411" spans="1:1">
      <c r="A411" s="29"/>
    </row>
    <row r="412" spans="1:1">
      <c r="A412" s="29"/>
    </row>
    <row r="413" spans="1:1">
      <c r="A413" s="29"/>
    </row>
    <row r="414" spans="1:1">
      <c r="A414" s="29"/>
    </row>
    <row r="415" spans="1:1">
      <c r="A415" s="29"/>
    </row>
    <row r="416" spans="1:1">
      <c r="A416" s="29"/>
    </row>
    <row r="417" spans="1:1">
      <c r="A417" s="29"/>
    </row>
    <row r="418" spans="1:1">
      <c r="A418" s="29"/>
    </row>
    <row r="419" spans="1:1">
      <c r="A419" s="29"/>
    </row>
    <row r="420" spans="1:1">
      <c r="A420" s="29"/>
    </row>
    <row r="421" spans="1:1">
      <c r="A421" s="29"/>
    </row>
    <row r="422" spans="1:1">
      <c r="A422" s="29"/>
    </row>
    <row r="423" spans="1:1">
      <c r="A423" s="29"/>
    </row>
    <row r="424" spans="1:1">
      <c r="A424" s="29"/>
    </row>
    <row r="425" spans="1:1">
      <c r="A425" s="29"/>
    </row>
    <row r="426" spans="1:1">
      <c r="A426" s="29"/>
    </row>
    <row r="427" spans="1:1">
      <c r="A427" s="29"/>
    </row>
    <row r="428" spans="1:1">
      <c r="A428" s="29"/>
    </row>
    <row r="429" spans="1:1">
      <c r="A429" s="29"/>
    </row>
    <row r="430" spans="1:1">
      <c r="A430" s="29"/>
    </row>
    <row r="431" spans="1:1">
      <c r="A431" s="29"/>
    </row>
    <row r="432" spans="1:1">
      <c r="A432" s="29"/>
    </row>
    <row r="433" spans="1:1">
      <c r="A433" s="29"/>
    </row>
    <row r="434" spans="1:1">
      <c r="A434" s="29"/>
    </row>
    <row r="435" spans="1:1">
      <c r="A435" s="29"/>
    </row>
    <row r="436" spans="1:1">
      <c r="A436" s="29"/>
    </row>
    <row r="437" spans="1:1">
      <c r="A437" s="29"/>
    </row>
    <row r="438" spans="1:1">
      <c r="A438" s="29"/>
    </row>
    <row r="439" spans="1:1">
      <c r="A439" s="29"/>
    </row>
    <row r="440" spans="1:1">
      <c r="A440" s="29"/>
    </row>
    <row r="441" spans="1:1">
      <c r="A441" s="29"/>
    </row>
    <row r="442" spans="1:1">
      <c r="A442" s="29"/>
    </row>
    <row r="443" spans="1:1">
      <c r="A443" s="29"/>
    </row>
    <row r="444" spans="1:1">
      <c r="A444" s="29"/>
    </row>
    <row r="445" spans="1:1">
      <c r="A445" s="29"/>
    </row>
    <row r="446" spans="1:1">
      <c r="A446" s="29"/>
    </row>
    <row r="447" spans="1:1">
      <c r="A447" s="29"/>
    </row>
    <row r="448" spans="1:1">
      <c r="A448" s="29"/>
    </row>
    <row r="449" spans="1:1">
      <c r="A449" s="29"/>
    </row>
    <row r="450" spans="1:1">
      <c r="A450" s="29"/>
    </row>
    <row r="451" spans="1:1">
      <c r="A451" s="29"/>
    </row>
    <row r="452" spans="1:1">
      <c r="A452" s="29"/>
    </row>
    <row r="453" spans="1:1">
      <c r="A453" s="29"/>
    </row>
    <row r="454" spans="1:1">
      <c r="A454" s="29"/>
    </row>
    <row r="455" spans="1:1">
      <c r="A455" s="29"/>
    </row>
    <row r="456" spans="1:1">
      <c r="A456" s="29"/>
    </row>
    <row r="457" spans="1:1">
      <c r="A457" s="29"/>
    </row>
    <row r="458" spans="1:1">
      <c r="A458" s="29"/>
    </row>
    <row r="459" spans="1:1">
      <c r="A459" s="29"/>
    </row>
    <row r="460" spans="1:1">
      <c r="A460" s="29"/>
    </row>
    <row r="461" spans="1:1">
      <c r="A461" s="29"/>
    </row>
    <row r="462" spans="1:1">
      <c r="A462" s="29"/>
    </row>
    <row r="463" spans="1:1">
      <c r="A463" s="29"/>
    </row>
    <row r="464" spans="1:1">
      <c r="A464" s="29"/>
    </row>
    <row r="465" spans="1:1">
      <c r="A465" s="29"/>
    </row>
    <row r="466" spans="1:1">
      <c r="A466" s="29"/>
    </row>
    <row r="467" spans="1:1">
      <c r="A467" s="29"/>
    </row>
    <row r="468" spans="1:1">
      <c r="A468" s="29"/>
    </row>
    <row r="469" spans="1:1">
      <c r="A469" s="29"/>
    </row>
    <row r="470" spans="1:1">
      <c r="A470" s="29"/>
    </row>
    <row r="471" spans="1:1">
      <c r="A471" s="29"/>
    </row>
    <row r="472" spans="1:1">
      <c r="A472" s="29"/>
    </row>
    <row r="473" spans="1:1">
      <c r="A473" s="29"/>
    </row>
    <row r="474" spans="1:1">
      <c r="A474" s="29"/>
    </row>
    <row r="475" spans="1:1">
      <c r="A475" s="29"/>
    </row>
    <row r="476" spans="1:1">
      <c r="A476" s="29"/>
    </row>
    <row r="477" spans="1:1">
      <c r="A477" s="29"/>
    </row>
    <row r="478" spans="1:1">
      <c r="A478" s="29"/>
    </row>
    <row r="479" spans="1:1">
      <c r="A479" s="29"/>
    </row>
    <row r="480" spans="1:1">
      <c r="A480" s="29"/>
    </row>
    <row r="481" spans="1:1">
      <c r="A481" s="29"/>
    </row>
    <row r="482" spans="1:1">
      <c r="A482" s="29"/>
    </row>
    <row r="483" spans="1:1">
      <c r="A483" s="29"/>
    </row>
    <row r="484" spans="1:1">
      <c r="A484" s="29"/>
    </row>
    <row r="485" spans="1:1">
      <c r="A485" s="29"/>
    </row>
    <row r="486" spans="1:1">
      <c r="A486" s="29"/>
    </row>
    <row r="487" spans="1:1">
      <c r="A487" s="29"/>
    </row>
    <row r="488" spans="1:1">
      <c r="A488" s="29"/>
    </row>
    <row r="489" spans="1:1">
      <c r="A489" s="29"/>
    </row>
    <row r="490" spans="1:1">
      <c r="A490" s="29"/>
    </row>
    <row r="491" spans="1:1">
      <c r="A491" s="29"/>
    </row>
    <row r="492" spans="1:1">
      <c r="A492" s="29"/>
    </row>
    <row r="493" spans="1:1">
      <c r="A493" s="29"/>
    </row>
    <row r="494" spans="1:1">
      <c r="A494" s="29"/>
    </row>
    <row r="495" spans="1:1">
      <c r="A495" s="29"/>
    </row>
    <row r="496" spans="1:1">
      <c r="A496" s="29"/>
    </row>
    <row r="497" spans="1:1">
      <c r="A497" s="29"/>
    </row>
    <row r="498" spans="1:1">
      <c r="A498" s="29"/>
    </row>
    <row r="499" spans="1:1">
      <c r="A499" s="29"/>
    </row>
    <row r="500" spans="1:1">
      <c r="A500" s="29"/>
    </row>
    <row r="501" spans="1:1">
      <c r="A501" s="29"/>
    </row>
    <row r="502" spans="1:1">
      <c r="A502" s="29"/>
    </row>
    <row r="503" spans="1:1">
      <c r="A503" s="29"/>
    </row>
    <row r="504" spans="1:1">
      <c r="A504" s="29"/>
    </row>
    <row r="505" spans="1:1">
      <c r="A505" s="29"/>
    </row>
    <row r="506" spans="1:1">
      <c r="A506" s="29"/>
    </row>
    <row r="507" spans="1:1">
      <c r="A507" s="29"/>
    </row>
    <row r="508" spans="1:1">
      <c r="A508" s="29"/>
    </row>
    <row r="509" spans="1:1">
      <c r="A509" s="29"/>
    </row>
    <row r="510" spans="1:1">
      <c r="A510" s="29"/>
    </row>
    <row r="511" spans="1:1">
      <c r="A511" s="29"/>
    </row>
    <row r="512" spans="1:1">
      <c r="A512" s="29"/>
    </row>
    <row r="513" spans="1:1">
      <c r="A513" s="29"/>
    </row>
    <row r="514" spans="1:1">
      <c r="A514" s="29"/>
    </row>
    <row r="515" spans="1:1">
      <c r="A515" s="29"/>
    </row>
    <row r="516" spans="1:1">
      <c r="A516" s="29"/>
    </row>
    <row r="517" spans="1:1">
      <c r="A517" s="29"/>
    </row>
    <row r="518" spans="1:1">
      <c r="A518" s="29"/>
    </row>
    <row r="519" spans="1:1">
      <c r="A519" s="29"/>
    </row>
    <row r="520" spans="1:1">
      <c r="A520" s="29"/>
    </row>
    <row r="521" spans="1:1">
      <c r="A521" s="29"/>
    </row>
    <row r="522" spans="1:1">
      <c r="A522" s="29"/>
    </row>
    <row r="523" spans="1:1">
      <c r="A523" s="29"/>
    </row>
    <row r="524" spans="1:1">
      <c r="A524" s="29"/>
    </row>
    <row r="525" spans="1:1">
      <c r="A525" s="29"/>
    </row>
    <row r="526" spans="1:1">
      <c r="A526" s="29"/>
    </row>
    <row r="527" spans="1:1">
      <c r="A527" s="29"/>
    </row>
    <row r="528" spans="1:1">
      <c r="A528" s="29"/>
    </row>
    <row r="529" spans="1:1">
      <c r="A529" s="29"/>
    </row>
    <row r="530" spans="1:1">
      <c r="A530" s="29"/>
    </row>
    <row r="531" spans="1:1">
      <c r="A531" s="29"/>
    </row>
    <row r="532" spans="1:1">
      <c r="A532" s="29"/>
    </row>
    <row r="533" spans="1:1">
      <c r="A533" s="29"/>
    </row>
    <row r="534" spans="1:1">
      <c r="A534" s="29"/>
    </row>
    <row r="535" spans="1:1">
      <c r="A535" s="29"/>
    </row>
    <row r="536" spans="1:1">
      <c r="A536" s="29"/>
    </row>
    <row r="537" spans="1:1">
      <c r="A537" s="29"/>
    </row>
    <row r="538" spans="1:1">
      <c r="A538" s="29"/>
    </row>
    <row r="539" spans="1:1">
      <c r="A539" s="29"/>
    </row>
    <row r="540" spans="1:1">
      <c r="A540" s="29"/>
    </row>
    <row r="541" spans="1:1">
      <c r="A541" s="29"/>
    </row>
    <row r="542" spans="1:1">
      <c r="A542" s="29"/>
    </row>
    <row r="543" spans="1:1">
      <c r="A543" s="29"/>
    </row>
    <row r="544" spans="1:1">
      <c r="A544" s="29"/>
    </row>
    <row r="545" spans="1:1">
      <c r="A545" s="29"/>
    </row>
    <row r="546" spans="1:1">
      <c r="A546" s="29"/>
    </row>
    <row r="547" spans="1:1">
      <c r="A547" s="29"/>
    </row>
    <row r="548" spans="1:1">
      <c r="A548" s="29"/>
    </row>
    <row r="549" spans="1:1">
      <c r="A549" s="29"/>
    </row>
    <row r="550" spans="1:1">
      <c r="A550" s="29"/>
    </row>
    <row r="551" spans="1:1">
      <c r="A551" s="29"/>
    </row>
    <row r="552" spans="1:1">
      <c r="A552" s="29"/>
    </row>
    <row r="553" spans="1:1">
      <c r="A553" s="29"/>
    </row>
    <row r="554" spans="1:1">
      <c r="A554" s="29"/>
    </row>
    <row r="555" spans="1:1">
      <c r="A555" s="29"/>
    </row>
    <row r="556" spans="1:1">
      <c r="A556" s="29"/>
    </row>
    <row r="557" spans="1:1">
      <c r="A557" s="29"/>
    </row>
    <row r="558" spans="1:1">
      <c r="A558" s="29"/>
    </row>
    <row r="559" spans="1:1">
      <c r="A559" s="29"/>
    </row>
    <row r="560" spans="1:1">
      <c r="A560" s="29"/>
    </row>
    <row r="561" spans="1:1">
      <c r="A561" s="29"/>
    </row>
    <row r="562" spans="1:1">
      <c r="A562" s="29"/>
    </row>
    <row r="563" spans="1:1">
      <c r="A563" s="29"/>
    </row>
    <row r="564" spans="1:1">
      <c r="A564" s="29"/>
    </row>
    <row r="565" spans="1:1">
      <c r="A565" s="29"/>
    </row>
    <row r="566" spans="1:1">
      <c r="A566" s="29"/>
    </row>
    <row r="567" spans="1:1">
      <c r="A567" s="29"/>
    </row>
    <row r="568" spans="1:1">
      <c r="A568" s="29"/>
    </row>
    <row r="569" spans="1:1">
      <c r="A569" s="29"/>
    </row>
    <row r="570" spans="1:1">
      <c r="A570" s="29"/>
    </row>
    <row r="571" spans="1:1">
      <c r="A571" s="29"/>
    </row>
    <row r="572" spans="1:1">
      <c r="A572" s="29"/>
    </row>
    <row r="573" spans="1:1">
      <c r="A573" s="29"/>
    </row>
    <row r="574" spans="1:1">
      <c r="A574" s="29"/>
    </row>
    <row r="575" spans="1:1">
      <c r="A575" s="29"/>
    </row>
    <row r="576" spans="1:1">
      <c r="A576" s="29"/>
    </row>
    <row r="577" spans="1:1">
      <c r="A577" s="29"/>
    </row>
    <row r="578" spans="1:1">
      <c r="A578" s="29"/>
    </row>
    <row r="579" spans="1:1">
      <c r="A579" s="29"/>
    </row>
    <row r="580" spans="1:1">
      <c r="A580" s="29"/>
    </row>
    <row r="581" spans="1:1">
      <c r="A581" s="29"/>
    </row>
    <row r="582" spans="1:1">
      <c r="A582" s="29"/>
    </row>
    <row r="583" spans="1:1">
      <c r="A583" s="29"/>
    </row>
    <row r="584" spans="1:1">
      <c r="A584" s="29"/>
    </row>
    <row r="585" spans="1:1">
      <c r="A585" s="29"/>
    </row>
    <row r="586" spans="1:1">
      <c r="A586" s="29"/>
    </row>
    <row r="587" spans="1:1">
      <c r="A587" s="29"/>
    </row>
    <row r="588" spans="1:1">
      <c r="A588" s="29"/>
    </row>
    <row r="589" spans="1:1">
      <c r="A589" s="29"/>
    </row>
    <row r="590" spans="1:1">
      <c r="A590" s="29"/>
    </row>
    <row r="591" spans="1:1">
      <c r="A591" s="29"/>
    </row>
    <row r="592" spans="1:1">
      <c r="A592" s="29"/>
    </row>
    <row r="593" spans="1:1">
      <c r="A593" s="29"/>
    </row>
    <row r="594" spans="1:1">
      <c r="A594" s="29"/>
    </row>
    <row r="595" spans="1:1">
      <c r="A595" s="29"/>
    </row>
    <row r="596" spans="1:1">
      <c r="A596" s="29"/>
    </row>
    <row r="597" spans="1:1">
      <c r="A597" s="29"/>
    </row>
    <row r="598" spans="1:1">
      <c r="A598" s="29"/>
    </row>
    <row r="599" spans="1:1">
      <c r="A599" s="29"/>
    </row>
    <row r="600" spans="1:1">
      <c r="A600" s="29"/>
    </row>
    <row r="601" spans="1:1">
      <c r="A601" s="29"/>
    </row>
    <row r="602" spans="1:1">
      <c r="A602" s="29"/>
    </row>
    <row r="603" spans="1:1">
      <c r="A603" s="29"/>
    </row>
    <row r="604" spans="1:1">
      <c r="A604" s="29"/>
    </row>
    <row r="605" spans="1:1">
      <c r="A605" s="29"/>
    </row>
    <row r="606" spans="1:1">
      <c r="A606" s="29"/>
    </row>
    <row r="607" spans="1:1">
      <c r="A607" s="29"/>
    </row>
    <row r="608" spans="1:1">
      <c r="A608" s="29"/>
    </row>
    <row r="609" spans="1:1">
      <c r="A609" s="29"/>
    </row>
    <row r="610" spans="1:1">
      <c r="A610" s="29"/>
    </row>
    <row r="611" spans="1:1">
      <c r="A611" s="29"/>
    </row>
    <row r="612" spans="1:1">
      <c r="A612" s="29"/>
    </row>
    <row r="613" spans="1:1">
      <c r="A613" s="29"/>
    </row>
    <row r="614" spans="1:1">
      <c r="A614" s="29"/>
    </row>
    <row r="615" spans="1:1">
      <c r="A615" s="29"/>
    </row>
    <row r="616" spans="1:1">
      <c r="A616" s="29"/>
    </row>
    <row r="617" spans="1:1">
      <c r="A617" s="29"/>
    </row>
    <row r="618" spans="1:1">
      <c r="A618" s="29"/>
    </row>
    <row r="619" spans="1:1">
      <c r="A619" s="29"/>
    </row>
    <row r="620" spans="1:1">
      <c r="A620" s="29"/>
    </row>
    <row r="621" spans="1:1">
      <c r="A621" s="29"/>
    </row>
    <row r="622" spans="1:1">
      <c r="A622" s="29"/>
    </row>
    <row r="623" spans="1:1">
      <c r="A623" s="29"/>
    </row>
    <row r="624" spans="1:1">
      <c r="A624" s="29"/>
    </row>
    <row r="625" spans="1:1">
      <c r="A625" s="29"/>
    </row>
    <row r="626" spans="1:1">
      <c r="A626" s="29"/>
    </row>
    <row r="627" spans="1:1">
      <c r="A627" s="29"/>
    </row>
    <row r="628" spans="1:1">
      <c r="A628" s="29"/>
    </row>
    <row r="629" spans="1:1">
      <c r="A629" s="29"/>
    </row>
    <row r="630" spans="1:1">
      <c r="A630" s="29"/>
    </row>
    <row r="631" spans="1:1">
      <c r="A631" s="29"/>
    </row>
    <row r="632" spans="1:1">
      <c r="A632" s="29"/>
    </row>
    <row r="633" spans="1:1">
      <c r="A633" s="29"/>
    </row>
    <row r="634" spans="1:1">
      <c r="A634" s="29"/>
    </row>
    <row r="635" spans="1:1">
      <c r="A635" s="29"/>
    </row>
    <row r="636" spans="1:1">
      <c r="A636" s="29"/>
    </row>
    <row r="637" spans="1:1">
      <c r="A637" s="29"/>
    </row>
    <row r="638" spans="1:1">
      <c r="A638" s="29"/>
    </row>
    <row r="639" spans="1:1">
      <c r="A639" s="29"/>
    </row>
    <row r="640" spans="1:1">
      <c r="A640" s="29"/>
    </row>
    <row r="641" spans="1:1">
      <c r="A641" s="29"/>
    </row>
    <row r="642" spans="1:1">
      <c r="A642" s="29"/>
    </row>
    <row r="643" spans="1:1">
      <c r="A643" s="29"/>
    </row>
    <row r="644" spans="1:1">
      <c r="A644" s="29"/>
    </row>
    <row r="645" spans="1:1">
      <c r="A645" s="29"/>
    </row>
    <row r="646" spans="1:1">
      <c r="A646" s="29"/>
    </row>
    <row r="647" spans="1:1">
      <c r="A647" s="29"/>
    </row>
    <row r="648" spans="1:1">
      <c r="A648" s="29"/>
    </row>
    <row r="649" spans="1:1">
      <c r="A649" s="29"/>
    </row>
    <row r="650" spans="1:1">
      <c r="A650" s="29"/>
    </row>
    <row r="651" spans="1:1">
      <c r="A651" s="29"/>
    </row>
    <row r="652" spans="1:1">
      <c r="A652" s="29"/>
    </row>
    <row r="653" spans="1:1">
      <c r="A653" s="29"/>
    </row>
    <row r="654" spans="1:1">
      <c r="A654" s="29"/>
    </row>
    <row r="655" spans="1:1">
      <c r="A655" s="29"/>
    </row>
    <row r="656" spans="1:1">
      <c r="A656" s="29"/>
    </row>
    <row r="657" spans="1:1">
      <c r="A657" s="29"/>
    </row>
    <row r="658" spans="1:1">
      <c r="A658" s="29"/>
    </row>
    <row r="659" spans="1:1">
      <c r="A659" s="29"/>
    </row>
    <row r="660" spans="1:1">
      <c r="A660" s="29"/>
    </row>
    <row r="661" spans="1:1">
      <c r="A661" s="29"/>
    </row>
    <row r="662" spans="1:1">
      <c r="A662" s="29"/>
    </row>
    <row r="663" spans="1:1">
      <c r="A663" s="29"/>
    </row>
    <row r="664" spans="1:1">
      <c r="A664" s="29"/>
    </row>
    <row r="665" spans="1:1">
      <c r="A665" s="29"/>
    </row>
    <row r="666" spans="1:1">
      <c r="A666" s="29"/>
    </row>
    <row r="667" spans="1:1">
      <c r="A667" s="29"/>
    </row>
    <row r="668" spans="1:1">
      <c r="A668" s="29"/>
    </row>
    <row r="669" spans="1:1">
      <c r="A669" s="29"/>
    </row>
    <row r="670" spans="1:1">
      <c r="A670" s="29"/>
    </row>
    <row r="671" spans="1:1">
      <c r="A671" s="29"/>
    </row>
    <row r="672" spans="1:1">
      <c r="A672" s="29"/>
    </row>
    <row r="673" spans="1:1">
      <c r="A673" s="29"/>
    </row>
    <row r="674" spans="1:1">
      <c r="A674" s="29"/>
    </row>
    <row r="675" spans="1:1">
      <c r="A675" s="29"/>
    </row>
    <row r="676" spans="1:1">
      <c r="A676" s="29"/>
    </row>
    <row r="677" spans="1:1">
      <c r="A677" s="29"/>
    </row>
    <row r="678" spans="1:1">
      <c r="A678" s="29"/>
    </row>
    <row r="679" spans="1:1">
      <c r="A679" s="29"/>
    </row>
    <row r="680" spans="1:1">
      <c r="A680" s="29"/>
    </row>
    <row r="681" spans="1:1">
      <c r="A681" s="29"/>
    </row>
    <row r="682" spans="1:1">
      <c r="A682" s="29"/>
    </row>
    <row r="683" spans="1:1">
      <c r="A683" s="29"/>
    </row>
    <row r="684" spans="1:1">
      <c r="A684" s="29"/>
    </row>
    <row r="685" spans="1:1">
      <c r="A685" s="29"/>
    </row>
    <row r="686" spans="1:1">
      <c r="A686" s="29"/>
    </row>
    <row r="687" spans="1:1">
      <c r="A687" s="29"/>
    </row>
    <row r="688" spans="1:1">
      <c r="A688" s="29"/>
    </row>
    <row r="689" spans="1:1">
      <c r="A689" s="29"/>
    </row>
    <row r="690" spans="1:1">
      <c r="A690" s="29"/>
    </row>
    <row r="691" spans="1:1">
      <c r="A691" s="29"/>
    </row>
    <row r="692" spans="1:1">
      <c r="A692" s="29"/>
    </row>
    <row r="693" spans="1:1">
      <c r="A693" s="29"/>
    </row>
    <row r="694" spans="1:1">
      <c r="A694" s="29"/>
    </row>
    <row r="695" spans="1:1">
      <c r="A695" s="29"/>
    </row>
    <row r="696" spans="1:1">
      <c r="A696" s="29"/>
    </row>
    <row r="697" spans="1:1">
      <c r="A697" s="29"/>
    </row>
    <row r="698" spans="1:1">
      <c r="A698" s="29"/>
    </row>
    <row r="699" spans="1:1">
      <c r="A699" s="29"/>
    </row>
    <row r="700" spans="1:1">
      <c r="A700" s="29"/>
    </row>
    <row r="701" spans="1:1">
      <c r="A701" s="29"/>
    </row>
    <row r="702" spans="1:1">
      <c r="A702" s="29"/>
    </row>
    <row r="703" spans="1:1">
      <c r="A703" s="29"/>
    </row>
    <row r="704" spans="1:1">
      <c r="A704" s="29"/>
    </row>
    <row r="705" spans="1:1">
      <c r="A705" s="29"/>
    </row>
    <row r="706" spans="1:1">
      <c r="A706" s="29"/>
    </row>
    <row r="707" spans="1:1">
      <c r="A707" s="29"/>
    </row>
    <row r="708" spans="1:1">
      <c r="A708" s="29"/>
    </row>
    <row r="709" spans="1:1">
      <c r="A709" s="29"/>
    </row>
    <row r="710" spans="1:1">
      <c r="A710" s="29"/>
    </row>
    <row r="711" spans="1:1">
      <c r="A711" s="29"/>
    </row>
    <row r="712" spans="1:1">
      <c r="A712" s="29"/>
    </row>
    <row r="713" spans="1:1">
      <c r="A713" s="29"/>
    </row>
    <row r="714" spans="1:1">
      <c r="A714" s="29"/>
    </row>
    <row r="715" spans="1:1">
      <c r="A715" s="29"/>
    </row>
    <row r="716" spans="1:1">
      <c r="A716" s="29"/>
    </row>
    <row r="717" spans="1:1">
      <c r="A717" s="29"/>
    </row>
    <row r="718" spans="1:1">
      <c r="A718" s="29"/>
    </row>
    <row r="719" spans="1:1">
      <c r="A719" s="29"/>
    </row>
    <row r="720" spans="1:1">
      <c r="A720" s="29"/>
    </row>
    <row r="721" spans="1:1">
      <c r="A721" s="29"/>
    </row>
    <row r="722" spans="1:1">
      <c r="A722" s="29"/>
    </row>
    <row r="723" spans="1:1">
      <c r="A723" s="29"/>
    </row>
    <row r="724" spans="1:1">
      <c r="A724" s="29"/>
    </row>
    <row r="725" spans="1:1">
      <c r="A725" s="29"/>
    </row>
    <row r="726" spans="1:1">
      <c r="A726" s="29"/>
    </row>
    <row r="727" spans="1:1">
      <c r="A727" s="29"/>
    </row>
    <row r="728" spans="1:1">
      <c r="A728" s="29"/>
    </row>
    <row r="729" spans="1:1">
      <c r="A729" s="29"/>
    </row>
    <row r="730" spans="1:1">
      <c r="A730" s="29"/>
    </row>
    <row r="731" spans="1:1">
      <c r="A731" s="29"/>
    </row>
    <row r="732" spans="1:1">
      <c r="A732" s="29"/>
    </row>
    <row r="733" spans="1:1">
      <c r="A733" s="29"/>
    </row>
    <row r="734" spans="1:1">
      <c r="A734" s="29"/>
    </row>
    <row r="735" spans="1:1">
      <c r="A735" s="29"/>
    </row>
    <row r="736" spans="1:1">
      <c r="A736" s="29"/>
    </row>
    <row r="737" spans="1:1">
      <c r="A737" s="29"/>
    </row>
    <row r="738" spans="1:1">
      <c r="A738" s="29"/>
    </row>
    <row r="739" spans="1:1">
      <c r="A739" s="29"/>
    </row>
    <row r="740" spans="1:1">
      <c r="A740" s="29"/>
    </row>
    <row r="741" spans="1:1">
      <c r="A741" s="29"/>
    </row>
    <row r="742" spans="1:1">
      <c r="A742" s="29"/>
    </row>
    <row r="743" spans="1:1">
      <c r="A743" s="29"/>
    </row>
    <row r="744" spans="1:1">
      <c r="A744" s="29"/>
    </row>
    <row r="745" spans="1:1">
      <c r="A745" s="29"/>
    </row>
    <row r="746" spans="1:1">
      <c r="A746" s="29"/>
    </row>
    <row r="747" spans="1:1">
      <c r="A747" s="29"/>
    </row>
    <row r="748" spans="1:1">
      <c r="A748" s="29"/>
    </row>
    <row r="749" spans="1:1">
      <c r="A749" s="29"/>
    </row>
    <row r="750" spans="1:1">
      <c r="A750" s="29"/>
    </row>
    <row r="751" spans="1:1">
      <c r="A751" s="29"/>
    </row>
    <row r="752" spans="1:1">
      <c r="A752" s="29"/>
    </row>
    <row r="753" spans="1:1">
      <c r="A753" s="29"/>
    </row>
    <row r="754" spans="1:1">
      <c r="A754" s="29"/>
    </row>
    <row r="755" spans="1:1">
      <c r="A755" s="29"/>
    </row>
    <row r="756" spans="1:1">
      <c r="A756" s="29"/>
    </row>
    <row r="757" spans="1:1">
      <c r="A757" s="29"/>
    </row>
    <row r="758" spans="1:1">
      <c r="A758" s="29"/>
    </row>
    <row r="759" spans="1:1">
      <c r="A759" s="29"/>
    </row>
    <row r="760" spans="1:1">
      <c r="A760" s="29"/>
    </row>
    <row r="761" spans="1:1">
      <c r="A761" s="29"/>
    </row>
    <row r="762" spans="1:1">
      <c r="A762" s="29"/>
    </row>
    <row r="763" spans="1:1">
      <c r="A763" s="29"/>
    </row>
    <row r="764" spans="1:1">
      <c r="A764" s="29"/>
    </row>
    <row r="765" spans="1:1">
      <c r="A765" s="29"/>
    </row>
    <row r="766" spans="1:1">
      <c r="A766" s="29"/>
    </row>
    <row r="767" spans="1:1">
      <c r="A767" s="29"/>
    </row>
    <row r="768" spans="1:1">
      <c r="A768" s="29"/>
    </row>
    <row r="769" spans="1:1">
      <c r="A769" s="29"/>
    </row>
    <row r="770" spans="1:1">
      <c r="A770" s="29"/>
    </row>
    <row r="771" spans="1:1">
      <c r="A771" s="29"/>
    </row>
    <row r="772" spans="1:1">
      <c r="A772" s="29"/>
    </row>
    <row r="773" spans="1:1">
      <c r="A773" s="29"/>
    </row>
    <row r="774" spans="1:1">
      <c r="A774" s="29"/>
    </row>
    <row r="775" spans="1:1">
      <c r="A775" s="29"/>
    </row>
    <row r="776" spans="1:1">
      <c r="A776" s="29"/>
    </row>
    <row r="777" spans="1:1">
      <c r="A777" s="29"/>
    </row>
    <row r="778" spans="1:1">
      <c r="A778" s="29"/>
    </row>
    <row r="779" spans="1:1">
      <c r="A779" s="29"/>
    </row>
    <row r="780" spans="1:1">
      <c r="A780" s="29"/>
    </row>
    <row r="781" spans="1:1">
      <c r="A781" s="29"/>
    </row>
    <row r="782" spans="1:1">
      <c r="A782" s="29"/>
    </row>
    <row r="783" spans="1:1">
      <c r="A783" s="29"/>
    </row>
    <row r="784" spans="1:1">
      <c r="A784" s="29"/>
    </row>
    <row r="785" spans="1:1">
      <c r="A785" s="29"/>
    </row>
    <row r="786" spans="1:1">
      <c r="A786" s="29"/>
    </row>
    <row r="787" spans="1:1">
      <c r="A787" s="29"/>
    </row>
    <row r="788" spans="1:1">
      <c r="A788" s="29"/>
    </row>
    <row r="789" spans="1:1">
      <c r="A789" s="29"/>
    </row>
    <row r="790" spans="1:1">
      <c r="A790" s="29"/>
    </row>
    <row r="791" spans="1:1">
      <c r="A791" s="29"/>
    </row>
    <row r="792" spans="1:1">
      <c r="A792" s="29"/>
    </row>
    <row r="793" spans="1:1">
      <c r="A793" s="29"/>
    </row>
    <row r="794" spans="1:1">
      <c r="A794" s="29"/>
    </row>
    <row r="795" spans="1:1">
      <c r="A795" s="29"/>
    </row>
    <row r="796" spans="1:1">
      <c r="A796" s="29"/>
    </row>
    <row r="797" spans="1:1">
      <c r="A797" s="29"/>
    </row>
    <row r="798" spans="1:1">
      <c r="A798" s="29"/>
    </row>
    <row r="799" spans="1:1">
      <c r="A799" s="29"/>
    </row>
    <row r="800" spans="1:1">
      <c r="A800" s="29"/>
    </row>
    <row r="801" spans="1:1">
      <c r="A801" s="29"/>
    </row>
    <row r="802" spans="1:1">
      <c r="A802" s="29"/>
    </row>
    <row r="803" spans="1:1">
      <c r="A803" s="29"/>
    </row>
    <row r="804" spans="1:1">
      <c r="A804" s="29"/>
    </row>
    <row r="805" spans="1:1">
      <c r="A805" s="29"/>
    </row>
    <row r="806" spans="1:1">
      <c r="A806" s="29"/>
    </row>
    <row r="807" spans="1:1">
      <c r="A807" s="29"/>
    </row>
    <row r="808" spans="1:1">
      <c r="A808" s="29"/>
    </row>
    <row r="809" spans="1:1">
      <c r="A809" s="29"/>
    </row>
    <row r="810" spans="1:1">
      <c r="A810" s="29"/>
    </row>
    <row r="811" spans="1:1">
      <c r="A811" s="29"/>
    </row>
    <row r="812" spans="1:1">
      <c r="A812" s="29"/>
    </row>
    <row r="813" spans="1:1">
      <c r="A813" s="29"/>
    </row>
    <row r="814" spans="1:1">
      <c r="A814" s="29"/>
    </row>
    <row r="815" spans="1:1">
      <c r="A815" s="29"/>
    </row>
    <row r="816" spans="1:1">
      <c r="A816" s="29"/>
    </row>
    <row r="817" spans="1:1">
      <c r="A817" s="29"/>
    </row>
    <row r="818" spans="1:1">
      <c r="A818" s="29"/>
    </row>
    <row r="819" spans="1:1">
      <c r="A819" s="29"/>
    </row>
    <row r="820" spans="1:1">
      <c r="A820" s="29"/>
    </row>
    <row r="821" spans="1:1">
      <c r="A821" s="29"/>
    </row>
    <row r="822" spans="1:1">
      <c r="A822" s="29"/>
    </row>
    <row r="823" spans="1:1">
      <c r="A823" s="29"/>
    </row>
    <row r="824" spans="1:1">
      <c r="A824" s="29"/>
    </row>
    <row r="825" spans="1:1">
      <c r="A825" s="29"/>
    </row>
    <row r="826" spans="1:1">
      <c r="A826" s="29"/>
    </row>
    <row r="827" spans="1:1">
      <c r="A827" s="29"/>
    </row>
    <row r="828" spans="1:1">
      <c r="A828" s="29"/>
    </row>
    <row r="829" spans="1:1">
      <c r="A829" s="29"/>
    </row>
    <row r="830" spans="1:1">
      <c r="A830" s="29"/>
    </row>
    <row r="831" spans="1:1">
      <c r="A831" s="29"/>
    </row>
    <row r="832" spans="1:1">
      <c r="A832" s="29"/>
    </row>
    <row r="833" spans="1:1">
      <c r="A833" s="29"/>
    </row>
    <row r="834" spans="1:1">
      <c r="A834" s="29"/>
    </row>
    <row r="835" spans="1:1">
      <c r="A835" s="29"/>
    </row>
    <row r="836" spans="1:1">
      <c r="A836" s="29"/>
    </row>
    <row r="837" spans="1:1">
      <c r="A837" s="29"/>
    </row>
    <row r="838" spans="1:1">
      <c r="A838" s="29"/>
    </row>
    <row r="839" spans="1:1">
      <c r="A839" s="29"/>
    </row>
    <row r="840" spans="1:1">
      <c r="A840" s="29"/>
    </row>
    <row r="841" spans="1:1">
      <c r="A841" s="29"/>
    </row>
    <row r="842" spans="1:1">
      <c r="A842" s="29"/>
    </row>
    <row r="843" spans="1:1">
      <c r="A843" s="29"/>
    </row>
    <row r="844" spans="1:1">
      <c r="A844" s="29"/>
    </row>
    <row r="845" spans="1:1">
      <c r="A845" s="29"/>
    </row>
    <row r="846" spans="1:1">
      <c r="A846" s="29"/>
    </row>
    <row r="847" spans="1:1">
      <c r="A847" s="29"/>
    </row>
    <row r="848" spans="1:1">
      <c r="A848" s="29"/>
    </row>
    <row r="849" spans="1:1">
      <c r="A849" s="29"/>
    </row>
    <row r="850" spans="1:1">
      <c r="A850" s="29"/>
    </row>
    <row r="851" spans="1:1">
      <c r="A851" s="29"/>
    </row>
    <row r="852" spans="1:1">
      <c r="A852" s="29"/>
    </row>
    <row r="853" spans="1:1">
      <c r="A853" s="29"/>
    </row>
    <row r="854" spans="1:1">
      <c r="A854" s="29"/>
    </row>
    <row r="855" spans="1:1">
      <c r="A855" s="29"/>
    </row>
    <row r="856" spans="1:1">
      <c r="A856" s="29"/>
    </row>
    <row r="857" spans="1:1">
      <c r="A857" s="29"/>
    </row>
    <row r="858" spans="1:1">
      <c r="A858" s="29"/>
    </row>
    <row r="859" spans="1:1">
      <c r="A859" s="29"/>
    </row>
    <row r="860" spans="1:1">
      <c r="A860" s="29"/>
    </row>
    <row r="861" spans="1:1">
      <c r="A861" s="29"/>
    </row>
    <row r="862" spans="1:1">
      <c r="A862" s="29"/>
    </row>
    <row r="863" spans="1:1">
      <c r="A863" s="29"/>
    </row>
    <row r="864" spans="1:1">
      <c r="A864" s="29"/>
    </row>
    <row r="865" spans="1:1">
      <c r="A865" s="29"/>
    </row>
    <row r="866" spans="1:1">
      <c r="A866" s="29"/>
    </row>
    <row r="867" spans="1:1">
      <c r="A867" s="29"/>
    </row>
    <row r="868" spans="1:1">
      <c r="A868" s="29"/>
    </row>
    <row r="869" spans="1:1">
      <c r="A869" s="29"/>
    </row>
    <row r="870" spans="1:1">
      <c r="A870" s="29"/>
    </row>
    <row r="871" spans="1:1">
      <c r="A871" s="29"/>
    </row>
    <row r="872" spans="1:1">
      <c r="A872" s="29"/>
    </row>
    <row r="873" spans="1:1">
      <c r="A873" s="29"/>
    </row>
    <row r="874" spans="1:1">
      <c r="A874" s="29"/>
    </row>
    <row r="875" spans="1:1">
      <c r="A875" s="29"/>
    </row>
    <row r="876" spans="1:1">
      <c r="A876" s="29"/>
    </row>
    <row r="877" spans="1:1">
      <c r="A877" s="29"/>
    </row>
    <row r="878" spans="1:1">
      <c r="A878" s="29"/>
    </row>
    <row r="879" spans="1:1">
      <c r="A879" s="29"/>
    </row>
    <row r="880" spans="1:1">
      <c r="A880" s="29"/>
    </row>
    <row r="881" spans="1:1">
      <c r="A881" s="29"/>
    </row>
    <row r="882" spans="1:1">
      <c r="A882" s="29"/>
    </row>
    <row r="883" spans="1:1">
      <c r="A883" s="29"/>
    </row>
    <row r="884" spans="1:1">
      <c r="A884" s="29"/>
    </row>
    <row r="885" spans="1:1">
      <c r="A885" s="29"/>
    </row>
    <row r="886" spans="1:1">
      <c r="A886" s="29"/>
    </row>
    <row r="887" spans="1:1">
      <c r="A887" s="29"/>
    </row>
    <row r="888" spans="1:1">
      <c r="A888" s="29"/>
    </row>
    <row r="889" spans="1:1">
      <c r="A889" s="29"/>
    </row>
    <row r="890" spans="1:1">
      <c r="A890" s="29"/>
    </row>
    <row r="891" spans="1:1">
      <c r="A891" s="29"/>
    </row>
    <row r="892" spans="1:1">
      <c r="A892" s="29"/>
    </row>
    <row r="893" spans="1:1">
      <c r="A893" s="29"/>
    </row>
    <row r="894" spans="1:1">
      <c r="A894" s="29"/>
    </row>
    <row r="895" spans="1:1">
      <c r="A895" s="29"/>
    </row>
    <row r="896" spans="1:1">
      <c r="A896" s="29"/>
    </row>
    <row r="897" spans="1:1">
      <c r="A897" s="29"/>
    </row>
    <row r="898" spans="1:1">
      <c r="A898" s="29"/>
    </row>
    <row r="899" spans="1:1">
      <c r="A899" s="29"/>
    </row>
    <row r="900" spans="1:1">
      <c r="A900" s="29"/>
    </row>
    <row r="901" spans="1:1">
      <c r="A901" s="29"/>
    </row>
    <row r="902" spans="1:1">
      <c r="A902" s="29"/>
    </row>
    <row r="903" spans="1:1">
      <c r="A903" s="29"/>
    </row>
    <row r="904" spans="1:1">
      <c r="A904" s="29"/>
    </row>
    <row r="905" spans="1:1">
      <c r="A905" s="29"/>
    </row>
    <row r="906" spans="1:1">
      <c r="A906" s="29"/>
    </row>
    <row r="907" spans="1:1">
      <c r="A907" s="29"/>
    </row>
    <row r="908" spans="1:1">
      <c r="A908" s="29"/>
    </row>
    <row r="909" spans="1:1">
      <c r="A909" s="29"/>
    </row>
    <row r="910" spans="1:1">
      <c r="A910" s="29"/>
    </row>
    <row r="911" spans="1:1">
      <c r="A911" s="29"/>
    </row>
    <row r="912" spans="1:1">
      <c r="A912" s="29"/>
    </row>
    <row r="913" spans="1:1">
      <c r="A913" s="29"/>
    </row>
    <row r="914" spans="1:1">
      <c r="A914" s="29"/>
    </row>
    <row r="915" spans="1:1">
      <c r="A915" s="29"/>
    </row>
    <row r="916" spans="1:1">
      <c r="A916" s="29"/>
    </row>
    <row r="917" spans="1:1">
      <c r="A917" s="29"/>
    </row>
    <row r="918" spans="1:1">
      <c r="A918" s="29"/>
    </row>
    <row r="919" spans="1:1">
      <c r="A919" s="29"/>
    </row>
    <row r="920" spans="1:1">
      <c r="A920" s="29"/>
    </row>
    <row r="921" spans="1:1">
      <c r="A921" s="29"/>
    </row>
    <row r="922" spans="1:1">
      <c r="A922" s="29"/>
    </row>
    <row r="923" spans="1:1">
      <c r="A923" s="29"/>
    </row>
    <row r="924" spans="1:1">
      <c r="A924" s="29"/>
    </row>
    <row r="925" spans="1:1">
      <c r="A925" s="29"/>
    </row>
    <row r="926" spans="1:1">
      <c r="A926" s="29"/>
    </row>
    <row r="927" spans="1:1">
      <c r="A927" s="29"/>
    </row>
    <row r="928" spans="1:1">
      <c r="A928" s="29"/>
    </row>
    <row r="929" spans="1:1">
      <c r="A929" s="29"/>
    </row>
    <row r="930" spans="1:1">
      <c r="A930" s="29"/>
    </row>
    <row r="931" spans="1:1">
      <c r="A931" s="29"/>
    </row>
    <row r="932" spans="1:1">
      <c r="A932" s="29"/>
    </row>
    <row r="933" spans="1:1">
      <c r="A933" s="29"/>
    </row>
    <row r="934" spans="1:1">
      <c r="A934" s="29"/>
    </row>
    <row r="935" spans="1:1">
      <c r="A935" s="29"/>
    </row>
    <row r="936" spans="1:1">
      <c r="A936" s="29"/>
    </row>
    <row r="937" spans="1:1">
      <c r="A937" s="29"/>
    </row>
    <row r="938" spans="1:1">
      <c r="A938" s="29"/>
    </row>
    <row r="939" spans="1:1">
      <c r="A939" s="29"/>
    </row>
    <row r="940" spans="1:1">
      <c r="A940" s="29"/>
    </row>
    <row r="941" spans="1:1">
      <c r="A941" s="29"/>
    </row>
    <row r="942" spans="1:1">
      <c r="A942" s="29"/>
    </row>
    <row r="943" spans="1:1">
      <c r="A943" s="29"/>
    </row>
    <row r="944" spans="1:1">
      <c r="A944" s="29"/>
    </row>
    <row r="945" spans="1:1">
      <c r="A945" s="29"/>
    </row>
    <row r="946" spans="1:1">
      <c r="A946" s="29"/>
    </row>
    <row r="947" spans="1:1">
      <c r="A947" s="29"/>
    </row>
    <row r="948" spans="1:1">
      <c r="A948" s="29"/>
    </row>
    <row r="949" spans="1:1">
      <c r="A949" s="29"/>
    </row>
    <row r="950" spans="1:1">
      <c r="A950" s="29"/>
    </row>
    <row r="951" spans="1:1">
      <c r="A951" s="29"/>
    </row>
    <row r="952" spans="1:1">
      <c r="A952" s="29"/>
    </row>
    <row r="953" spans="1:1">
      <c r="A953" s="29"/>
    </row>
    <row r="954" spans="1:1">
      <c r="A954" s="29"/>
    </row>
    <row r="955" spans="1:1">
      <c r="A955" s="29"/>
    </row>
    <row r="956" spans="1:1">
      <c r="A956" s="29"/>
    </row>
    <row r="957" spans="1:1">
      <c r="A957" s="29"/>
    </row>
    <row r="958" spans="1:1">
      <c r="A958" s="29"/>
    </row>
    <row r="959" spans="1:1">
      <c r="A959" s="29"/>
    </row>
    <row r="960" spans="1:1">
      <c r="A960" s="29"/>
    </row>
    <row r="961" spans="1:1">
      <c r="A961" s="29"/>
    </row>
    <row r="962" spans="1:1">
      <c r="A962" s="29"/>
    </row>
    <row r="963" spans="1:1">
      <c r="A963" s="29"/>
    </row>
    <row r="964" spans="1:1">
      <c r="A964" s="29"/>
    </row>
    <row r="965" spans="1:1">
      <c r="A965" s="29"/>
    </row>
    <row r="966" spans="1:1">
      <c r="A966" s="29"/>
    </row>
    <row r="967" spans="1:1">
      <c r="A967" s="29"/>
    </row>
    <row r="968" spans="1:1">
      <c r="A968" s="29"/>
    </row>
    <row r="969" spans="1:1">
      <c r="A969" s="29"/>
    </row>
    <row r="970" spans="1:1">
      <c r="A970" s="29"/>
    </row>
    <row r="971" spans="1:1">
      <c r="A971" s="29"/>
    </row>
    <row r="972" spans="1:1">
      <c r="A972" s="29"/>
    </row>
    <row r="973" spans="1:1">
      <c r="A973" s="29"/>
    </row>
    <row r="974" spans="1:1">
      <c r="A974" s="29"/>
    </row>
    <row r="975" spans="1:1">
      <c r="A975" s="29"/>
    </row>
    <row r="976" spans="1:1">
      <c r="A976" s="29"/>
    </row>
    <row r="977" spans="1:1">
      <c r="A977" s="29"/>
    </row>
    <row r="978" spans="1:1">
      <c r="A978" s="29"/>
    </row>
    <row r="979" spans="1:1">
      <c r="A979" s="29"/>
    </row>
    <row r="980" spans="1:1">
      <c r="A980" s="29"/>
    </row>
    <row r="981" spans="1:1">
      <c r="A981" s="29"/>
    </row>
    <row r="982" spans="1:1">
      <c r="A982" s="29"/>
    </row>
    <row r="983" spans="1:1">
      <c r="A983" s="29"/>
    </row>
    <row r="984" spans="1:1">
      <c r="A984" s="29"/>
    </row>
    <row r="985" spans="1:1">
      <c r="A985" s="29"/>
    </row>
    <row r="986" spans="1:1">
      <c r="A986" s="29"/>
    </row>
    <row r="987" spans="1:1">
      <c r="A987" s="29"/>
    </row>
    <row r="988" spans="1:1">
      <c r="A988" s="29"/>
    </row>
    <row r="989" spans="1:1">
      <c r="A989" s="29"/>
    </row>
    <row r="990" spans="1:1">
      <c r="A990" s="29"/>
    </row>
    <row r="991" spans="1:1">
      <c r="A991" s="29"/>
    </row>
    <row r="992" spans="1:1">
      <c r="A992" s="29"/>
    </row>
    <row r="993" spans="1:1">
      <c r="A993" s="29"/>
    </row>
    <row r="994" spans="1:1">
      <c r="A994" s="29"/>
    </row>
    <row r="995" spans="1:1">
      <c r="A995" s="29"/>
    </row>
    <row r="996" spans="1:1">
      <c r="A996" s="29"/>
    </row>
    <row r="997" spans="1:1">
      <c r="A997" s="29"/>
    </row>
    <row r="998" spans="1:1">
      <c r="A998" s="29"/>
    </row>
    <row r="999" spans="1:1">
      <c r="A999" s="29"/>
    </row>
    <row r="1000" spans="1:1">
      <c r="A1000" s="29"/>
    </row>
  </sheetData>
  <mergeCells count="1">
    <mergeCell ref="F3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Input</vt:lpstr>
      <vt:lpstr>View_Print</vt:lpstr>
      <vt:lpstr>Receipt</vt:lpstr>
      <vt:lpstr>Packing Slip</vt:lpstr>
      <vt:lpstr>Inventory</vt:lpstr>
      <vt:lpstr>Log</vt:lpstr>
      <vt:lpstr>Update</vt:lpstr>
      <vt:lpstr>Data</vt:lpstr>
      <vt:lpstr>contacts</vt:lpstr>
      <vt:lpstr>Address</vt:lpstr>
      <vt:lpstr>NewContact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2025-01-09T17:30:35Z</dcterms:created>
  <dcterms:modified xsi:type="dcterms:W3CDTF">2025-01-09T17:30:35Z</dcterms:modified>
</cp:coreProperties>
</file>