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ffed9c0cf3f584e6/Documents/DataMate/"/>
    </mc:Choice>
  </mc:AlternateContent>
  <xr:revisionPtr revIDLastSave="1" documentId="8_{F33D58D2-F358-46D2-A81C-66A9E3A9D43E}" xr6:coauthVersionLast="47" xr6:coauthVersionMax="47" xr10:uidLastSave="{2EE74F9A-2ABA-4B1B-ADE0-61DE63436880}"/>
  <bookViews>
    <workbookView xWindow="-110" yWindow="-110" windowWidth="27580" windowHeight="17740" activeTab="1" xr2:uid="{00000000-000D-0000-FFFF-FFFF00000000}"/>
  </bookViews>
  <sheets>
    <sheet name="Sheet1" sheetId="1" r:id="rId1"/>
    <sheet name="Input" sheetId="2" r:id="rId2"/>
    <sheet name="View_Print" sheetId="3" r:id="rId3"/>
    <sheet name="Log" sheetId="4" r:id="rId4"/>
    <sheet name="Update" sheetId="5" r:id="rId5"/>
    <sheet name="Data" sheetId="6" r:id="rId6"/>
    <sheet name="contacts" sheetId="7" r:id="rId7"/>
    <sheet name="Address" sheetId="8" r:id="rId8"/>
    <sheet name="NewContact" sheetId="9" r:id="rId9"/>
  </sheets>
  <definedNames>
    <definedName name="_xlnm._FilterDatabase" localSheetId="6" hidden="1">contacts!$A$1:$CL$2000</definedName>
    <definedName name="_xlnm._FilterDatabase" localSheetId="3" hidden="1">Log!$A$9:$O$908</definedName>
    <definedName name="AssignProject">#REF!</definedName>
    <definedName name="ContactCity">#REF!</definedName>
    <definedName name="ContactSCCOCity">#REF!</definedName>
    <definedName name="ContactSCCOState">#REF!</definedName>
    <definedName name="ContactSCCOZip">#REF!</definedName>
    <definedName name="ContactState">#REF!</definedName>
    <definedName name="ContactTransCity">#REF!</definedName>
    <definedName name="ContactTransState">#REF!</definedName>
    <definedName name="ContactTransZip">#REF!</definedName>
    <definedName name="ContactZip">#REF!</definedName>
    <definedName name="CONTRACTOR">#REF!</definedName>
    <definedName name="DESCRIPTION">#REF!</definedName>
    <definedName name="ELEVATION">#REF!</definedName>
    <definedName name="INSPECTOR">#REF!</definedName>
    <definedName name="InvoiceToCity">#REF!</definedName>
    <definedName name="InvoiceToState">#REF!</definedName>
    <definedName name="InvoiceToZip">#REF!</definedName>
    <definedName name="POContactCity">#REF!</definedName>
    <definedName name="POContactState">#REF!</definedName>
    <definedName name="POContactZip">#REF!</definedName>
    <definedName name="POInvoiceToCity">#REF!</definedName>
    <definedName name="POInvoiceToState">#REF!</definedName>
    <definedName name="POInvoiceToZip">#REF!</definedName>
    <definedName name="POShipToCity">#REF!</definedName>
    <definedName name="POShipToState">#REF!</definedName>
    <definedName name="POShipToZip">#REF!</definedName>
    <definedName name="ROOM">#REF!</definedName>
    <definedName name="ShipToCity">#REF!</definedName>
    <definedName name="ShipToState">#REF!</definedName>
    <definedName name="ShipToZip">#REF!</definedName>
    <definedName name="YESN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7" i="3" l="1"/>
  <c r="I157" i="3"/>
  <c r="O151" i="3"/>
  <c r="H150" i="3"/>
  <c r="P142" i="3"/>
  <c r="H142" i="3"/>
  <c r="Q135" i="3"/>
  <c r="M135" i="3"/>
  <c r="H128" i="3"/>
  <c r="M127" i="3"/>
  <c r="L124" i="3"/>
  <c r="Q123" i="3"/>
  <c r="M123" i="3"/>
  <c r="Q119" i="3"/>
  <c r="C117" i="3"/>
  <c r="L113" i="3"/>
  <c r="C113" i="3"/>
  <c r="K110" i="3"/>
  <c r="J110" i="3"/>
  <c r="C108" i="3"/>
  <c r="A108" i="3"/>
  <c r="E106" i="3"/>
  <c r="O104" i="3"/>
  <c r="L103" i="3"/>
  <c r="J103" i="3"/>
  <c r="H103" i="3"/>
  <c r="H102" i="3"/>
  <c r="L101" i="3"/>
  <c r="I101" i="3"/>
  <c r="L100" i="3"/>
  <c r="M99" i="3"/>
  <c r="K99" i="3"/>
  <c r="N98" i="3"/>
  <c r="L98" i="3"/>
  <c r="P97" i="3"/>
  <c r="Q96" i="3"/>
  <c r="B96" i="3"/>
  <c r="A96" i="3"/>
  <c r="Q95" i="3"/>
  <c r="C95" i="3"/>
  <c r="B95" i="3"/>
  <c r="P94" i="3"/>
  <c r="L94" i="3"/>
  <c r="Q93" i="3"/>
  <c r="M93" i="3"/>
  <c r="D93" i="3"/>
  <c r="C93" i="3"/>
  <c r="A93" i="3"/>
  <c r="E92" i="3"/>
  <c r="D92" i="3"/>
  <c r="G91" i="3"/>
  <c r="F91" i="3"/>
  <c r="P90" i="3"/>
  <c r="H90" i="3"/>
  <c r="F90" i="3"/>
  <c r="D90" i="3"/>
  <c r="Q89" i="3"/>
  <c r="E89" i="3"/>
  <c r="J88" i="3"/>
  <c r="I88" i="3"/>
  <c r="H88" i="3"/>
  <c r="K87" i="3"/>
  <c r="J87" i="3"/>
  <c r="G87" i="3"/>
  <c r="L86" i="3"/>
  <c r="H86" i="3"/>
  <c r="D86" i="3"/>
  <c r="L85" i="3"/>
  <c r="K85" i="3"/>
  <c r="I85" i="3"/>
  <c r="M84" i="3"/>
  <c r="F84" i="3"/>
  <c r="O83" i="3"/>
  <c r="N83" i="3"/>
  <c r="G83" i="3"/>
  <c r="P82" i="3"/>
  <c r="N82" i="3"/>
  <c r="L82" i="3"/>
  <c r="O81" i="3"/>
  <c r="M81" i="3"/>
  <c r="A81" i="3"/>
  <c r="Q80" i="3"/>
  <c r="P80" i="3"/>
  <c r="B80" i="3"/>
  <c r="A80" i="3"/>
  <c r="K79" i="3"/>
  <c r="C79" i="3"/>
  <c r="P78" i="3"/>
  <c r="L78" i="3"/>
  <c r="C78" i="3"/>
  <c r="B78" i="3"/>
  <c r="Q77" i="3"/>
  <c r="C77" i="3"/>
  <c r="N76" i="3"/>
  <c r="F76" i="3"/>
  <c r="E76" i="3"/>
  <c r="O75" i="3"/>
  <c r="G75" i="3"/>
  <c r="E75" i="3"/>
  <c r="P74" i="3"/>
  <c r="F74" i="3"/>
  <c r="D74" i="3"/>
  <c r="I73" i="3"/>
  <c r="H73" i="3"/>
  <c r="G73" i="3"/>
  <c r="J72" i="3"/>
  <c r="F72" i="3"/>
  <c r="B72" i="3"/>
  <c r="K71" i="3"/>
  <c r="G71" i="3"/>
  <c r="C71" i="3"/>
  <c r="K70" i="3"/>
  <c r="J70" i="3"/>
  <c r="L69" i="3"/>
  <c r="K69" i="3"/>
  <c r="E69" i="3"/>
  <c r="N68" i="3"/>
  <c r="M68" i="3"/>
  <c r="F68" i="3"/>
  <c r="O67" i="3"/>
  <c r="K67" i="3"/>
  <c r="G67" i="3"/>
  <c r="N66" i="3"/>
  <c r="L66" i="3"/>
  <c r="Q65" i="3"/>
  <c r="P65" i="3"/>
  <c r="O65" i="3"/>
  <c r="Q64" i="3"/>
  <c r="N64" i="3"/>
  <c r="J64" i="3"/>
  <c r="B64" i="3"/>
  <c r="O63" i="3"/>
  <c r="K63" i="3"/>
  <c r="B63" i="3"/>
  <c r="P62" i="3"/>
  <c r="C62" i="3"/>
  <c r="B62" i="3"/>
  <c r="M61" i="3"/>
  <c r="E61" i="3"/>
  <c r="D61" i="3"/>
  <c r="N60" i="3"/>
  <c r="E60" i="3"/>
  <c r="D60" i="3"/>
  <c r="B60" i="3"/>
  <c r="J59" i="3"/>
  <c r="G59" i="3"/>
  <c r="P58" i="3"/>
  <c r="O58" i="3"/>
  <c r="D58" i="3"/>
  <c r="C58" i="3"/>
  <c r="P57" i="3"/>
  <c r="O57" i="3"/>
  <c r="H57" i="3"/>
  <c r="D57" i="3"/>
  <c r="A57" i="3"/>
  <c r="I56" i="3"/>
  <c r="H56" i="3"/>
  <c r="O55" i="3"/>
  <c r="N55" i="3"/>
  <c r="J55" i="3"/>
  <c r="C55" i="3"/>
  <c r="B55" i="3"/>
  <c r="H54" i="3"/>
  <c r="D54" i="3"/>
  <c r="C54" i="3"/>
  <c r="B54" i="3"/>
  <c r="K53" i="3"/>
  <c r="J53" i="3"/>
  <c r="C53" i="3"/>
  <c r="A53" i="3"/>
  <c r="J52" i="3"/>
  <c r="I52" i="3"/>
  <c r="E52" i="3"/>
  <c r="D52" i="3"/>
  <c r="O51" i="3"/>
  <c r="L51" i="3"/>
  <c r="D51" i="3"/>
  <c r="C51" i="3"/>
  <c r="B51" i="3"/>
  <c r="M50" i="3"/>
  <c r="L50" i="3"/>
  <c r="J50" i="3"/>
  <c r="F50" i="3"/>
  <c r="B50" i="3"/>
  <c r="O49" i="3"/>
  <c r="M49" i="3"/>
  <c r="L49" i="3"/>
  <c r="K49" i="3"/>
  <c r="E49" i="3"/>
  <c r="D49" i="3"/>
  <c r="O48" i="3"/>
  <c r="N48" i="3"/>
  <c r="C48" i="3"/>
  <c r="A48" i="3"/>
  <c r="P47" i="3"/>
  <c r="O47" i="3"/>
  <c r="K47" i="3"/>
  <c r="G47" i="3"/>
  <c r="B47" i="3"/>
  <c r="A47" i="3"/>
  <c r="Q46" i="3"/>
  <c r="P46" i="3"/>
  <c r="K46" i="3"/>
  <c r="J46" i="3"/>
  <c r="D46" i="3"/>
  <c r="C46" i="3"/>
  <c r="B46" i="3"/>
  <c r="Q45" i="3"/>
  <c r="M45" i="3"/>
  <c r="K45" i="3"/>
  <c r="J45" i="3"/>
  <c r="E45" i="3"/>
  <c r="C45" i="3"/>
  <c r="B45" i="3"/>
  <c r="N44" i="3"/>
  <c r="M44" i="3"/>
  <c r="L44" i="3"/>
  <c r="K44" i="3"/>
  <c r="A44" i="3"/>
  <c r="P43" i="3"/>
  <c r="O43" i="3"/>
  <c r="K43" i="3"/>
  <c r="J43" i="3"/>
  <c r="H43" i="3"/>
  <c r="G43" i="3"/>
  <c r="P42" i="3"/>
  <c r="O42" i="3"/>
  <c r="N42" i="3"/>
  <c r="I42" i="3"/>
  <c r="E42" i="3"/>
  <c r="Q41" i="3"/>
  <c r="M41" i="3"/>
  <c r="K41" i="3"/>
  <c r="I41" i="3"/>
  <c r="E41" i="3"/>
  <c r="C41" i="3"/>
  <c r="B41" i="3"/>
  <c r="A41" i="3"/>
  <c r="N40" i="3"/>
  <c r="K40" i="3"/>
  <c r="F40" i="3"/>
  <c r="E40" i="3"/>
  <c r="D40" i="3"/>
  <c r="C40" i="3"/>
  <c r="N39" i="3"/>
  <c r="M39" i="3"/>
  <c r="J39" i="3"/>
  <c r="F39" i="3"/>
  <c r="E39" i="3"/>
  <c r="C39" i="3"/>
  <c r="B39" i="3"/>
  <c r="N38" i="3"/>
  <c r="M38" i="3"/>
  <c r="K38" i="3"/>
  <c r="F38" i="3"/>
  <c r="E38" i="3"/>
  <c r="C38" i="3"/>
  <c r="P37" i="3"/>
  <c r="O37" i="3"/>
  <c r="N37" i="3"/>
  <c r="H37" i="3"/>
  <c r="F37" i="3"/>
  <c r="E37" i="3"/>
  <c r="A37" i="3"/>
  <c r="N36" i="3"/>
  <c r="L36" i="3"/>
  <c r="K36" i="3"/>
  <c r="E36" i="3"/>
  <c r="A36" i="3"/>
  <c r="Q35" i="3"/>
  <c r="L35" i="3"/>
  <c r="K35" i="3"/>
  <c r="I35" i="3"/>
  <c r="H35" i="3"/>
  <c r="Q34" i="3"/>
  <c r="O34" i="3"/>
  <c r="N34" i="3"/>
  <c r="I34" i="3"/>
  <c r="H34" i="3"/>
  <c r="G34" i="3"/>
  <c r="F34" i="3"/>
  <c r="N33" i="3"/>
  <c r="L33" i="3"/>
  <c r="H33" i="3"/>
  <c r="G33" i="3"/>
  <c r="F33" i="3"/>
  <c r="A33" i="3"/>
  <c r="N32" i="3"/>
  <c r="K32" i="3"/>
  <c r="J32" i="3"/>
  <c r="F32" i="3"/>
  <c r="A32" i="3"/>
  <c r="Q31" i="3"/>
  <c r="L31" i="3"/>
  <c r="K31" i="3"/>
  <c r="I31" i="3"/>
  <c r="A31" i="3"/>
  <c r="Q30" i="3"/>
  <c r="O30" i="3"/>
  <c r="N30" i="3"/>
  <c r="J30" i="3"/>
  <c r="I30" i="3"/>
  <c r="F30" i="3"/>
  <c r="O29" i="3"/>
  <c r="N29" i="3"/>
  <c r="M29" i="3"/>
  <c r="L29" i="3"/>
  <c r="G29" i="3"/>
  <c r="F29" i="3"/>
  <c r="N28" i="3"/>
  <c r="M28" i="3"/>
  <c r="L28" i="3"/>
  <c r="J28" i="3"/>
  <c r="F28" i="3"/>
  <c r="A28" i="3"/>
  <c r="Q27" i="3"/>
  <c r="L27" i="3"/>
  <c r="J27" i="3"/>
  <c r="I27" i="3"/>
  <c r="D27" i="3"/>
  <c r="C27" i="3"/>
  <c r="B27" i="3"/>
  <c r="A27" i="3"/>
  <c r="L26" i="3"/>
  <c r="J26" i="3"/>
  <c r="I26" i="3"/>
  <c r="E26" i="3"/>
  <c r="D26" i="3"/>
  <c r="A26" i="3"/>
  <c r="Q25" i="3"/>
  <c r="K25" i="3"/>
  <c r="J25" i="3"/>
  <c r="I25" i="3"/>
  <c r="D25" i="3"/>
  <c r="C25" i="3"/>
  <c r="A25" i="3"/>
  <c r="N24" i="3"/>
  <c r="L24" i="3"/>
  <c r="J24" i="3"/>
  <c r="C24" i="3"/>
  <c r="A24" i="3"/>
  <c r="Q23" i="3"/>
  <c r="P23" i="3"/>
  <c r="L23" i="3"/>
  <c r="I23" i="3"/>
  <c r="A23" i="3"/>
  <c r="Q22" i="3"/>
  <c r="P22" i="3"/>
  <c r="O22" i="3"/>
  <c r="J22" i="3"/>
  <c r="I22" i="3"/>
  <c r="C22" i="3"/>
  <c r="P21" i="3"/>
  <c r="O21" i="3"/>
  <c r="M21" i="3"/>
  <c r="L21" i="3"/>
  <c r="D21" i="3"/>
  <c r="C21" i="3"/>
  <c r="A21" i="3"/>
  <c r="M20" i="3"/>
  <c r="L20" i="3"/>
  <c r="J20" i="3"/>
  <c r="P19" i="3"/>
  <c r="O19" i="3"/>
  <c r="N19" i="3"/>
  <c r="H19" i="3"/>
  <c r="F19" i="3"/>
  <c r="E19" i="3"/>
  <c r="D19" i="3"/>
  <c r="Q18" i="3"/>
  <c r="O18" i="3"/>
  <c r="N18" i="3"/>
  <c r="G18" i="3"/>
  <c r="F18" i="3"/>
  <c r="E18" i="3"/>
  <c r="P17" i="3"/>
  <c r="O17" i="3"/>
  <c r="M17" i="3"/>
  <c r="L17" i="3"/>
  <c r="H17" i="3"/>
  <c r="F17" i="3"/>
  <c r="E17" i="3"/>
  <c r="C17" i="3"/>
  <c r="Q16" i="3"/>
  <c r="P16" i="3"/>
  <c r="O16" i="3"/>
  <c r="L16" i="3"/>
  <c r="G16" i="3"/>
  <c r="F16" i="3"/>
  <c r="E16" i="3"/>
  <c r="D16" i="3"/>
  <c r="P15" i="3"/>
  <c r="O15" i="3"/>
  <c r="L15" i="3"/>
  <c r="K15" i="3"/>
  <c r="G15" i="3"/>
  <c r="E15" i="3"/>
  <c r="D15" i="3"/>
  <c r="A15" i="3"/>
  <c r="O14" i="3"/>
  <c r="M14" i="3"/>
  <c r="K14" i="3"/>
  <c r="J14" i="3"/>
  <c r="O13" i="3"/>
  <c r="N13" i="3"/>
  <c r="M13" i="3"/>
  <c r="L13" i="3"/>
  <c r="A13" i="3"/>
  <c r="Q12" i="3"/>
  <c r="P12" i="3"/>
  <c r="O12" i="3"/>
  <c r="N12" i="3"/>
  <c r="M12" i="3"/>
  <c r="J12" i="3"/>
  <c r="H12" i="3"/>
  <c r="G12" i="3"/>
  <c r="F12" i="3"/>
  <c r="E12" i="3"/>
  <c r="B12" i="3"/>
  <c r="A12" i="3"/>
  <c r="Q11" i="3"/>
  <c r="O11" i="3"/>
  <c r="N11" i="3"/>
  <c r="K11" i="3"/>
  <c r="J11" i="3"/>
  <c r="I11" i="3"/>
  <c r="F11" i="3"/>
  <c r="E11" i="3"/>
  <c r="O10" i="3"/>
  <c r="N10" i="3"/>
  <c r="M10" i="3"/>
  <c r="L10" i="3"/>
  <c r="K10" i="3"/>
  <c r="J10" i="3"/>
  <c r="E10" i="3"/>
  <c r="Q9" i="3"/>
  <c r="P9" i="3"/>
  <c r="O9" i="3"/>
  <c r="N9" i="3"/>
  <c r="K9" i="3"/>
  <c r="J9" i="3"/>
  <c r="I9" i="3"/>
  <c r="E9" i="3"/>
  <c r="A9" i="3"/>
  <c r="O8" i="3"/>
  <c r="N8" i="3"/>
  <c r="M8" i="3"/>
  <c r="L8" i="3"/>
  <c r="K8" i="3"/>
  <c r="G8" i="3"/>
  <c r="F8" i="3"/>
  <c r="E8" i="3"/>
  <c r="D8" i="3"/>
  <c r="C8" i="3"/>
  <c r="B8" i="3"/>
  <c r="P7" i="3"/>
  <c r="N7" i="3"/>
  <c r="M7" i="3"/>
  <c r="L7" i="3"/>
  <c r="K7" i="3"/>
  <c r="H7" i="3"/>
  <c r="F7" i="3"/>
  <c r="B7" i="3"/>
  <c r="Q6" i="3"/>
  <c r="P6" i="3"/>
  <c r="M6" i="3"/>
  <c r="L6" i="3"/>
  <c r="K6" i="3"/>
  <c r="J6" i="3"/>
  <c r="I6" i="3"/>
  <c r="E6" i="3"/>
  <c r="D6" i="3"/>
  <c r="C6" i="3"/>
  <c r="B6" i="3"/>
  <c r="A6" i="3"/>
  <c r="Q5" i="3"/>
  <c r="N5" i="3"/>
  <c r="L5" i="3"/>
  <c r="K5" i="3"/>
  <c r="J5" i="3"/>
  <c r="I5" i="3"/>
  <c r="Q4" i="3"/>
  <c r="P4" i="3"/>
  <c r="O4" i="3"/>
  <c r="M4" i="3"/>
  <c r="L4" i="3"/>
  <c r="J4" i="3"/>
  <c r="I4" i="3"/>
  <c r="H4" i="3"/>
  <c r="G4" i="3"/>
  <c r="F4" i="3"/>
  <c r="D4" i="3"/>
  <c r="B4" i="3"/>
  <c r="A4" i="3"/>
  <c r="Q3" i="3"/>
  <c r="P3" i="3"/>
  <c r="O3" i="3"/>
  <c r="N3" i="3"/>
  <c r="K3" i="3"/>
  <c r="J3" i="3"/>
  <c r="I3" i="3"/>
  <c r="A3" i="3"/>
  <c r="O2" i="3"/>
  <c r="N2" i="3"/>
  <c r="M2" i="3"/>
  <c r="A1" i="3"/>
  <c r="H46" i="2"/>
  <c r="J2" i="2" s="1"/>
  <c r="A42" i="2"/>
  <c r="G38" i="2"/>
  <c r="E18" i="2" s="1"/>
  <c r="F18" i="2" s="1"/>
  <c r="G18" i="2" s="1"/>
  <c r="F38" i="2"/>
  <c r="D18" i="2"/>
  <c r="F11" i="2"/>
  <c r="F10" i="2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A1" i="9"/>
  <c r="E14" i="8"/>
  <c r="A14" i="8"/>
  <c r="E13" i="8"/>
  <c r="B13" i="8"/>
  <c r="A13" i="8"/>
  <c r="E12" i="8"/>
  <c r="B12" i="8"/>
  <c r="A12" i="8"/>
  <c r="E11" i="8"/>
  <c r="A11" i="8"/>
  <c r="E10" i="8"/>
  <c r="B10" i="8"/>
  <c r="A10" i="8"/>
  <c r="E9" i="8"/>
  <c r="A9" i="8"/>
  <c r="E8" i="8"/>
  <c r="B8" i="8"/>
  <c r="A8" i="8"/>
  <c r="E7" i="8"/>
  <c r="B7" i="8"/>
  <c r="A7" i="8"/>
  <c r="E6" i="8"/>
  <c r="A6" i="8"/>
  <c r="E5" i="8"/>
  <c r="B5" i="8"/>
  <c r="A5" i="8"/>
  <c r="E4" i="8"/>
  <c r="B4" i="8"/>
  <c r="A4" i="8"/>
  <c r="E3" i="8"/>
  <c r="A3" i="8"/>
  <c r="E2" i="8"/>
  <c r="B2" i="8"/>
  <c r="A2" i="8"/>
  <c r="A1" i="8"/>
  <c r="A1" i="7"/>
  <c r="B11" i="8" s="1"/>
  <c r="AG1" i="6"/>
  <c r="AD1" i="6"/>
  <c r="AC1" i="6"/>
  <c r="P1" i="5"/>
  <c r="O1" i="5"/>
  <c r="N1" i="5"/>
  <c r="D1" i="5"/>
  <c r="O9" i="4"/>
  <c r="L9" i="4"/>
  <c r="K9" i="4"/>
  <c r="J9" i="4"/>
  <c r="B3" i="4"/>
  <c r="O1" i="3"/>
  <c r="F2" i="2"/>
  <c r="E2" i="2"/>
  <c r="D2" i="2"/>
  <c r="C2" i="2"/>
  <c r="B2" i="2"/>
  <c r="A2" i="2"/>
  <c r="N1" i="2"/>
  <c r="M1" i="2"/>
  <c r="J1" i="2"/>
  <c r="AB1" i="6" s="1"/>
  <c r="I1" i="2"/>
  <c r="H1" i="2"/>
  <c r="G1" i="2"/>
  <c r="F1" i="2"/>
  <c r="J1" i="5" s="1"/>
  <c r="E1" i="2"/>
  <c r="W1" i="6" s="1"/>
  <c r="D1" i="2"/>
  <c r="C1" i="2"/>
  <c r="B1" i="2"/>
  <c r="B9" i="4" s="1"/>
  <c r="A1" i="2"/>
  <c r="E1" i="5" s="1"/>
  <c r="H46" i="1"/>
  <c r="A42" i="1"/>
  <c r="G38" i="1"/>
  <c r="E18" i="1" s="1"/>
  <c r="F38" i="1"/>
  <c r="F18" i="1"/>
  <c r="G18" i="1" s="1"/>
  <c r="D18" i="1"/>
  <c r="F11" i="1" a="1"/>
  <c r="F11" i="1" s="1"/>
  <c r="F10" i="1" a="1"/>
  <c r="F10" i="1" s="1"/>
  <c r="O177" i="3" l="1"/>
  <c r="N172" i="3"/>
  <c r="Q149" i="3"/>
  <c r="I131" i="3"/>
  <c r="P120" i="3"/>
  <c r="B113" i="3"/>
  <c r="C106" i="3"/>
  <c r="K102" i="3"/>
  <c r="J100" i="3"/>
  <c r="O97" i="3"/>
  <c r="O95" i="3"/>
  <c r="C94" i="3"/>
  <c r="N92" i="3"/>
  <c r="E91" i="3"/>
  <c r="I89" i="3"/>
  <c r="F88" i="3"/>
  <c r="K86" i="3"/>
  <c r="E85" i="3"/>
  <c r="M83" i="3"/>
  <c r="Q81" i="3"/>
  <c r="N80" i="3"/>
  <c r="B79" i="3"/>
  <c r="M77" i="3"/>
  <c r="D76" i="3"/>
  <c r="H74" i="3"/>
  <c r="E73" i="3"/>
  <c r="J71" i="3"/>
  <c r="D70" i="3"/>
  <c r="L68" i="3"/>
  <c r="P66" i="3"/>
  <c r="M65" i="3"/>
  <c r="A64" i="3"/>
  <c r="L62" i="3"/>
  <c r="C61" i="3"/>
  <c r="M59" i="3"/>
  <c r="L58" i="3"/>
  <c r="G57" i="3"/>
  <c r="F56" i="3"/>
  <c r="A55" i="3"/>
  <c r="M53" i="3"/>
  <c r="Q52" i="3"/>
  <c r="N51" i="3"/>
  <c r="A51" i="3"/>
  <c r="D50" i="3"/>
  <c r="G49" i="3"/>
  <c r="M48" i="3"/>
  <c r="J47" i="3"/>
  <c r="A169" i="3"/>
  <c r="F144" i="3"/>
  <c r="E131" i="3"/>
  <c r="D120" i="3"/>
  <c r="D111" i="3"/>
  <c r="P105" i="3"/>
  <c r="J102" i="3"/>
  <c r="N99" i="3"/>
  <c r="M97" i="3"/>
  <c r="K95" i="3"/>
  <c r="B94" i="3"/>
  <c r="F92" i="3"/>
  <c r="C91" i="3"/>
  <c r="H89" i="3"/>
  <c r="B88" i="3"/>
  <c r="J86" i="3"/>
  <c r="N84" i="3"/>
  <c r="K83" i="3"/>
  <c r="P81" i="3"/>
  <c r="J80" i="3"/>
  <c r="A79" i="3"/>
  <c r="E77" i="3"/>
  <c r="B76" i="3"/>
  <c r="G74" i="3"/>
  <c r="A73" i="3"/>
  <c r="I71" i="3"/>
  <c r="M69" i="3"/>
  <c r="J68" i="3"/>
  <c r="O66" i="3"/>
  <c r="I65" i="3"/>
  <c r="Q63" i="3"/>
  <c r="D62" i="3"/>
  <c r="A61" i="3"/>
  <c r="K59" i="3"/>
  <c r="K58" i="3"/>
  <c r="E57" i="3"/>
  <c r="Q55" i="3"/>
  <c r="P54" i="3"/>
  <c r="L53" i="3"/>
  <c r="N52" i="3"/>
  <c r="M51" i="3"/>
  <c r="N50" i="3"/>
  <c r="C50" i="3"/>
  <c r="F49" i="3"/>
  <c r="L48" i="3"/>
  <c r="I47" i="3"/>
  <c r="L46" i="3"/>
  <c r="A46" i="3"/>
  <c r="D45" i="3"/>
  <c r="J44" i="3"/>
  <c r="I43" i="3"/>
  <c r="J42" i="3"/>
  <c r="J41" i="3"/>
  <c r="M40" i="3"/>
  <c r="A40" i="3"/>
  <c r="D39" i="3"/>
  <c r="G38" i="3"/>
  <c r="M37" i="3"/>
  <c r="M36" i="3"/>
  <c r="P35" i="3"/>
  <c r="P34" i="3"/>
  <c r="P33" i="3"/>
  <c r="E33" i="3"/>
  <c r="E32" i="3"/>
  <c r="H31" i="3"/>
  <c r="H30" i="3"/>
  <c r="H29" i="3"/>
  <c r="K28" i="3"/>
  <c r="K27" i="3"/>
  <c r="Q26" i="3"/>
  <c r="C26" i="3"/>
  <c r="E25" i="3"/>
  <c r="K24" i="3"/>
  <c r="K23" i="3"/>
  <c r="N22" i="3"/>
  <c r="N21" i="3"/>
  <c r="N20" i="3"/>
  <c r="M19" i="3"/>
  <c r="P18" i="3"/>
  <c r="D18" i="3"/>
  <c r="G17" i="3"/>
  <c r="N16" i="3"/>
  <c r="B16" i="3"/>
  <c r="F15" i="3"/>
  <c r="L14" i="3"/>
  <c r="Q157" i="3"/>
  <c r="P136" i="3"/>
  <c r="I127" i="3"/>
  <c r="H116" i="3"/>
  <c r="L108" i="3"/>
  <c r="L104" i="3"/>
  <c r="K101" i="3"/>
  <c r="O98" i="3"/>
  <c r="N96" i="3"/>
  <c r="A95" i="3"/>
  <c r="E93" i="3"/>
  <c r="B92" i="3"/>
  <c r="G90" i="3"/>
  <c r="A89" i="3"/>
  <c r="I87" i="3"/>
  <c r="M85" i="3"/>
  <c r="J84" i="3"/>
  <c r="O82" i="3"/>
  <c r="I81" i="3"/>
  <c r="Q79" i="3"/>
  <c r="D78" i="3"/>
  <c r="A77" i="3"/>
  <c r="F75" i="3"/>
  <c r="Q73" i="3"/>
  <c r="H72" i="3"/>
  <c r="L70" i="3"/>
  <c r="I69" i="3"/>
  <c r="N67" i="3"/>
  <c r="H66" i="3"/>
  <c r="P64" i="3"/>
  <c r="C63" i="3"/>
  <c r="Q61" i="3"/>
  <c r="F60" i="3"/>
  <c r="F59" i="3"/>
  <c r="Q57" i="3"/>
  <c r="M56" i="3"/>
  <c r="K55" i="3"/>
  <c r="G54" i="3"/>
  <c r="I53" i="3"/>
  <c r="F52" i="3"/>
  <c r="E51" i="3"/>
  <c r="K50" i="3"/>
  <c r="N49" i="3"/>
  <c r="C49" i="3"/>
  <c r="Q47" i="3"/>
  <c r="C47" i="3"/>
  <c r="I46" i="3"/>
  <c r="L45" i="3"/>
  <c r="A45" i="3"/>
  <c r="Q43" i="3"/>
  <c r="A43" i="3"/>
  <c r="A42" i="3"/>
  <c r="D41" i="3"/>
  <c r="J40" i="3"/>
  <c r="L39" i="3"/>
  <c r="O38" i="3"/>
  <c r="D38" i="3"/>
  <c r="G37" i="3"/>
  <c r="J36" i="3"/>
  <c r="J35" i="3"/>
  <c r="J34" i="3"/>
  <c r="M33" i="3"/>
  <c r="M32" i="3"/>
  <c r="P31" i="3"/>
  <c r="P30" i="3"/>
  <c r="P29" i="3"/>
  <c r="E29" i="3"/>
  <c r="E28" i="3"/>
  <c r="H27" i="3"/>
  <c r="K26" i="3"/>
  <c r="M25" i="3"/>
  <c r="B25" i="3"/>
  <c r="B24" i="3"/>
  <c r="H23" i="3"/>
  <c r="H22" i="3"/>
  <c r="H21" i="3"/>
  <c r="K20" i="3"/>
  <c r="G19" i="3"/>
  <c r="M18" i="3"/>
  <c r="N17" i="3"/>
  <c r="D17" i="3"/>
  <c r="I16" i="3"/>
  <c r="N15" i="3"/>
  <c r="B15" i="3"/>
  <c r="P13" i="3"/>
  <c r="M3" i="3"/>
  <c r="E4" i="3"/>
  <c r="N4" i="3"/>
  <c r="M5" i="3"/>
  <c r="H6" i="3"/>
  <c r="A7" i="3"/>
  <c r="O7" i="3"/>
  <c r="J8" i="3"/>
  <c r="F9" i="3"/>
  <c r="A10" i="3"/>
  <c r="A11" i="3"/>
  <c r="P11" i="3"/>
  <c r="I12" i="3"/>
  <c r="K13" i="3"/>
  <c r="N14" i="3"/>
  <c r="M15" i="3"/>
  <c r="M16" i="3"/>
  <c r="K17" i="3"/>
  <c r="I18" i="3"/>
  <c r="L19" i="3"/>
  <c r="B21" i="3"/>
  <c r="D22" i="3"/>
  <c r="J23" i="3"/>
  <c r="M24" i="3"/>
  <c r="L25" i="3"/>
  <c r="M26" i="3"/>
  <c r="P27" i="3"/>
  <c r="A29" i="3"/>
  <c r="G30" i="3"/>
  <c r="J31" i="3"/>
  <c r="L32" i="3"/>
  <c r="O33" i="3"/>
  <c r="A35" i="3"/>
  <c r="F36" i="3"/>
  <c r="L37" i="3"/>
  <c r="L38" i="3"/>
  <c r="K39" i="3"/>
  <c r="L40" i="3"/>
  <c r="L41" i="3"/>
  <c r="Q42" i="3"/>
  <c r="B44" i="3"/>
  <c r="I45" i="3"/>
  <c r="H46" i="3"/>
  <c r="H47" i="3"/>
  <c r="P48" i="3"/>
  <c r="E50" i="3"/>
  <c r="K51" i="3"/>
  <c r="B53" i="3"/>
  <c r="O54" i="3"/>
  <c r="J56" i="3"/>
  <c r="N58" i="3"/>
  <c r="I60" i="3"/>
  <c r="A63" i="3"/>
  <c r="A65" i="3"/>
  <c r="M67" i="3"/>
  <c r="H70" i="3"/>
  <c r="I72" i="3"/>
  <c r="C75" i="3"/>
  <c r="D77" i="3"/>
  <c r="O79" i="3"/>
  <c r="H82" i="3"/>
  <c r="L84" i="3"/>
  <c r="C87" i="3"/>
  <c r="G89" i="3"/>
  <c r="O91" i="3"/>
  <c r="D94" i="3"/>
  <c r="P96" i="3"/>
  <c r="M100" i="3"/>
  <c r="P104" i="3"/>
  <c r="D116" i="3"/>
  <c r="D132" i="3"/>
  <c r="G159" i="3"/>
  <c r="A97" i="3"/>
  <c r="Q97" i="3"/>
  <c r="P98" i="3"/>
  <c r="O99" i="3"/>
  <c r="N100" i="3"/>
  <c r="M101" i="3"/>
  <c r="L102" i="3"/>
  <c r="M103" i="3"/>
  <c r="Q104" i="3"/>
  <c r="J106" i="3"/>
  <c r="M108" i="3"/>
  <c r="E111" i="3"/>
  <c r="N113" i="3"/>
  <c r="G117" i="3"/>
  <c r="C121" i="3"/>
  <c r="P124" i="3"/>
  <c r="L128" i="3"/>
  <c r="H132" i="3"/>
  <c r="F137" i="3"/>
  <c r="N144" i="3"/>
  <c r="F152" i="3"/>
  <c r="O159" i="3"/>
  <c r="B174" i="3"/>
  <c r="A5" i="3"/>
  <c r="O5" i="3"/>
  <c r="F6" i="3"/>
  <c r="N6" i="3"/>
  <c r="I7" i="3"/>
  <c r="Q7" i="3"/>
  <c r="H8" i="3"/>
  <c r="P8" i="3"/>
  <c r="L9" i="3"/>
  <c r="F10" i="3"/>
  <c r="P10" i="3"/>
  <c r="L11" i="3"/>
  <c r="C12" i="3"/>
  <c r="K12" i="3"/>
  <c r="I13" i="3"/>
  <c r="Q13" i="3"/>
  <c r="P14" i="3"/>
  <c r="I15" i="3"/>
  <c r="Q15" i="3"/>
  <c r="J16" i="3"/>
  <c r="A17" i="3"/>
  <c r="I17" i="3"/>
  <c r="Q17" i="3"/>
  <c r="J18" i="3"/>
  <c r="A19" i="3"/>
  <c r="I19" i="3"/>
  <c r="Q19" i="3"/>
  <c r="O20" i="3"/>
  <c r="I21" i="3"/>
  <c r="Q21" i="3"/>
  <c r="K22" i="3"/>
  <c r="B23" i="3"/>
  <c r="M23" i="3"/>
  <c r="D24" i="3"/>
  <c r="O24" i="3"/>
  <c r="F25" i="3"/>
  <c r="N25" i="3"/>
  <c r="F26" i="3"/>
  <c r="N26" i="3"/>
  <c r="E27" i="3"/>
  <c r="M27" i="3"/>
  <c r="G28" i="3"/>
  <c r="O28" i="3"/>
  <c r="I29" i="3"/>
  <c r="Q29" i="3"/>
  <c r="K30" i="3"/>
  <c r="E31" i="3"/>
  <c r="M31" i="3"/>
  <c r="G32" i="3"/>
  <c r="O32" i="3"/>
  <c r="I33" i="3"/>
  <c r="Q33" i="3"/>
  <c r="K34" i="3"/>
  <c r="E35" i="3"/>
  <c r="M35" i="3"/>
  <c r="G36" i="3"/>
  <c r="O36" i="3"/>
  <c r="I37" i="3"/>
  <c r="Q37" i="3"/>
  <c r="H38" i="3"/>
  <c r="P38" i="3"/>
  <c r="G39" i="3"/>
  <c r="O39" i="3"/>
  <c r="G40" i="3"/>
  <c r="O40" i="3"/>
  <c r="F41" i="3"/>
  <c r="N41" i="3"/>
  <c r="K42" i="3"/>
  <c r="D43" i="3"/>
  <c r="L43" i="3"/>
  <c r="E44" i="3"/>
  <c r="O44" i="3"/>
  <c r="F45" i="3"/>
  <c r="N45" i="3"/>
  <c r="E46" i="3"/>
  <c r="M46" i="3"/>
  <c r="D47" i="3"/>
  <c r="L47" i="3"/>
  <c r="I48" i="3"/>
  <c r="Q48" i="3"/>
  <c r="H49" i="3"/>
  <c r="P49" i="3"/>
  <c r="G50" i="3"/>
  <c r="O50" i="3"/>
  <c r="F51" i="3"/>
  <c r="A52" i="3"/>
  <c r="K52" i="3"/>
  <c r="D53" i="3"/>
  <c r="P53" i="3"/>
  <c r="J54" i="3"/>
  <c r="F55" i="3"/>
  <c r="A56" i="3"/>
  <c r="N56" i="3"/>
  <c r="I57" i="3"/>
  <c r="F58" i="3"/>
  <c r="B59" i="3"/>
  <c r="N59" i="3"/>
  <c r="J60" i="3"/>
  <c r="I61" i="3"/>
  <c r="H62" i="3"/>
  <c r="G63" i="3"/>
  <c r="F64" i="3"/>
  <c r="E65" i="3"/>
  <c r="D66" i="3"/>
  <c r="C67" i="3"/>
  <c r="B68" i="3"/>
  <c r="A69" i="3"/>
  <c r="Q69" i="3"/>
  <c r="P70" i="3"/>
  <c r="O71" i="3"/>
  <c r="N72" i="3"/>
  <c r="M73" i="3"/>
  <c r="L74" i="3"/>
  <c r="K75" i="3"/>
  <c r="J76" i="3"/>
  <c r="I77" i="3"/>
  <c r="H78" i="3"/>
  <c r="G79" i="3"/>
  <c r="F80" i="3"/>
  <c r="E81" i="3"/>
  <c r="D82" i="3"/>
  <c r="C83" i="3"/>
  <c r="B84" i="3"/>
  <c r="A85" i="3"/>
  <c r="Q85" i="3"/>
  <c r="P86" i="3"/>
  <c r="O87" i="3"/>
  <c r="N88" i="3"/>
  <c r="M89" i="3"/>
  <c r="L90" i="3"/>
  <c r="K91" i="3"/>
  <c r="J92" i="3"/>
  <c r="I93" i="3"/>
  <c r="H94" i="3"/>
  <c r="G95" i="3"/>
  <c r="F96" i="3"/>
  <c r="E97" i="3"/>
  <c r="D98" i="3"/>
  <c r="C99" i="3"/>
  <c r="B100" i="3"/>
  <c r="A101" i="3"/>
  <c r="Q101" i="3"/>
  <c r="P102" i="3"/>
  <c r="A104" i="3"/>
  <c r="F105" i="3"/>
  <c r="N106" i="3"/>
  <c r="F109" i="3"/>
  <c r="N111" i="3"/>
  <c r="F114" i="3"/>
  <c r="B118" i="3"/>
  <c r="O121" i="3"/>
  <c r="K125" i="3"/>
  <c r="G129" i="3"/>
  <c r="C133" i="3"/>
  <c r="L138" i="3"/>
  <c r="D146" i="3"/>
  <c r="M153" i="3"/>
  <c r="G161" i="3"/>
  <c r="Q200" i="3"/>
  <c r="I200" i="3"/>
  <c r="A200" i="3"/>
  <c r="J199" i="3"/>
  <c r="B199" i="3"/>
  <c r="K198" i="3"/>
  <c r="C198" i="3"/>
  <c r="L197" i="3"/>
  <c r="D197" i="3"/>
  <c r="M196" i="3"/>
  <c r="E196" i="3"/>
  <c r="N195" i="3"/>
  <c r="F195" i="3"/>
  <c r="O194" i="3"/>
  <c r="G194" i="3"/>
  <c r="P193" i="3"/>
  <c r="H193" i="3"/>
  <c r="Q192" i="3"/>
  <c r="I192" i="3"/>
  <c r="A192" i="3"/>
  <c r="J191" i="3"/>
  <c r="B191" i="3"/>
  <c r="K190" i="3"/>
  <c r="C190" i="3"/>
  <c r="L189" i="3"/>
  <c r="D189" i="3"/>
  <c r="M188" i="3"/>
  <c r="E188" i="3"/>
  <c r="N187" i="3"/>
  <c r="F187" i="3"/>
  <c r="O186" i="3"/>
  <c r="G186" i="3"/>
  <c r="P185" i="3"/>
  <c r="H185" i="3"/>
  <c r="Q184" i="3"/>
  <c r="I184" i="3"/>
  <c r="A184" i="3"/>
  <c r="J183" i="3"/>
  <c r="B183" i="3"/>
  <c r="K182" i="3"/>
  <c r="C182" i="3"/>
  <c r="L181" i="3"/>
  <c r="D181" i="3"/>
  <c r="M180" i="3"/>
  <c r="E180" i="3"/>
  <c r="N179" i="3"/>
  <c r="F179" i="3"/>
  <c r="O178" i="3"/>
  <c r="G178" i="3"/>
  <c r="P177" i="3"/>
  <c r="H177" i="3"/>
  <c r="Q176" i="3"/>
  <c r="I176" i="3"/>
  <c r="A176" i="3"/>
  <c r="J175" i="3"/>
  <c r="B175" i="3"/>
  <c r="K174" i="3"/>
  <c r="C174" i="3"/>
  <c r="L173" i="3"/>
  <c r="D173" i="3"/>
  <c r="M172" i="3"/>
  <c r="E172" i="3"/>
  <c r="N171" i="3"/>
  <c r="F171" i="3"/>
  <c r="O170" i="3"/>
  <c r="G170" i="3"/>
  <c r="P169" i="3"/>
  <c r="H169" i="3"/>
  <c r="Q168" i="3"/>
  <c r="I168" i="3"/>
  <c r="A168" i="3"/>
  <c r="J167" i="3"/>
  <c r="B167" i="3"/>
  <c r="K166" i="3"/>
  <c r="C166" i="3"/>
  <c r="L165" i="3"/>
  <c r="D165" i="3"/>
  <c r="M164" i="3"/>
  <c r="E164" i="3"/>
  <c r="N163" i="3"/>
  <c r="F163" i="3"/>
  <c r="O162" i="3"/>
  <c r="G162" i="3"/>
  <c r="P161" i="3"/>
  <c r="H161" i="3"/>
  <c r="P200" i="3"/>
  <c r="H200" i="3"/>
  <c r="Q199" i="3"/>
  <c r="I199" i="3"/>
  <c r="A199" i="3"/>
  <c r="J198" i="3"/>
  <c r="B198" i="3"/>
  <c r="K197" i="3"/>
  <c r="C197" i="3"/>
  <c r="L196" i="3"/>
  <c r="D196" i="3"/>
  <c r="M195" i="3"/>
  <c r="E195" i="3"/>
  <c r="N194" i="3"/>
  <c r="F194" i="3"/>
  <c r="O193" i="3"/>
  <c r="G193" i="3"/>
  <c r="P192" i="3"/>
  <c r="H192" i="3"/>
  <c r="Q191" i="3"/>
  <c r="I191" i="3"/>
  <c r="A191" i="3"/>
  <c r="J190" i="3"/>
  <c r="B190" i="3"/>
  <c r="K189" i="3"/>
  <c r="C189" i="3"/>
  <c r="L188" i="3"/>
  <c r="D188" i="3"/>
  <c r="M187" i="3"/>
  <c r="E187" i="3"/>
  <c r="N186" i="3"/>
  <c r="F186" i="3"/>
  <c r="O185" i="3"/>
  <c r="G185" i="3"/>
  <c r="P184" i="3"/>
  <c r="H184" i="3"/>
  <c r="Q183" i="3"/>
  <c r="O200" i="3"/>
  <c r="G200" i="3"/>
  <c r="P199" i="3"/>
  <c r="H199" i="3"/>
  <c r="Q198" i="3"/>
  <c r="I198" i="3"/>
  <c r="A198" i="3"/>
  <c r="J197" i="3"/>
  <c r="B197" i="3"/>
  <c r="K196" i="3"/>
  <c r="C196" i="3"/>
  <c r="L195" i="3"/>
  <c r="D195" i="3"/>
  <c r="M194" i="3"/>
  <c r="E194" i="3"/>
  <c r="N193" i="3"/>
  <c r="F193" i="3"/>
  <c r="O192" i="3"/>
  <c r="G192" i="3"/>
  <c r="P191" i="3"/>
  <c r="H191" i="3"/>
  <c r="Q190" i="3"/>
  <c r="I190" i="3"/>
  <c r="A190" i="3"/>
  <c r="J189" i="3"/>
  <c r="B189" i="3"/>
  <c r="K188" i="3"/>
  <c r="C188" i="3"/>
  <c r="L187" i="3"/>
  <c r="D187" i="3"/>
  <c r="M186" i="3"/>
  <c r="E186" i="3"/>
  <c r="N185" i="3"/>
  <c r="F185" i="3"/>
  <c r="O184" i="3"/>
  <c r="G184" i="3"/>
  <c r="P183" i="3"/>
  <c r="H183" i="3"/>
  <c r="Q182" i="3"/>
  <c r="I182" i="3"/>
  <c r="A182" i="3"/>
  <c r="J181" i="3"/>
  <c r="B181" i="3"/>
  <c r="K180" i="3"/>
  <c r="C180" i="3"/>
  <c r="L179" i="3"/>
  <c r="D179" i="3"/>
  <c r="M178" i="3"/>
  <c r="E178" i="3"/>
  <c r="N177" i="3"/>
  <c r="F177" i="3"/>
  <c r="O176" i="3"/>
  <c r="G176" i="3"/>
  <c r="P175" i="3"/>
  <c r="H175" i="3"/>
  <c r="Q174" i="3"/>
  <c r="I174" i="3"/>
  <c r="A174" i="3"/>
  <c r="J173" i="3"/>
  <c r="B173" i="3"/>
  <c r="K172" i="3"/>
  <c r="C172" i="3"/>
  <c r="L171" i="3"/>
  <c r="D171" i="3"/>
  <c r="M170" i="3"/>
  <c r="E170" i="3"/>
  <c r="N169" i="3"/>
  <c r="F169" i="3"/>
  <c r="O168" i="3"/>
  <c r="G168" i="3"/>
  <c r="P167" i="3"/>
  <c r="H167" i="3"/>
  <c r="Q166" i="3"/>
  <c r="I166" i="3"/>
  <c r="A166" i="3"/>
  <c r="J165" i="3"/>
  <c r="B165" i="3"/>
  <c r="K164" i="3"/>
  <c r="C164" i="3"/>
  <c r="L163" i="3"/>
  <c r="D163" i="3"/>
  <c r="M162" i="3"/>
  <c r="E162" i="3"/>
  <c r="N161" i="3"/>
  <c r="F161" i="3"/>
  <c r="N200" i="3"/>
  <c r="F200" i="3"/>
  <c r="O199" i="3"/>
  <c r="G199" i="3"/>
  <c r="P198" i="3"/>
  <c r="H198" i="3"/>
  <c r="Q197" i="3"/>
  <c r="I197" i="3"/>
  <c r="A197" i="3"/>
  <c r="J196" i="3"/>
  <c r="B196" i="3"/>
  <c r="K195" i="3"/>
  <c r="C195" i="3"/>
  <c r="L194" i="3"/>
  <c r="D194" i="3"/>
  <c r="M193" i="3"/>
  <c r="E193" i="3"/>
  <c r="N192" i="3"/>
  <c r="F192" i="3"/>
  <c r="O191" i="3"/>
  <c r="G191" i="3"/>
  <c r="P190" i="3"/>
  <c r="H190" i="3"/>
  <c r="Q189" i="3"/>
  <c r="I189" i="3"/>
  <c r="A189" i="3"/>
  <c r="J188" i="3"/>
  <c r="B188" i="3"/>
  <c r="K187" i="3"/>
  <c r="C187" i="3"/>
  <c r="L186" i="3"/>
  <c r="D186" i="3"/>
  <c r="M185" i="3"/>
  <c r="E185" i="3"/>
  <c r="N184" i="3"/>
  <c r="F184" i="3"/>
  <c r="O183" i="3"/>
  <c r="G183" i="3"/>
  <c r="P182" i="3"/>
  <c r="H182" i="3"/>
  <c r="Q181" i="3"/>
  <c r="I181" i="3"/>
  <c r="A181" i="3"/>
  <c r="J180" i="3"/>
  <c r="B180" i="3"/>
  <c r="K179" i="3"/>
  <c r="C179" i="3"/>
  <c r="L178" i="3"/>
  <c r="D178" i="3"/>
  <c r="M177" i="3"/>
  <c r="E177" i="3"/>
  <c r="N176" i="3"/>
  <c r="F176" i="3"/>
  <c r="O175" i="3"/>
  <c r="G175" i="3"/>
  <c r="P174" i="3"/>
  <c r="H174" i="3"/>
  <c r="Q173" i="3"/>
  <c r="I173" i="3"/>
  <c r="A173" i="3"/>
  <c r="J172" i="3"/>
  <c r="B172" i="3"/>
  <c r="K171" i="3"/>
  <c r="C171" i="3"/>
  <c r="L170" i="3"/>
  <c r="D170" i="3"/>
  <c r="M169" i="3"/>
  <c r="E169" i="3"/>
  <c r="N168" i="3"/>
  <c r="F168" i="3"/>
  <c r="M200" i="3"/>
  <c r="E200" i="3"/>
  <c r="N199" i="3"/>
  <c r="F199" i="3"/>
  <c r="O198" i="3"/>
  <c r="G198" i="3"/>
  <c r="P197" i="3"/>
  <c r="H197" i="3"/>
  <c r="Q196" i="3"/>
  <c r="I196" i="3"/>
  <c r="A196" i="3"/>
  <c r="J195" i="3"/>
  <c r="B195" i="3"/>
  <c r="K194" i="3"/>
  <c r="C194" i="3"/>
  <c r="L193" i="3"/>
  <c r="D193" i="3"/>
  <c r="M192" i="3"/>
  <c r="E192" i="3"/>
  <c r="N191" i="3"/>
  <c r="F191" i="3"/>
  <c r="O190" i="3"/>
  <c r="G190" i="3"/>
  <c r="P189" i="3"/>
  <c r="H189" i="3"/>
  <c r="Q188" i="3"/>
  <c r="I188" i="3"/>
  <c r="A188" i="3"/>
  <c r="J187" i="3"/>
  <c r="B187" i="3"/>
  <c r="K186" i="3"/>
  <c r="C186" i="3"/>
  <c r="L185" i="3"/>
  <c r="D185" i="3"/>
  <c r="M184" i="3"/>
  <c r="E184" i="3"/>
  <c r="N183" i="3"/>
  <c r="F183" i="3"/>
  <c r="O182" i="3"/>
  <c r="G182" i="3"/>
  <c r="P181" i="3"/>
  <c r="H181" i="3"/>
  <c r="Q180" i="3"/>
  <c r="I180" i="3"/>
  <c r="A180" i="3"/>
  <c r="J179" i="3"/>
  <c r="B179" i="3"/>
  <c r="K178" i="3"/>
  <c r="C178" i="3"/>
  <c r="L177" i="3"/>
  <c r="D177" i="3"/>
  <c r="M176" i="3"/>
  <c r="E176" i="3"/>
  <c r="N175" i="3"/>
  <c r="F175" i="3"/>
  <c r="O174" i="3"/>
  <c r="G174" i="3"/>
  <c r="P173" i="3"/>
  <c r="H173" i="3"/>
  <c r="Q172" i="3"/>
  <c r="I172" i="3"/>
  <c r="A172" i="3"/>
  <c r="J171" i="3"/>
  <c r="B171" i="3"/>
  <c r="K170" i="3"/>
  <c r="C170" i="3"/>
  <c r="L169" i="3"/>
  <c r="D169" i="3"/>
  <c r="M168" i="3"/>
  <c r="E168" i="3"/>
  <c r="N167" i="3"/>
  <c r="F167" i="3"/>
  <c r="O166" i="3"/>
  <c r="G166" i="3"/>
  <c r="P165" i="3"/>
  <c r="L200" i="3"/>
  <c r="D200" i="3"/>
  <c r="M199" i="3"/>
  <c r="E199" i="3"/>
  <c r="N198" i="3"/>
  <c r="F198" i="3"/>
  <c r="O197" i="3"/>
  <c r="G197" i="3"/>
  <c r="P196" i="3"/>
  <c r="H196" i="3"/>
  <c r="Q195" i="3"/>
  <c r="I195" i="3"/>
  <c r="A195" i="3"/>
  <c r="J194" i="3"/>
  <c r="B194" i="3"/>
  <c r="K193" i="3"/>
  <c r="C193" i="3"/>
  <c r="L192" i="3"/>
  <c r="D192" i="3"/>
  <c r="M191" i="3"/>
  <c r="E191" i="3"/>
  <c r="N190" i="3"/>
  <c r="F190" i="3"/>
  <c r="O189" i="3"/>
  <c r="G189" i="3"/>
  <c r="P188" i="3"/>
  <c r="H188" i="3"/>
  <c r="Q187" i="3"/>
  <c r="I187" i="3"/>
  <c r="A187" i="3"/>
  <c r="J186" i="3"/>
  <c r="B186" i="3"/>
  <c r="K185" i="3"/>
  <c r="C185" i="3"/>
  <c r="L184" i="3"/>
  <c r="D184" i="3"/>
  <c r="M183" i="3"/>
  <c r="E183" i="3"/>
  <c r="K200" i="3"/>
  <c r="C200" i="3"/>
  <c r="L199" i="3"/>
  <c r="D199" i="3"/>
  <c r="M198" i="3"/>
  <c r="E198" i="3"/>
  <c r="N197" i="3"/>
  <c r="F197" i="3"/>
  <c r="O196" i="3"/>
  <c r="G196" i="3"/>
  <c r="P195" i="3"/>
  <c r="H195" i="3"/>
  <c r="Q194" i="3"/>
  <c r="I194" i="3"/>
  <c r="A194" i="3"/>
  <c r="J193" i="3"/>
  <c r="B193" i="3"/>
  <c r="K192" i="3"/>
  <c r="C192" i="3"/>
  <c r="L191" i="3"/>
  <c r="D191" i="3"/>
  <c r="M190" i="3"/>
  <c r="E190" i="3"/>
  <c r="N189" i="3"/>
  <c r="F189" i="3"/>
  <c r="O188" i="3"/>
  <c r="G188" i="3"/>
  <c r="P187" i="3"/>
  <c r="H187" i="3"/>
  <c r="Q186" i="3"/>
  <c r="I186" i="3"/>
  <c r="A186" i="3"/>
  <c r="J185" i="3"/>
  <c r="B185" i="3"/>
  <c r="K184" i="3"/>
  <c r="C184" i="3"/>
  <c r="L183" i="3"/>
  <c r="D183" i="3"/>
  <c r="M182" i="3"/>
  <c r="E182" i="3"/>
  <c r="N181" i="3"/>
  <c r="F181" i="3"/>
  <c r="O180" i="3"/>
  <c r="G180" i="3"/>
  <c r="P179" i="3"/>
  <c r="H179" i="3"/>
  <c r="Q178" i="3"/>
  <c r="I178" i="3"/>
  <c r="A178" i="3"/>
  <c r="J177" i="3"/>
  <c r="B177" i="3"/>
  <c r="K176" i="3"/>
  <c r="C176" i="3"/>
  <c r="L175" i="3"/>
  <c r="D175" i="3"/>
  <c r="M174" i="3"/>
  <c r="E174" i="3"/>
  <c r="N173" i="3"/>
  <c r="F173" i="3"/>
  <c r="O172" i="3"/>
  <c r="G172" i="3"/>
  <c r="P171" i="3"/>
  <c r="H171" i="3"/>
  <c r="Q170" i="3"/>
  <c r="I170" i="3"/>
  <c r="A170" i="3"/>
  <c r="J169" i="3"/>
  <c r="B169" i="3"/>
  <c r="K168" i="3"/>
  <c r="C168" i="3"/>
  <c r="L167" i="3"/>
  <c r="D167" i="3"/>
  <c r="M166" i="3"/>
  <c r="E166" i="3"/>
  <c r="N165" i="3"/>
  <c r="F165" i="3"/>
  <c r="O164" i="3"/>
  <c r="G164" i="3"/>
  <c r="P163" i="3"/>
  <c r="H163" i="3"/>
  <c r="Q162" i="3"/>
  <c r="I162" i="3"/>
  <c r="A162" i="3"/>
  <c r="J161" i="3"/>
  <c r="B161" i="3"/>
  <c r="B200" i="3"/>
  <c r="F196" i="3"/>
  <c r="J192" i="3"/>
  <c r="N188" i="3"/>
  <c r="A185" i="3"/>
  <c r="L182" i="3"/>
  <c r="G181" i="3"/>
  <c r="D180" i="3"/>
  <c r="P178" i="3"/>
  <c r="K177" i="3"/>
  <c r="H176" i="3"/>
  <c r="C175" i="3"/>
  <c r="O173" i="3"/>
  <c r="L172" i="3"/>
  <c r="G171" i="3"/>
  <c r="B170" i="3"/>
  <c r="P168" i="3"/>
  <c r="M167" i="3"/>
  <c r="N166" i="3"/>
  <c r="O165" i="3"/>
  <c r="A165" i="3"/>
  <c r="F164" i="3"/>
  <c r="J163" i="3"/>
  <c r="N162" i="3"/>
  <c r="B162" i="3"/>
  <c r="E161" i="3"/>
  <c r="M160" i="3"/>
  <c r="E160" i="3"/>
  <c r="N159" i="3"/>
  <c r="F159" i="3"/>
  <c r="O158" i="3"/>
  <c r="G158" i="3"/>
  <c r="P157" i="3"/>
  <c r="H157" i="3"/>
  <c r="Q156" i="3"/>
  <c r="I156" i="3"/>
  <c r="A156" i="3"/>
  <c r="J155" i="3"/>
  <c r="B155" i="3"/>
  <c r="K154" i="3"/>
  <c r="C154" i="3"/>
  <c r="L153" i="3"/>
  <c r="D153" i="3"/>
  <c r="M152" i="3"/>
  <c r="E152" i="3"/>
  <c r="N151" i="3"/>
  <c r="F151" i="3"/>
  <c r="O150" i="3"/>
  <c r="G150" i="3"/>
  <c r="P149" i="3"/>
  <c r="H149" i="3"/>
  <c r="Q148" i="3"/>
  <c r="I148" i="3"/>
  <c r="A148" i="3"/>
  <c r="J147" i="3"/>
  <c r="B147" i="3"/>
  <c r="K146" i="3"/>
  <c r="C146" i="3"/>
  <c r="L145" i="3"/>
  <c r="D145" i="3"/>
  <c r="M144" i="3"/>
  <c r="E144" i="3"/>
  <c r="N143" i="3"/>
  <c r="F143" i="3"/>
  <c r="O142" i="3"/>
  <c r="G142" i="3"/>
  <c r="P141" i="3"/>
  <c r="H141" i="3"/>
  <c r="Q140" i="3"/>
  <c r="I140" i="3"/>
  <c r="A140" i="3"/>
  <c r="J139" i="3"/>
  <c r="B139" i="3"/>
  <c r="K138" i="3"/>
  <c r="C138" i="3"/>
  <c r="C199" i="3"/>
  <c r="G195" i="3"/>
  <c r="K191" i="3"/>
  <c r="O187" i="3"/>
  <c r="B184" i="3"/>
  <c r="F182" i="3"/>
  <c r="C181" i="3"/>
  <c r="O179" i="3"/>
  <c r="J178" i="3"/>
  <c r="G177" i="3"/>
  <c r="B176" i="3"/>
  <c r="N174" i="3"/>
  <c r="K173" i="3"/>
  <c r="F172" i="3"/>
  <c r="A171" i="3"/>
  <c r="O169" i="3"/>
  <c r="J168" i="3"/>
  <c r="I167" i="3"/>
  <c r="J166" i="3"/>
  <c r="K165" i="3"/>
  <c r="P164" i="3"/>
  <c r="B164" i="3"/>
  <c r="G163" i="3"/>
  <c r="K162" i="3"/>
  <c r="O161" i="3"/>
  <c r="C161" i="3"/>
  <c r="K160" i="3"/>
  <c r="C160" i="3"/>
  <c r="L159" i="3"/>
  <c r="D159" i="3"/>
  <c r="M158" i="3"/>
  <c r="E158" i="3"/>
  <c r="N157" i="3"/>
  <c r="F157" i="3"/>
  <c r="O156" i="3"/>
  <c r="G156" i="3"/>
  <c r="P155" i="3"/>
  <c r="H155" i="3"/>
  <c r="Q154" i="3"/>
  <c r="I154" i="3"/>
  <c r="A154" i="3"/>
  <c r="J153" i="3"/>
  <c r="B153" i="3"/>
  <c r="K152" i="3"/>
  <c r="C152" i="3"/>
  <c r="L151" i="3"/>
  <c r="D151" i="3"/>
  <c r="M150" i="3"/>
  <c r="E150" i="3"/>
  <c r="N149" i="3"/>
  <c r="F149" i="3"/>
  <c r="O148" i="3"/>
  <c r="G148" i="3"/>
  <c r="P147" i="3"/>
  <c r="H147" i="3"/>
  <c r="Q146" i="3"/>
  <c r="I146" i="3"/>
  <c r="A146" i="3"/>
  <c r="J145" i="3"/>
  <c r="B145" i="3"/>
  <c r="K144" i="3"/>
  <c r="C144" i="3"/>
  <c r="L143" i="3"/>
  <c r="D143" i="3"/>
  <c r="M142" i="3"/>
  <c r="E142" i="3"/>
  <c r="N141" i="3"/>
  <c r="F141" i="3"/>
  <c r="O140" i="3"/>
  <c r="G140" i="3"/>
  <c r="P139" i="3"/>
  <c r="H139" i="3"/>
  <c r="Q138" i="3"/>
  <c r="I138" i="3"/>
  <c r="A138" i="3"/>
  <c r="J137" i="3"/>
  <c r="B137" i="3"/>
  <c r="L198" i="3"/>
  <c r="P194" i="3"/>
  <c r="C191" i="3"/>
  <c r="G187" i="3"/>
  <c r="K183" i="3"/>
  <c r="D182" i="3"/>
  <c r="P180" i="3"/>
  <c r="M179" i="3"/>
  <c r="H178" i="3"/>
  <c r="C177" i="3"/>
  <c r="Q175" i="3"/>
  <c r="L174" i="3"/>
  <c r="G173" i="3"/>
  <c r="D172" i="3"/>
  <c r="P170" i="3"/>
  <c r="K169" i="3"/>
  <c r="H168" i="3"/>
  <c r="G167" i="3"/>
  <c r="H166" i="3"/>
  <c r="I165" i="3"/>
  <c r="N164" i="3"/>
  <c r="A164" i="3"/>
  <c r="E163" i="3"/>
  <c r="J162" i="3"/>
  <c r="M161" i="3"/>
  <c r="A161" i="3"/>
  <c r="J160" i="3"/>
  <c r="B160" i="3"/>
  <c r="K159" i="3"/>
  <c r="C159" i="3"/>
  <c r="L158" i="3"/>
  <c r="D158" i="3"/>
  <c r="M157" i="3"/>
  <c r="E157" i="3"/>
  <c r="N156" i="3"/>
  <c r="F156" i="3"/>
  <c r="O155" i="3"/>
  <c r="G155" i="3"/>
  <c r="P154" i="3"/>
  <c r="H154" i="3"/>
  <c r="Q153" i="3"/>
  <c r="I153" i="3"/>
  <c r="A153" i="3"/>
  <c r="J152" i="3"/>
  <c r="B152" i="3"/>
  <c r="K151" i="3"/>
  <c r="C151" i="3"/>
  <c r="L150" i="3"/>
  <c r="D150" i="3"/>
  <c r="M149" i="3"/>
  <c r="E149" i="3"/>
  <c r="N148" i="3"/>
  <c r="F148" i="3"/>
  <c r="O147" i="3"/>
  <c r="G147" i="3"/>
  <c r="P146" i="3"/>
  <c r="H146" i="3"/>
  <c r="Q145" i="3"/>
  <c r="I145" i="3"/>
  <c r="A145" i="3"/>
  <c r="J144" i="3"/>
  <c r="B144" i="3"/>
  <c r="K143" i="3"/>
  <c r="C143" i="3"/>
  <c r="L142" i="3"/>
  <c r="D142" i="3"/>
  <c r="M141" i="3"/>
  <c r="E141" i="3"/>
  <c r="N140" i="3"/>
  <c r="F140" i="3"/>
  <c r="O139" i="3"/>
  <c r="G139" i="3"/>
  <c r="P138" i="3"/>
  <c r="H138" i="3"/>
  <c r="Q137" i="3"/>
  <c r="I137" i="3"/>
  <c r="A137" i="3"/>
  <c r="J136" i="3"/>
  <c r="B136" i="3"/>
  <c r="K135" i="3"/>
  <c r="C135" i="3"/>
  <c r="L134" i="3"/>
  <c r="D134" i="3"/>
  <c r="M133" i="3"/>
  <c r="E133" i="3"/>
  <c r="D198" i="3"/>
  <c r="H194" i="3"/>
  <c r="L190" i="3"/>
  <c r="P186" i="3"/>
  <c r="I183" i="3"/>
  <c r="B182" i="3"/>
  <c r="N180" i="3"/>
  <c r="I179" i="3"/>
  <c r="F178" i="3"/>
  <c r="A177" i="3"/>
  <c r="M175" i="3"/>
  <c r="J174" i="3"/>
  <c r="E173" i="3"/>
  <c r="Q171" i="3"/>
  <c r="N170" i="3"/>
  <c r="I169" i="3"/>
  <c r="D168" i="3"/>
  <c r="E167" i="3"/>
  <c r="F166" i="3"/>
  <c r="H165" i="3"/>
  <c r="L164" i="3"/>
  <c r="Q163" i="3"/>
  <c r="C163" i="3"/>
  <c r="H162" i="3"/>
  <c r="L161" i="3"/>
  <c r="Q160" i="3"/>
  <c r="I160" i="3"/>
  <c r="A160" i="3"/>
  <c r="J159" i="3"/>
  <c r="B159" i="3"/>
  <c r="K158" i="3"/>
  <c r="C158" i="3"/>
  <c r="L157" i="3"/>
  <c r="D157" i="3"/>
  <c r="M156" i="3"/>
  <c r="E156" i="3"/>
  <c r="N155" i="3"/>
  <c r="F155" i="3"/>
  <c r="O154" i="3"/>
  <c r="G154" i="3"/>
  <c r="P153" i="3"/>
  <c r="H153" i="3"/>
  <c r="Q152" i="3"/>
  <c r="I152" i="3"/>
  <c r="A152" i="3"/>
  <c r="J151" i="3"/>
  <c r="B151" i="3"/>
  <c r="K150" i="3"/>
  <c r="C150" i="3"/>
  <c r="L149" i="3"/>
  <c r="D149" i="3"/>
  <c r="M148" i="3"/>
  <c r="E148" i="3"/>
  <c r="N147" i="3"/>
  <c r="F147" i="3"/>
  <c r="O146" i="3"/>
  <c r="G146" i="3"/>
  <c r="P145" i="3"/>
  <c r="H145" i="3"/>
  <c r="Q144" i="3"/>
  <c r="I144" i="3"/>
  <c r="A144" i="3"/>
  <c r="J143" i="3"/>
  <c r="B143" i="3"/>
  <c r="K142" i="3"/>
  <c r="C142" i="3"/>
  <c r="L141" i="3"/>
  <c r="D141" i="3"/>
  <c r="M140" i="3"/>
  <c r="E140" i="3"/>
  <c r="N139" i="3"/>
  <c r="F139" i="3"/>
  <c r="O138" i="3"/>
  <c r="G138" i="3"/>
  <c r="P137" i="3"/>
  <c r="H137" i="3"/>
  <c r="Q136" i="3"/>
  <c r="I136" i="3"/>
  <c r="A136" i="3"/>
  <c r="J135" i="3"/>
  <c r="B135" i="3"/>
  <c r="K134" i="3"/>
  <c r="C134" i="3"/>
  <c r="L133" i="3"/>
  <c r="D133" i="3"/>
  <c r="J200" i="3"/>
  <c r="K199" i="3"/>
  <c r="B192" i="3"/>
  <c r="J184" i="3"/>
  <c r="E181" i="3"/>
  <c r="N178" i="3"/>
  <c r="D176" i="3"/>
  <c r="M173" i="3"/>
  <c r="E171" i="3"/>
  <c r="L168" i="3"/>
  <c r="L166" i="3"/>
  <c r="Q164" i="3"/>
  <c r="I163" i="3"/>
  <c r="Q161" i="3"/>
  <c r="L160" i="3"/>
  <c r="M159" i="3"/>
  <c r="N158" i="3"/>
  <c r="O157" i="3"/>
  <c r="P156" i="3"/>
  <c r="Q155" i="3"/>
  <c r="A155" i="3"/>
  <c r="B154" i="3"/>
  <c r="C153" i="3"/>
  <c r="D152" i="3"/>
  <c r="E151" i="3"/>
  <c r="F150" i="3"/>
  <c r="G149" i="3"/>
  <c r="H148" i="3"/>
  <c r="I147" i="3"/>
  <c r="J146" i="3"/>
  <c r="K145" i="3"/>
  <c r="L144" i="3"/>
  <c r="M143" i="3"/>
  <c r="N142" i="3"/>
  <c r="O141" i="3"/>
  <c r="P140" i="3"/>
  <c r="Q139" i="3"/>
  <c r="A139" i="3"/>
  <c r="B138" i="3"/>
  <c r="E137" i="3"/>
  <c r="K136" i="3"/>
  <c r="P135" i="3"/>
  <c r="F135" i="3"/>
  <c r="M134" i="3"/>
  <c r="A134" i="3"/>
  <c r="H133" i="3"/>
  <c r="O132" i="3"/>
  <c r="G132" i="3"/>
  <c r="P131" i="3"/>
  <c r="H131" i="3"/>
  <c r="Q130" i="3"/>
  <c r="I130" i="3"/>
  <c r="A130" i="3"/>
  <c r="J129" i="3"/>
  <c r="B129" i="3"/>
  <c r="K128" i="3"/>
  <c r="C128" i="3"/>
  <c r="L127" i="3"/>
  <c r="D127" i="3"/>
  <c r="M126" i="3"/>
  <c r="E126" i="3"/>
  <c r="N125" i="3"/>
  <c r="F125" i="3"/>
  <c r="O124" i="3"/>
  <c r="G124" i="3"/>
  <c r="P123" i="3"/>
  <c r="H123" i="3"/>
  <c r="Q122" i="3"/>
  <c r="I122" i="3"/>
  <c r="A122" i="3"/>
  <c r="J121" i="3"/>
  <c r="B121" i="3"/>
  <c r="K120" i="3"/>
  <c r="C120" i="3"/>
  <c r="L119" i="3"/>
  <c r="D119" i="3"/>
  <c r="M118" i="3"/>
  <c r="E118" i="3"/>
  <c r="N117" i="3"/>
  <c r="F117" i="3"/>
  <c r="O116" i="3"/>
  <c r="G116" i="3"/>
  <c r="P115" i="3"/>
  <c r="H115" i="3"/>
  <c r="Q114" i="3"/>
  <c r="I114" i="3"/>
  <c r="M197" i="3"/>
  <c r="D190" i="3"/>
  <c r="C183" i="3"/>
  <c r="L180" i="3"/>
  <c r="B178" i="3"/>
  <c r="K175" i="3"/>
  <c r="C173" i="3"/>
  <c r="J170" i="3"/>
  <c r="B168" i="3"/>
  <c r="D166" i="3"/>
  <c r="J164" i="3"/>
  <c r="B163" i="3"/>
  <c r="K161" i="3"/>
  <c r="H160" i="3"/>
  <c r="I159" i="3"/>
  <c r="J158" i="3"/>
  <c r="K157" i="3"/>
  <c r="L156" i="3"/>
  <c r="M155" i="3"/>
  <c r="N154" i="3"/>
  <c r="O153" i="3"/>
  <c r="P152" i="3"/>
  <c r="Q151" i="3"/>
  <c r="A151" i="3"/>
  <c r="B150" i="3"/>
  <c r="C149" i="3"/>
  <c r="D148" i="3"/>
  <c r="E147" i="3"/>
  <c r="F146" i="3"/>
  <c r="G145" i="3"/>
  <c r="H144" i="3"/>
  <c r="I143" i="3"/>
  <c r="J142" i="3"/>
  <c r="K141" i="3"/>
  <c r="L140" i="3"/>
  <c r="M139" i="3"/>
  <c r="N138" i="3"/>
  <c r="O137" i="3"/>
  <c r="D137" i="3"/>
  <c r="H136" i="3"/>
  <c r="O135" i="3"/>
  <c r="E135" i="3"/>
  <c r="J134" i="3"/>
  <c r="Q133" i="3"/>
  <c r="G133" i="3"/>
  <c r="N132" i="3"/>
  <c r="F132" i="3"/>
  <c r="O131" i="3"/>
  <c r="G131" i="3"/>
  <c r="P130" i="3"/>
  <c r="H130" i="3"/>
  <c r="Q129" i="3"/>
  <c r="I129" i="3"/>
  <c r="A129" i="3"/>
  <c r="J128" i="3"/>
  <c r="B128" i="3"/>
  <c r="K127" i="3"/>
  <c r="C127" i="3"/>
  <c r="L126" i="3"/>
  <c r="D126" i="3"/>
  <c r="M125" i="3"/>
  <c r="E125" i="3"/>
  <c r="N124" i="3"/>
  <c r="F124" i="3"/>
  <c r="O123" i="3"/>
  <c r="G123" i="3"/>
  <c r="P122" i="3"/>
  <c r="H122" i="3"/>
  <c r="Q121" i="3"/>
  <c r="I121" i="3"/>
  <c r="A121" i="3"/>
  <c r="J120" i="3"/>
  <c r="B120" i="3"/>
  <c r="K119" i="3"/>
  <c r="C119" i="3"/>
  <c r="L118" i="3"/>
  <c r="D118" i="3"/>
  <c r="M117" i="3"/>
  <c r="E117" i="3"/>
  <c r="N116" i="3"/>
  <c r="F116" i="3"/>
  <c r="O115" i="3"/>
  <c r="G115" i="3"/>
  <c r="P114" i="3"/>
  <c r="H114" i="3"/>
  <c r="Q113" i="3"/>
  <c r="I113" i="3"/>
  <c r="A113" i="3"/>
  <c r="J112" i="3"/>
  <c r="B112" i="3"/>
  <c r="K111" i="3"/>
  <c r="C111" i="3"/>
  <c r="L110" i="3"/>
  <c r="D110" i="3"/>
  <c r="M109" i="3"/>
  <c r="E109" i="3"/>
  <c r="N108" i="3"/>
  <c r="F108" i="3"/>
  <c r="O107" i="3"/>
  <c r="G107" i="3"/>
  <c r="P106" i="3"/>
  <c r="H106" i="3"/>
  <c r="Q105" i="3"/>
  <c r="I105" i="3"/>
  <c r="A105" i="3"/>
  <c r="J104" i="3"/>
  <c r="B104" i="3"/>
  <c r="K103" i="3"/>
  <c r="E197" i="3"/>
  <c r="M189" i="3"/>
  <c r="A183" i="3"/>
  <c r="H180" i="3"/>
  <c r="Q177" i="3"/>
  <c r="I175" i="3"/>
  <c r="P172" i="3"/>
  <c r="H170" i="3"/>
  <c r="Q167" i="3"/>
  <c r="B166" i="3"/>
  <c r="I164" i="3"/>
  <c r="A163" i="3"/>
  <c r="I161" i="3"/>
  <c r="G160" i="3"/>
  <c r="H159" i="3"/>
  <c r="I158" i="3"/>
  <c r="J157" i="3"/>
  <c r="K156" i="3"/>
  <c r="L155" i="3"/>
  <c r="M154" i="3"/>
  <c r="N153" i="3"/>
  <c r="O152" i="3"/>
  <c r="P151" i="3"/>
  <c r="Q150" i="3"/>
  <c r="A150" i="3"/>
  <c r="B149" i="3"/>
  <c r="C148" i="3"/>
  <c r="D147" i="3"/>
  <c r="E146" i="3"/>
  <c r="F145" i="3"/>
  <c r="G144" i="3"/>
  <c r="H143" i="3"/>
  <c r="I142" i="3"/>
  <c r="J141" i="3"/>
  <c r="K140" i="3"/>
  <c r="L139" i="3"/>
  <c r="M138" i="3"/>
  <c r="N137" i="3"/>
  <c r="C137" i="3"/>
  <c r="G136" i="3"/>
  <c r="N135" i="3"/>
  <c r="D135" i="3"/>
  <c r="I134" i="3"/>
  <c r="P133" i="3"/>
  <c r="F133" i="3"/>
  <c r="M132" i="3"/>
  <c r="E132" i="3"/>
  <c r="N131" i="3"/>
  <c r="F131" i="3"/>
  <c r="O130" i="3"/>
  <c r="G130" i="3"/>
  <c r="P129" i="3"/>
  <c r="H129" i="3"/>
  <c r="Q128" i="3"/>
  <c r="I128" i="3"/>
  <c r="A128" i="3"/>
  <c r="J127" i="3"/>
  <c r="B127" i="3"/>
  <c r="K126" i="3"/>
  <c r="C126" i="3"/>
  <c r="L125" i="3"/>
  <c r="D125" i="3"/>
  <c r="M124" i="3"/>
  <c r="E124" i="3"/>
  <c r="N123" i="3"/>
  <c r="F123" i="3"/>
  <c r="O122" i="3"/>
  <c r="G122" i="3"/>
  <c r="P121" i="3"/>
  <c r="H121" i="3"/>
  <c r="Q120" i="3"/>
  <c r="I120" i="3"/>
  <c r="A120" i="3"/>
  <c r="J119" i="3"/>
  <c r="B119" i="3"/>
  <c r="K118" i="3"/>
  <c r="C118" i="3"/>
  <c r="L117" i="3"/>
  <c r="D117" i="3"/>
  <c r="M116" i="3"/>
  <c r="E116" i="3"/>
  <c r="N115" i="3"/>
  <c r="F115" i="3"/>
  <c r="O114" i="3"/>
  <c r="G114" i="3"/>
  <c r="N196" i="3"/>
  <c r="Q193" i="3"/>
  <c r="H186" i="3"/>
  <c r="O181" i="3"/>
  <c r="G179" i="3"/>
  <c r="P176" i="3"/>
  <c r="F174" i="3"/>
  <c r="O171" i="3"/>
  <c r="G169" i="3"/>
  <c r="C167" i="3"/>
  <c r="G165" i="3"/>
  <c r="O163" i="3"/>
  <c r="F162" i="3"/>
  <c r="P160" i="3"/>
  <c r="Q159" i="3"/>
  <c r="A159" i="3"/>
  <c r="B158" i="3"/>
  <c r="C157" i="3"/>
  <c r="D156" i="3"/>
  <c r="E155" i="3"/>
  <c r="F154" i="3"/>
  <c r="G153" i="3"/>
  <c r="H152" i="3"/>
  <c r="I151" i="3"/>
  <c r="J150" i="3"/>
  <c r="K149" i="3"/>
  <c r="L148" i="3"/>
  <c r="M147" i="3"/>
  <c r="N146" i="3"/>
  <c r="O145" i="3"/>
  <c r="P144" i="3"/>
  <c r="Q143" i="3"/>
  <c r="A143" i="3"/>
  <c r="B142" i="3"/>
  <c r="C141" i="3"/>
  <c r="D140" i="3"/>
  <c r="E139" i="3"/>
  <c r="F138" i="3"/>
  <c r="K137" i="3"/>
  <c r="N136" i="3"/>
  <c r="D136" i="3"/>
  <c r="I135" i="3"/>
  <c r="P134" i="3"/>
  <c r="F134" i="3"/>
  <c r="K133" i="3"/>
  <c r="A133" i="3"/>
  <c r="J132" i="3"/>
  <c r="B132" i="3"/>
  <c r="K131" i="3"/>
  <c r="C131" i="3"/>
  <c r="L130" i="3"/>
  <c r="D130" i="3"/>
  <c r="M129" i="3"/>
  <c r="E129" i="3"/>
  <c r="N128" i="3"/>
  <c r="F128" i="3"/>
  <c r="O127" i="3"/>
  <c r="G127" i="3"/>
  <c r="P126" i="3"/>
  <c r="H126" i="3"/>
  <c r="Q125" i="3"/>
  <c r="I125" i="3"/>
  <c r="A125" i="3"/>
  <c r="J124" i="3"/>
  <c r="B124" i="3"/>
  <c r="K123" i="3"/>
  <c r="C123" i="3"/>
  <c r="L122" i="3"/>
  <c r="D122" i="3"/>
  <c r="M121" i="3"/>
  <c r="E121" i="3"/>
  <c r="N120" i="3"/>
  <c r="F120" i="3"/>
  <c r="O119" i="3"/>
  <c r="G119" i="3"/>
  <c r="P118" i="3"/>
  <c r="H118" i="3"/>
  <c r="Q117" i="3"/>
  <c r="I117" i="3"/>
  <c r="A117" i="3"/>
  <c r="J116" i="3"/>
  <c r="B116" i="3"/>
  <c r="K115" i="3"/>
  <c r="C115" i="3"/>
  <c r="L114" i="3"/>
  <c r="D114" i="3"/>
  <c r="M113" i="3"/>
  <c r="E113" i="3"/>
  <c r="N112" i="3"/>
  <c r="F112" i="3"/>
  <c r="O111" i="3"/>
  <c r="G111" i="3"/>
  <c r="P110" i="3"/>
  <c r="H110" i="3"/>
  <c r="Q109" i="3"/>
  <c r="I109" i="3"/>
  <c r="A109" i="3"/>
  <c r="J108" i="3"/>
  <c r="B108" i="3"/>
  <c r="K107" i="3"/>
  <c r="C107" i="3"/>
  <c r="L106" i="3"/>
  <c r="D106" i="3"/>
  <c r="M105" i="3"/>
  <c r="E105" i="3"/>
  <c r="N104" i="3"/>
  <c r="F104" i="3"/>
  <c r="O103" i="3"/>
  <c r="G103" i="3"/>
  <c r="O195" i="3"/>
  <c r="J182" i="3"/>
  <c r="I177" i="3"/>
  <c r="H172" i="3"/>
  <c r="K167" i="3"/>
  <c r="D164" i="3"/>
  <c r="D161" i="3"/>
  <c r="E159" i="3"/>
  <c r="G157" i="3"/>
  <c r="I155" i="3"/>
  <c r="K153" i="3"/>
  <c r="M151" i="3"/>
  <c r="O149" i="3"/>
  <c r="Q147" i="3"/>
  <c r="B146" i="3"/>
  <c r="D144" i="3"/>
  <c r="F142" i="3"/>
  <c r="H140" i="3"/>
  <c r="J138" i="3"/>
  <c r="O136" i="3"/>
  <c r="L135" i="3"/>
  <c r="G134" i="3"/>
  <c r="B133" i="3"/>
  <c r="C132" i="3"/>
  <c r="D131" i="3"/>
  <c r="E130" i="3"/>
  <c r="F129" i="3"/>
  <c r="G128" i="3"/>
  <c r="H127" i="3"/>
  <c r="I126" i="3"/>
  <c r="J125" i="3"/>
  <c r="K124" i="3"/>
  <c r="L123" i="3"/>
  <c r="M122" i="3"/>
  <c r="N121" i="3"/>
  <c r="O120" i="3"/>
  <c r="P119" i="3"/>
  <c r="Q118" i="3"/>
  <c r="A118" i="3"/>
  <c r="B117" i="3"/>
  <c r="C116" i="3"/>
  <c r="D115" i="3"/>
  <c r="E114" i="3"/>
  <c r="K113" i="3"/>
  <c r="Q112" i="3"/>
  <c r="G112" i="3"/>
  <c r="M111" i="3"/>
  <c r="B111" i="3"/>
  <c r="I110" i="3"/>
  <c r="O109" i="3"/>
  <c r="D109" i="3"/>
  <c r="K108" i="3"/>
  <c r="Q107" i="3"/>
  <c r="F107" i="3"/>
  <c r="M106" i="3"/>
  <c r="B106" i="3"/>
  <c r="I193" i="3"/>
  <c r="M181" i="3"/>
  <c r="L176" i="3"/>
  <c r="M171" i="3"/>
  <c r="A167" i="3"/>
  <c r="M163" i="3"/>
  <c r="O160" i="3"/>
  <c r="Q158" i="3"/>
  <c r="B157" i="3"/>
  <c r="D155" i="3"/>
  <c r="F153" i="3"/>
  <c r="H151" i="3"/>
  <c r="J149" i="3"/>
  <c r="L147" i="3"/>
  <c r="N145" i="3"/>
  <c r="P143" i="3"/>
  <c r="A142" i="3"/>
  <c r="C140" i="3"/>
  <c r="E138" i="3"/>
  <c r="M136" i="3"/>
  <c r="H135" i="3"/>
  <c r="E134" i="3"/>
  <c r="Q132" i="3"/>
  <c r="A132" i="3"/>
  <c r="B131" i="3"/>
  <c r="C130" i="3"/>
  <c r="D129" i="3"/>
  <c r="E128" i="3"/>
  <c r="F127" i="3"/>
  <c r="G126" i="3"/>
  <c r="H125" i="3"/>
  <c r="I124" i="3"/>
  <c r="J123" i="3"/>
  <c r="K122" i="3"/>
  <c r="L121" i="3"/>
  <c r="M120" i="3"/>
  <c r="N119" i="3"/>
  <c r="O118" i="3"/>
  <c r="P117" i="3"/>
  <c r="Q116" i="3"/>
  <c r="A116" i="3"/>
  <c r="B115" i="3"/>
  <c r="C114" i="3"/>
  <c r="J113" i="3"/>
  <c r="P112" i="3"/>
  <c r="E112" i="3"/>
  <c r="L111" i="3"/>
  <c r="A111" i="3"/>
  <c r="G110" i="3"/>
  <c r="N109" i="3"/>
  <c r="C109" i="3"/>
  <c r="I108" i="3"/>
  <c r="P107" i="3"/>
  <c r="E107" i="3"/>
  <c r="K106" i="3"/>
  <c r="A106" i="3"/>
  <c r="G105" i="3"/>
  <c r="M104" i="3"/>
  <c r="C104" i="3"/>
  <c r="I103" i="3"/>
  <c r="Q102" i="3"/>
  <c r="I102" i="3"/>
  <c r="A102" i="3"/>
  <c r="J101" i="3"/>
  <c r="B101" i="3"/>
  <c r="K100" i="3"/>
  <c r="C100" i="3"/>
  <c r="L99" i="3"/>
  <c r="D99" i="3"/>
  <c r="M98" i="3"/>
  <c r="E98" i="3"/>
  <c r="N97" i="3"/>
  <c r="F97" i="3"/>
  <c r="O96" i="3"/>
  <c r="G96" i="3"/>
  <c r="P95" i="3"/>
  <c r="H95" i="3"/>
  <c r="Q94" i="3"/>
  <c r="I94" i="3"/>
  <c r="A94" i="3"/>
  <c r="J93" i="3"/>
  <c r="B93" i="3"/>
  <c r="K92" i="3"/>
  <c r="C92" i="3"/>
  <c r="L91" i="3"/>
  <c r="D91" i="3"/>
  <c r="M90" i="3"/>
  <c r="E90" i="3"/>
  <c r="N89" i="3"/>
  <c r="F89" i="3"/>
  <c r="O88" i="3"/>
  <c r="G88" i="3"/>
  <c r="P87" i="3"/>
  <c r="H87" i="3"/>
  <c r="Q86" i="3"/>
  <c r="I86" i="3"/>
  <c r="A86" i="3"/>
  <c r="J85" i="3"/>
  <c r="B85" i="3"/>
  <c r="K84" i="3"/>
  <c r="C84" i="3"/>
  <c r="L83" i="3"/>
  <c r="D83" i="3"/>
  <c r="M82" i="3"/>
  <c r="E82" i="3"/>
  <c r="N81" i="3"/>
  <c r="F81" i="3"/>
  <c r="O80" i="3"/>
  <c r="G80" i="3"/>
  <c r="P79" i="3"/>
  <c r="H79" i="3"/>
  <c r="Q78" i="3"/>
  <c r="I78" i="3"/>
  <c r="A78" i="3"/>
  <c r="J77" i="3"/>
  <c r="B77" i="3"/>
  <c r="K76" i="3"/>
  <c r="C76" i="3"/>
  <c r="L75" i="3"/>
  <c r="D75" i="3"/>
  <c r="M74" i="3"/>
  <c r="E74" i="3"/>
  <c r="N73" i="3"/>
  <c r="F73" i="3"/>
  <c r="O72" i="3"/>
  <c r="G72" i="3"/>
  <c r="P71" i="3"/>
  <c r="H71" i="3"/>
  <c r="Q70" i="3"/>
  <c r="I70" i="3"/>
  <c r="A70" i="3"/>
  <c r="J69" i="3"/>
  <c r="B69" i="3"/>
  <c r="K68" i="3"/>
  <c r="C68" i="3"/>
  <c r="L67" i="3"/>
  <c r="D67" i="3"/>
  <c r="M66" i="3"/>
  <c r="E66" i="3"/>
  <c r="N65" i="3"/>
  <c r="F65" i="3"/>
  <c r="O64" i="3"/>
  <c r="G64" i="3"/>
  <c r="P63" i="3"/>
  <c r="H63" i="3"/>
  <c r="Q62" i="3"/>
  <c r="I62" i="3"/>
  <c r="A62" i="3"/>
  <c r="J61" i="3"/>
  <c r="B61" i="3"/>
  <c r="K60" i="3"/>
  <c r="C60" i="3"/>
  <c r="L59" i="3"/>
  <c r="D59" i="3"/>
  <c r="M58" i="3"/>
  <c r="E58" i="3"/>
  <c r="N57" i="3"/>
  <c r="F57" i="3"/>
  <c r="O56" i="3"/>
  <c r="G56" i="3"/>
  <c r="P55" i="3"/>
  <c r="H55" i="3"/>
  <c r="Q54" i="3"/>
  <c r="I54" i="3"/>
  <c r="A193" i="3"/>
  <c r="K181" i="3"/>
  <c r="J176" i="3"/>
  <c r="I171" i="3"/>
  <c r="P166" i="3"/>
  <c r="K163" i="3"/>
  <c r="N160" i="3"/>
  <c r="P158" i="3"/>
  <c r="A157" i="3"/>
  <c r="C155" i="3"/>
  <c r="E153" i="3"/>
  <c r="G151" i="3"/>
  <c r="I149" i="3"/>
  <c r="K147" i="3"/>
  <c r="M145" i="3"/>
  <c r="O143" i="3"/>
  <c r="Q141" i="3"/>
  <c r="B140" i="3"/>
  <c r="D138" i="3"/>
  <c r="L136" i="3"/>
  <c r="G135" i="3"/>
  <c r="B134" i="3"/>
  <c r="P132" i="3"/>
  <c r="Q131" i="3"/>
  <c r="A131" i="3"/>
  <c r="B130" i="3"/>
  <c r="C129" i="3"/>
  <c r="D128" i="3"/>
  <c r="E127" i="3"/>
  <c r="F126" i="3"/>
  <c r="G125" i="3"/>
  <c r="H124" i="3"/>
  <c r="I123" i="3"/>
  <c r="J122" i="3"/>
  <c r="K121" i="3"/>
  <c r="L120" i="3"/>
  <c r="M119" i="3"/>
  <c r="N118" i="3"/>
  <c r="O117" i="3"/>
  <c r="P116" i="3"/>
  <c r="Q115" i="3"/>
  <c r="A115" i="3"/>
  <c r="B114" i="3"/>
  <c r="H113" i="3"/>
  <c r="O112" i="3"/>
  <c r="D112" i="3"/>
  <c r="J111" i="3"/>
  <c r="Q110" i="3"/>
  <c r="F110" i="3"/>
  <c r="L109" i="3"/>
  <c r="B109" i="3"/>
  <c r="H108" i="3"/>
  <c r="N107" i="3"/>
  <c r="D107" i="3"/>
  <c r="E189" i="3"/>
  <c r="F180" i="3"/>
  <c r="E175" i="3"/>
  <c r="F170" i="3"/>
  <c r="Q165" i="3"/>
  <c r="P162" i="3"/>
  <c r="F160" i="3"/>
  <c r="H158" i="3"/>
  <c r="J156" i="3"/>
  <c r="L154" i="3"/>
  <c r="N152" i="3"/>
  <c r="P150" i="3"/>
  <c r="A149" i="3"/>
  <c r="C147" i="3"/>
  <c r="E145" i="3"/>
  <c r="G143" i="3"/>
  <c r="I141" i="3"/>
  <c r="K139" i="3"/>
  <c r="M137" i="3"/>
  <c r="F136" i="3"/>
  <c r="A135" i="3"/>
  <c r="O133" i="3"/>
  <c r="L132" i="3"/>
  <c r="M131" i="3"/>
  <c r="N130" i="3"/>
  <c r="O129" i="3"/>
  <c r="P128" i="3"/>
  <c r="Q127" i="3"/>
  <c r="A127" i="3"/>
  <c r="B126" i="3"/>
  <c r="C125" i="3"/>
  <c r="D124" i="3"/>
  <c r="E123" i="3"/>
  <c r="F122" i="3"/>
  <c r="G121" i="3"/>
  <c r="H120" i="3"/>
  <c r="I119" i="3"/>
  <c r="J118" i="3"/>
  <c r="K117" i="3"/>
  <c r="L116" i="3"/>
  <c r="M115" i="3"/>
  <c r="N114" i="3"/>
  <c r="A114" i="3"/>
  <c r="G113" i="3"/>
  <c r="M112" i="3"/>
  <c r="C112" i="3"/>
  <c r="I111" i="3"/>
  <c r="O110" i="3"/>
  <c r="E110" i="3"/>
  <c r="K109" i="3"/>
  <c r="Q108" i="3"/>
  <c r="G108" i="3"/>
  <c r="M107" i="3"/>
  <c r="B107" i="3"/>
  <c r="I106" i="3"/>
  <c r="O105" i="3"/>
  <c r="D105" i="3"/>
  <c r="K104" i="3"/>
  <c r="Q103" i="3"/>
  <c r="F103" i="3"/>
  <c r="O102" i="3"/>
  <c r="G102" i="3"/>
  <c r="P101" i="3"/>
  <c r="H101" i="3"/>
  <c r="Q100" i="3"/>
  <c r="I100" i="3"/>
  <c r="A100" i="3"/>
  <c r="J99" i="3"/>
  <c r="B99" i="3"/>
  <c r="K98" i="3"/>
  <c r="C98" i="3"/>
  <c r="L97" i="3"/>
  <c r="D97" i="3"/>
  <c r="M96" i="3"/>
  <c r="E96" i="3"/>
  <c r="N95" i="3"/>
  <c r="F95" i="3"/>
  <c r="O94" i="3"/>
  <c r="G94" i="3"/>
  <c r="P93" i="3"/>
  <c r="H93" i="3"/>
  <c r="Q92" i="3"/>
  <c r="I92" i="3"/>
  <c r="A92" i="3"/>
  <c r="J91" i="3"/>
  <c r="B91" i="3"/>
  <c r="K90" i="3"/>
  <c r="C90" i="3"/>
  <c r="L89" i="3"/>
  <c r="D89" i="3"/>
  <c r="M88" i="3"/>
  <c r="E88" i="3"/>
  <c r="N87" i="3"/>
  <c r="F87" i="3"/>
  <c r="O86" i="3"/>
  <c r="G86" i="3"/>
  <c r="P85" i="3"/>
  <c r="H85" i="3"/>
  <c r="Q84" i="3"/>
  <c r="I84" i="3"/>
  <c r="A84" i="3"/>
  <c r="J83" i="3"/>
  <c r="B83" i="3"/>
  <c r="K82" i="3"/>
  <c r="C82" i="3"/>
  <c r="L81" i="3"/>
  <c r="D81" i="3"/>
  <c r="M80" i="3"/>
  <c r="E80" i="3"/>
  <c r="N79" i="3"/>
  <c r="F79" i="3"/>
  <c r="O78" i="3"/>
  <c r="G78" i="3"/>
  <c r="P77" i="3"/>
  <c r="H77" i="3"/>
  <c r="Q76" i="3"/>
  <c r="I76" i="3"/>
  <c r="A76" i="3"/>
  <c r="J75" i="3"/>
  <c r="B75" i="3"/>
  <c r="K74" i="3"/>
  <c r="C74" i="3"/>
  <c r="L73" i="3"/>
  <c r="D73" i="3"/>
  <c r="M72" i="3"/>
  <c r="E72" i="3"/>
  <c r="N71" i="3"/>
  <c r="F71" i="3"/>
  <c r="O70" i="3"/>
  <c r="G70" i="3"/>
  <c r="P69" i="3"/>
  <c r="H69" i="3"/>
  <c r="Q68" i="3"/>
  <c r="I68" i="3"/>
  <c r="A68" i="3"/>
  <c r="J67" i="3"/>
  <c r="B67" i="3"/>
  <c r="K66" i="3"/>
  <c r="C66" i="3"/>
  <c r="L65" i="3"/>
  <c r="D65" i="3"/>
  <c r="M64" i="3"/>
  <c r="E64" i="3"/>
  <c r="N63" i="3"/>
  <c r="F63" i="3"/>
  <c r="O62" i="3"/>
  <c r="G62" i="3"/>
  <c r="P61" i="3"/>
  <c r="H61" i="3"/>
  <c r="Q60" i="3"/>
  <c r="F188" i="3"/>
  <c r="Q179" i="3"/>
  <c r="A175" i="3"/>
  <c r="Q169" i="3"/>
  <c r="M165" i="3"/>
  <c r="L162" i="3"/>
  <c r="D160" i="3"/>
  <c r="F158" i="3"/>
  <c r="H156" i="3"/>
  <c r="J154" i="3"/>
  <c r="L152" i="3"/>
  <c r="N150" i="3"/>
  <c r="P148" i="3"/>
  <c r="A147" i="3"/>
  <c r="C145" i="3"/>
  <c r="E143" i="3"/>
  <c r="G141" i="3"/>
  <c r="I139" i="3"/>
  <c r="L137" i="3"/>
  <c r="E136" i="3"/>
  <c r="Q134" i="3"/>
  <c r="N133" i="3"/>
  <c r="K132" i="3"/>
  <c r="L131" i="3"/>
  <c r="M130" i="3"/>
  <c r="N129" i="3"/>
  <c r="O128" i="3"/>
  <c r="P127" i="3"/>
  <c r="Q126" i="3"/>
  <c r="A126" i="3"/>
  <c r="B125" i="3"/>
  <c r="C124" i="3"/>
  <c r="D123" i="3"/>
  <c r="E122" i="3"/>
  <c r="F121" i="3"/>
  <c r="G120" i="3"/>
  <c r="H119" i="3"/>
  <c r="I118" i="3"/>
  <c r="J117" i="3"/>
  <c r="K116" i="3"/>
  <c r="L115" i="3"/>
  <c r="M114" i="3"/>
  <c r="P113" i="3"/>
  <c r="F113" i="3"/>
  <c r="L112" i="3"/>
  <c r="A112" i="3"/>
  <c r="H111" i="3"/>
  <c r="N110" i="3"/>
  <c r="C110" i="3"/>
  <c r="J109" i="3"/>
  <c r="P108" i="3"/>
  <c r="E108" i="3"/>
  <c r="L107" i="3"/>
  <c r="A107" i="3"/>
  <c r="G106" i="3"/>
  <c r="N105" i="3"/>
  <c r="C105" i="3"/>
  <c r="I104" i="3"/>
  <c r="P103" i="3"/>
  <c r="E103" i="3"/>
  <c r="N102" i="3"/>
  <c r="F102" i="3"/>
  <c r="O101" i="3"/>
  <c r="G101" i="3"/>
  <c r="P100" i="3"/>
  <c r="H100" i="3"/>
  <c r="Q99" i="3"/>
  <c r="I99" i="3"/>
  <c r="A99" i="3"/>
  <c r="J98" i="3"/>
  <c r="B98" i="3"/>
  <c r="K97" i="3"/>
  <c r="C97" i="3"/>
  <c r="L96" i="3"/>
  <c r="D96" i="3"/>
  <c r="M95" i="3"/>
  <c r="E95" i="3"/>
  <c r="N94" i="3"/>
  <c r="F94" i="3"/>
  <c r="O93" i="3"/>
  <c r="G93" i="3"/>
  <c r="P92" i="3"/>
  <c r="H92" i="3"/>
  <c r="Q91" i="3"/>
  <c r="I91" i="3"/>
  <c r="A91" i="3"/>
  <c r="J90" i="3"/>
  <c r="B90" i="3"/>
  <c r="K89" i="3"/>
  <c r="C89" i="3"/>
  <c r="L88" i="3"/>
  <c r="D88" i="3"/>
  <c r="M87" i="3"/>
  <c r="E87" i="3"/>
  <c r="N86" i="3"/>
  <c r="F86" i="3"/>
  <c r="O85" i="3"/>
  <c r="G85" i="3"/>
  <c r="P84" i="3"/>
  <c r="H84" i="3"/>
  <c r="Q83" i="3"/>
  <c r="I83" i="3"/>
  <c r="A83" i="3"/>
  <c r="J82" i="3"/>
  <c r="B82" i="3"/>
  <c r="K81" i="3"/>
  <c r="C81" i="3"/>
  <c r="L80" i="3"/>
  <c r="D80" i="3"/>
  <c r="M79" i="3"/>
  <c r="E79" i="3"/>
  <c r="N78" i="3"/>
  <c r="F78" i="3"/>
  <c r="O77" i="3"/>
  <c r="G77" i="3"/>
  <c r="P76" i="3"/>
  <c r="H76" i="3"/>
  <c r="Q75" i="3"/>
  <c r="I75" i="3"/>
  <c r="A75" i="3"/>
  <c r="J74" i="3"/>
  <c r="B74" i="3"/>
  <c r="K73" i="3"/>
  <c r="C73" i="3"/>
  <c r="L72" i="3"/>
  <c r="D72" i="3"/>
  <c r="M71" i="3"/>
  <c r="E71" i="3"/>
  <c r="N70" i="3"/>
  <c r="F70" i="3"/>
  <c r="O69" i="3"/>
  <c r="G69" i="3"/>
  <c r="P68" i="3"/>
  <c r="H68" i="3"/>
  <c r="Q67" i="3"/>
  <c r="I67" i="3"/>
  <c r="A67" i="3"/>
  <c r="J66" i="3"/>
  <c r="B66" i="3"/>
  <c r="K65" i="3"/>
  <c r="C65" i="3"/>
  <c r="L64" i="3"/>
  <c r="D64" i="3"/>
  <c r="M63" i="3"/>
  <c r="E63" i="3"/>
  <c r="N62" i="3"/>
  <c r="F62" i="3"/>
  <c r="O61" i="3"/>
  <c r="G61" i="3"/>
  <c r="P60" i="3"/>
  <c r="H60" i="3"/>
  <c r="Q59" i="3"/>
  <c r="I59" i="3"/>
  <c r="A59" i="3"/>
  <c r="J58" i="3"/>
  <c r="B58" i="3"/>
  <c r="K57" i="3"/>
  <c r="C57" i="3"/>
  <c r="L56" i="3"/>
  <c r="D56" i="3"/>
  <c r="M55" i="3"/>
  <c r="E55" i="3"/>
  <c r="N54" i="3"/>
  <c r="F54" i="3"/>
  <c r="O53" i="3"/>
  <c r="G53" i="3"/>
  <c r="P52" i="3"/>
  <c r="H52" i="3"/>
  <c r="Q51" i="3"/>
  <c r="I51" i="3"/>
  <c r="Q185" i="3"/>
  <c r="E179" i="3"/>
  <c r="D174" i="3"/>
  <c r="C169" i="3"/>
  <c r="E165" i="3"/>
  <c r="D162" i="3"/>
  <c r="P159" i="3"/>
  <c r="A158" i="3"/>
  <c r="C156" i="3"/>
  <c r="E154" i="3"/>
  <c r="G152" i="3"/>
  <c r="I150" i="3"/>
  <c r="K148" i="3"/>
  <c r="M146" i="3"/>
  <c r="O144" i="3"/>
  <c r="Q142" i="3"/>
  <c r="B141" i="3"/>
  <c r="D139" i="3"/>
  <c r="G137" i="3"/>
  <c r="C136" i="3"/>
  <c r="O134" i="3"/>
  <c r="J133" i="3"/>
  <c r="I132" i="3"/>
  <c r="J131" i="3"/>
  <c r="K130" i="3"/>
  <c r="L129" i="3"/>
  <c r="M128" i="3"/>
  <c r="N127" i="3"/>
  <c r="O126" i="3"/>
  <c r="P125" i="3"/>
  <c r="Q124" i="3"/>
  <c r="A124" i="3"/>
  <c r="B123" i="3"/>
  <c r="C122" i="3"/>
  <c r="D121" i="3"/>
  <c r="E120" i="3"/>
  <c r="F119" i="3"/>
  <c r="G118" i="3"/>
  <c r="H117" i="3"/>
  <c r="I116" i="3"/>
  <c r="J115" i="3"/>
  <c r="K114" i="3"/>
  <c r="O113" i="3"/>
  <c r="D113" i="3"/>
  <c r="K112" i="3"/>
  <c r="Q111" i="3"/>
  <c r="F111" i="3"/>
  <c r="M110" i="3"/>
  <c r="B110" i="3"/>
  <c r="H109" i="3"/>
  <c r="O108" i="3"/>
  <c r="D108" i="3"/>
  <c r="J107" i="3"/>
  <c r="Q106" i="3"/>
  <c r="F106" i="3"/>
  <c r="L105" i="3"/>
  <c r="B105" i="3"/>
  <c r="H104" i="3"/>
  <c r="N103" i="3"/>
  <c r="D103" i="3"/>
  <c r="M102" i="3"/>
  <c r="E102" i="3"/>
  <c r="N101" i="3"/>
  <c r="F101" i="3"/>
  <c r="O100" i="3"/>
  <c r="G100" i="3"/>
  <c r="P99" i="3"/>
  <c r="H99" i="3"/>
  <c r="Q98" i="3"/>
  <c r="I98" i="3"/>
  <c r="A98" i="3"/>
  <c r="J97" i="3"/>
  <c r="B97" i="3"/>
  <c r="K96" i="3"/>
  <c r="C96" i="3"/>
  <c r="L95" i="3"/>
  <c r="D95" i="3"/>
  <c r="M94" i="3"/>
  <c r="E94" i="3"/>
  <c r="N93" i="3"/>
  <c r="F93" i="3"/>
  <c r="O92" i="3"/>
  <c r="G92" i="3"/>
  <c r="P91" i="3"/>
  <c r="H91" i="3"/>
  <c r="Q90" i="3"/>
  <c r="I90" i="3"/>
  <c r="A90" i="3"/>
  <c r="J89" i="3"/>
  <c r="B89" i="3"/>
  <c r="K88" i="3"/>
  <c r="C88" i="3"/>
  <c r="L87" i="3"/>
  <c r="D87" i="3"/>
  <c r="M86" i="3"/>
  <c r="E86" i="3"/>
  <c r="N85" i="3"/>
  <c r="F85" i="3"/>
  <c r="O84" i="3"/>
  <c r="G84" i="3"/>
  <c r="P83" i="3"/>
  <c r="H83" i="3"/>
  <c r="Q82" i="3"/>
  <c r="I82" i="3"/>
  <c r="A82" i="3"/>
  <c r="J81" i="3"/>
  <c r="B81" i="3"/>
  <c r="K80" i="3"/>
  <c r="C80" i="3"/>
  <c r="L79" i="3"/>
  <c r="D79" i="3"/>
  <c r="M78" i="3"/>
  <c r="E78" i="3"/>
  <c r="N77" i="3"/>
  <c r="F77" i="3"/>
  <c r="O76" i="3"/>
  <c r="G76" i="3"/>
  <c r="P75" i="3"/>
  <c r="H75" i="3"/>
  <c r="Q74" i="3"/>
  <c r="I74" i="3"/>
  <c r="A74" i="3"/>
  <c r="J73" i="3"/>
  <c r="B73" i="3"/>
  <c r="K72" i="3"/>
  <c r="C72" i="3"/>
  <c r="L71" i="3"/>
  <c r="D71" i="3"/>
  <c r="M70" i="3"/>
  <c r="E70" i="3"/>
  <c r="N69" i="3"/>
  <c r="F69" i="3"/>
  <c r="O68" i="3"/>
  <c r="G68" i="3"/>
  <c r="P67" i="3"/>
  <c r="H67" i="3"/>
  <c r="Q66" i="3"/>
  <c r="I66" i="3"/>
  <c r="A66" i="3"/>
  <c r="J65" i="3"/>
  <c r="B65" i="3"/>
  <c r="K64" i="3"/>
  <c r="C64" i="3"/>
  <c r="L63" i="3"/>
  <c r="D63" i="3"/>
  <c r="M62" i="3"/>
  <c r="E62" i="3"/>
  <c r="N61" i="3"/>
  <c r="F61" i="3"/>
  <c r="O60" i="3"/>
  <c r="G60" i="3"/>
  <c r="P59" i="3"/>
  <c r="H59" i="3"/>
  <c r="Q58" i="3"/>
  <c r="I58" i="3"/>
  <c r="A58" i="3"/>
  <c r="J57" i="3"/>
  <c r="B57" i="3"/>
  <c r="K56" i="3"/>
  <c r="C56" i="3"/>
  <c r="L55" i="3"/>
  <c r="D55" i="3"/>
  <c r="M54" i="3"/>
  <c r="E54" i="3"/>
  <c r="N53" i="3"/>
  <c r="F53" i="3"/>
  <c r="O52" i="3"/>
  <c r="G52" i="3"/>
  <c r="P51" i="3"/>
  <c r="H51" i="3"/>
  <c r="L3" i="3"/>
  <c r="C4" i="3"/>
  <c r="K4" i="3"/>
  <c r="B5" i="3"/>
  <c r="P5" i="3"/>
  <c r="G6" i="3"/>
  <c r="O6" i="3"/>
  <c r="J7" i="3"/>
  <c r="A8" i="3"/>
  <c r="I8" i="3"/>
  <c r="Q8" i="3"/>
  <c r="M9" i="3"/>
  <c r="I10" i="3"/>
  <c r="Q10" i="3"/>
  <c r="M11" i="3"/>
  <c r="D12" i="3"/>
  <c r="L12" i="3"/>
  <c r="J13" i="3"/>
  <c r="I14" i="3"/>
  <c r="Q14" i="3"/>
  <c r="J15" i="3"/>
  <c r="A16" i="3"/>
  <c r="K16" i="3"/>
  <c r="B17" i="3"/>
  <c r="J17" i="3"/>
  <c r="A18" i="3"/>
  <c r="K18" i="3"/>
  <c r="B19" i="3"/>
  <c r="J19" i="3"/>
  <c r="A20" i="3"/>
  <c r="P20" i="3"/>
  <c r="J21" i="3"/>
  <c r="A22" i="3"/>
  <c r="L22" i="3"/>
  <c r="C23" i="3"/>
  <c r="N23" i="3"/>
  <c r="H24" i="3"/>
  <c r="P24" i="3"/>
  <c r="G25" i="3"/>
  <c r="O25" i="3"/>
  <c r="G26" i="3"/>
  <c r="O26" i="3"/>
  <c r="F27" i="3"/>
  <c r="N27" i="3"/>
  <c r="H28" i="3"/>
  <c r="P28" i="3"/>
  <c r="J29" i="3"/>
  <c r="A30" i="3"/>
  <c r="L30" i="3"/>
  <c r="F31" i="3"/>
  <c r="N31" i="3"/>
  <c r="H32" i="3"/>
  <c r="P32" i="3"/>
  <c r="J33" i="3"/>
  <c r="A34" i="3"/>
  <c r="L34" i="3"/>
  <c r="F35" i="3"/>
  <c r="N35" i="3"/>
  <c r="H36" i="3"/>
  <c r="P36" i="3"/>
  <c r="J37" i="3"/>
  <c r="A38" i="3"/>
  <c r="I38" i="3"/>
  <c r="Q38" i="3"/>
  <c r="H39" i="3"/>
  <c r="P39" i="3"/>
  <c r="H40" i="3"/>
  <c r="P40" i="3"/>
  <c r="G41" i="3"/>
  <c r="O41" i="3"/>
  <c r="L42" i="3"/>
  <c r="E43" i="3"/>
  <c r="M43" i="3"/>
  <c r="F44" i="3"/>
  <c r="P44" i="3"/>
  <c r="G45" i="3"/>
  <c r="O45" i="3"/>
  <c r="F46" i="3"/>
  <c r="N46" i="3"/>
  <c r="E47" i="3"/>
  <c r="M47" i="3"/>
  <c r="J48" i="3"/>
  <c r="A49" i="3"/>
  <c r="I49" i="3"/>
  <c r="Q49" i="3"/>
  <c r="H50" i="3"/>
  <c r="P50" i="3"/>
  <c r="G51" i="3"/>
  <c r="B52" i="3"/>
  <c r="L52" i="3"/>
  <c r="E53" i="3"/>
  <c r="Q53" i="3"/>
  <c r="K54" i="3"/>
  <c r="G55" i="3"/>
  <c r="B56" i="3"/>
  <c r="P56" i="3"/>
  <c r="L57" i="3"/>
  <c r="G58" i="3"/>
  <c r="C59" i="3"/>
  <c r="O59" i="3"/>
  <c r="L60" i="3"/>
  <c r="K61" i="3"/>
  <c r="J62" i="3"/>
  <c r="I63" i="3"/>
  <c r="H64" i="3"/>
  <c r="G65" i="3"/>
  <c r="F66" i="3"/>
  <c r="E67" i="3"/>
  <c r="D68" i="3"/>
  <c r="C69" i="3"/>
  <c r="B70" i="3"/>
  <c r="A71" i="3"/>
  <c r="Q71" i="3"/>
  <c r="P72" i="3"/>
  <c r="O73" i="3"/>
  <c r="N74" i="3"/>
  <c r="M75" i="3"/>
  <c r="L76" i="3"/>
  <c r="K77" i="3"/>
  <c r="J78" i="3"/>
  <c r="I79" i="3"/>
  <c r="H80" i="3"/>
  <c r="G81" i="3"/>
  <c r="F82" i="3"/>
  <c r="E83" i="3"/>
  <c r="D84" i="3"/>
  <c r="C85" i="3"/>
  <c r="B86" i="3"/>
  <c r="A87" i="3"/>
  <c r="Q87" i="3"/>
  <c r="P88" i="3"/>
  <c r="O89" i="3"/>
  <c r="N90" i="3"/>
  <c r="M91" i="3"/>
  <c r="L92" i="3"/>
  <c r="K93" i="3"/>
  <c r="J94" i="3"/>
  <c r="I95" i="3"/>
  <c r="H96" i="3"/>
  <c r="G97" i="3"/>
  <c r="F98" i="3"/>
  <c r="E99" i="3"/>
  <c r="D100" i="3"/>
  <c r="C101" i="3"/>
  <c r="B102" i="3"/>
  <c r="A103" i="3"/>
  <c r="D104" i="3"/>
  <c r="H105" i="3"/>
  <c r="O106" i="3"/>
  <c r="G109" i="3"/>
  <c r="P111" i="3"/>
  <c r="J114" i="3"/>
  <c r="F118" i="3"/>
  <c r="B122" i="3"/>
  <c r="O125" i="3"/>
  <c r="K129" i="3"/>
  <c r="I133" i="3"/>
  <c r="C139" i="3"/>
  <c r="L146" i="3"/>
  <c r="D154" i="3"/>
  <c r="C162" i="3"/>
  <c r="A179" i="3"/>
  <c r="B18" i="3"/>
  <c r="L18" i="3"/>
  <c r="C19" i="3"/>
  <c r="K19" i="3"/>
  <c r="I20" i="3"/>
  <c r="Q20" i="3"/>
  <c r="K21" i="3"/>
  <c r="B22" i="3"/>
  <c r="M22" i="3"/>
  <c r="D23" i="3"/>
  <c r="O23" i="3"/>
  <c r="I24" i="3"/>
  <c r="Q24" i="3"/>
  <c r="H25" i="3"/>
  <c r="P25" i="3"/>
  <c r="H26" i="3"/>
  <c r="P26" i="3"/>
  <c r="G27" i="3"/>
  <c r="O27" i="3"/>
  <c r="I28" i="3"/>
  <c r="Q28" i="3"/>
  <c r="K29" i="3"/>
  <c r="E30" i="3"/>
  <c r="M30" i="3"/>
  <c r="G31" i="3"/>
  <c r="O31" i="3"/>
  <c r="I32" i="3"/>
  <c r="Q32" i="3"/>
  <c r="K33" i="3"/>
  <c r="E34" i="3"/>
  <c r="M34" i="3"/>
  <c r="G35" i="3"/>
  <c r="O35" i="3"/>
  <c r="I36" i="3"/>
  <c r="Q36" i="3"/>
  <c r="K37" i="3"/>
  <c r="B38" i="3"/>
  <c r="J38" i="3"/>
  <c r="A39" i="3"/>
  <c r="I39" i="3"/>
  <c r="Q39" i="3"/>
  <c r="I40" i="3"/>
  <c r="Q40" i="3"/>
  <c r="H41" i="3"/>
  <c r="P41" i="3"/>
  <c r="M42" i="3"/>
  <c r="F43" i="3"/>
  <c r="N43" i="3"/>
  <c r="I44" i="3"/>
  <c r="Q44" i="3"/>
  <c r="H45" i="3"/>
  <c r="P45" i="3"/>
  <c r="G46" i="3"/>
  <c r="O46" i="3"/>
  <c r="F47" i="3"/>
  <c r="N47" i="3"/>
  <c r="K48" i="3"/>
  <c r="B49" i="3"/>
  <c r="J49" i="3"/>
  <c r="A50" i="3"/>
  <c r="I50" i="3"/>
  <c r="Q50" i="3"/>
  <c r="J51" i="3"/>
  <c r="C52" i="3"/>
  <c r="M52" i="3"/>
  <c r="H53" i="3"/>
  <c r="A54" i="3"/>
  <c r="L54" i="3"/>
  <c r="I55" i="3"/>
  <c r="E56" i="3"/>
  <c r="Q56" i="3"/>
  <c r="M57" i="3"/>
  <c r="H58" i="3"/>
  <c r="E59" i="3"/>
  <c r="A60" i="3"/>
  <c r="M60" i="3"/>
  <c r="L61" i="3"/>
  <c r="K62" i="3"/>
  <c r="J63" i="3"/>
  <c r="I64" i="3"/>
  <c r="H65" i="3"/>
  <c r="G66" i="3"/>
  <c r="F67" i="3"/>
  <c r="E68" i="3"/>
  <c r="D69" i="3"/>
  <c r="C70" i="3"/>
  <c r="B71" i="3"/>
  <c r="A72" i="3"/>
  <c r="Q72" i="3"/>
  <c r="P73" i="3"/>
  <c r="O74" i="3"/>
  <c r="N75" i="3"/>
  <c r="M76" i="3"/>
  <c r="L77" i="3"/>
  <c r="K78" i="3"/>
  <c r="J79" i="3"/>
  <c r="I80" i="3"/>
  <c r="H81" i="3"/>
  <c r="G82" i="3"/>
  <c r="F83" i="3"/>
  <c r="E84" i="3"/>
  <c r="D85" i="3"/>
  <c r="C86" i="3"/>
  <c r="B87" i="3"/>
  <c r="A88" i="3"/>
  <c r="Q88" i="3"/>
  <c r="P89" i="3"/>
  <c r="O90" i="3"/>
  <c r="N91" i="3"/>
  <c r="M92" i="3"/>
  <c r="L93" i="3"/>
  <c r="K94" i="3"/>
  <c r="J95" i="3"/>
  <c r="I96" i="3"/>
  <c r="H97" i="3"/>
  <c r="G98" i="3"/>
  <c r="F99" i="3"/>
  <c r="E100" i="3"/>
  <c r="D101" i="3"/>
  <c r="C102" i="3"/>
  <c r="B103" i="3"/>
  <c r="E104" i="3"/>
  <c r="J105" i="3"/>
  <c r="H107" i="3"/>
  <c r="P109" i="3"/>
  <c r="H112" i="3"/>
  <c r="E115" i="3"/>
  <c r="A119" i="3"/>
  <c r="N122" i="3"/>
  <c r="J126" i="3"/>
  <c r="F130" i="3"/>
  <c r="H134" i="3"/>
  <c r="J140" i="3"/>
  <c r="B148" i="3"/>
  <c r="K155" i="3"/>
  <c r="H164" i="3"/>
  <c r="N182" i="3"/>
  <c r="J96" i="3"/>
  <c r="I97" i="3"/>
  <c r="H98" i="3"/>
  <c r="G99" i="3"/>
  <c r="F100" i="3"/>
  <c r="E101" i="3"/>
  <c r="D102" i="3"/>
  <c r="C103" i="3"/>
  <c r="G104" i="3"/>
  <c r="K105" i="3"/>
  <c r="I107" i="3"/>
  <c r="A110" i="3"/>
  <c r="I112" i="3"/>
  <c r="I115" i="3"/>
  <c r="E119" i="3"/>
  <c r="A123" i="3"/>
  <c r="N126" i="3"/>
  <c r="J130" i="3"/>
  <c r="N134" i="3"/>
  <c r="A141" i="3"/>
  <c r="J148" i="3"/>
  <c r="B156" i="3"/>
  <c r="C165" i="3"/>
  <c r="I185" i="3"/>
  <c r="T1" i="6"/>
  <c r="F1" i="5"/>
  <c r="G2" i="2"/>
  <c r="G1" i="5"/>
  <c r="U1" i="6"/>
  <c r="C9" i="4"/>
  <c r="M9" i="4"/>
  <c r="AE1" i="6"/>
  <c r="B1" i="5"/>
  <c r="M1" i="3"/>
  <c r="G9" i="4"/>
  <c r="Y1" i="6"/>
  <c r="K1" i="5"/>
  <c r="Z1" i="6"/>
  <c r="L1" i="5"/>
  <c r="H9" i="4"/>
  <c r="A9" i="4"/>
  <c r="S1" i="6"/>
  <c r="M1" i="5"/>
  <c r="AA1" i="6"/>
  <c r="I9" i="4"/>
  <c r="H1" i="5"/>
  <c r="V1" i="6"/>
  <c r="N9" i="4"/>
  <c r="AF1" i="6"/>
  <c r="N1" i="3"/>
  <c r="I1" i="5"/>
  <c r="E9" i="4"/>
  <c r="D9" i="4"/>
  <c r="C1" i="5"/>
  <c r="F9" i="4"/>
  <c r="X1" i="6"/>
  <c r="B9" i="8"/>
  <c r="B6" i="8"/>
  <c r="B14" i="8"/>
  <c r="B3" i="8"/>
  <c r="A1" i="6" l="1"/>
  <c r="I2" i="2"/>
  <c r="H2" i="2"/>
</calcChain>
</file>

<file path=xl/sharedStrings.xml><?xml version="1.0" encoding="utf-8"?>
<sst xmlns="http://schemas.openxmlformats.org/spreadsheetml/2006/main" count="109" uniqueCount="67">
  <si>
    <t>Subcontract Change Order</t>
  </si>
  <si>
    <t>Project:</t>
  </si>
  <si>
    <t>Owner:</t>
  </si>
  <si>
    <t>Company</t>
  </si>
  <si>
    <t>Owner's Change Order No.</t>
  </si>
  <si>
    <t>Subcontract Number:</t>
  </si>
  <si>
    <t>Subcontractor:</t>
  </si>
  <si>
    <t>Change Order Number:</t>
  </si>
  <si>
    <t>Phase Number:</t>
  </si>
  <si>
    <t>You are hereby authorized to make the following additions and/or deductions to your contract</t>
  </si>
  <si>
    <t>Previous Contract</t>
  </si>
  <si>
    <t>Increase</t>
  </si>
  <si>
    <t>Decrease</t>
  </si>
  <si>
    <t>Net Change</t>
  </si>
  <si>
    <t>Revised Contract</t>
  </si>
  <si>
    <t>Amount</t>
  </si>
  <si>
    <t>Please return 2 copies of this change order to:</t>
  </si>
  <si>
    <t>Company Name</t>
  </si>
  <si>
    <t>Address</t>
  </si>
  <si>
    <t>City, State  Zip</t>
  </si>
  <si>
    <t>Description of Change:</t>
  </si>
  <si>
    <t>Add</t>
  </si>
  <si>
    <t>Deduct</t>
  </si>
  <si>
    <t>Totals</t>
  </si>
  <si>
    <t>ACCEPTED:</t>
  </si>
  <si>
    <t>APPROVED:</t>
  </si>
  <si>
    <t>Sub-Contractor</t>
  </si>
  <si>
    <t>By:</t>
  </si>
  <si>
    <t>Title:</t>
  </si>
  <si>
    <t>Date:</t>
  </si>
  <si>
    <t xml:space="preserve">Title: </t>
  </si>
  <si>
    <t>Attachment Link:</t>
  </si>
  <si>
    <t>Log 11</t>
  </si>
  <si>
    <t>Log 12</t>
  </si>
  <si>
    <t>Update 3</t>
  </si>
  <si>
    <t>Subcontractor:- Subcontract Number:- Change Order Number:- Owner's Change Order No.- Previous Contract- Increase- Decrease- Net Change- Revised Contract- Date:- Log 11- Log 12</t>
  </si>
  <si>
    <t>Date</t>
  </si>
  <si>
    <t>First Name</t>
  </si>
  <si>
    <t>Middle Name</t>
  </si>
  <si>
    <t>Last Name</t>
  </si>
  <si>
    <t>Title</t>
  </si>
  <si>
    <t>E-mail Address</t>
  </si>
  <si>
    <t>Home Phone</t>
  </si>
  <si>
    <t>Mobile Phone</t>
  </si>
  <si>
    <t>Home Street</t>
  </si>
  <si>
    <t>Home City</t>
  </si>
  <si>
    <t>Home State</t>
  </si>
  <si>
    <t>Home Postal Code</t>
  </si>
  <si>
    <t>Business Phone</t>
  </si>
  <si>
    <t>Business Fax</t>
  </si>
  <si>
    <t>Business Street</t>
  </si>
  <si>
    <t>Business City</t>
  </si>
  <si>
    <t>Business State</t>
  </si>
  <si>
    <t>Business Postal Code</t>
  </si>
  <si>
    <t>Other Street</t>
  </si>
  <si>
    <t>Other City</t>
  </si>
  <si>
    <t>Other State</t>
  </si>
  <si>
    <t>Other Postal Code</t>
  </si>
  <si>
    <t>Target Cell on Sheet1</t>
  </si>
  <si>
    <t>Vlookup by Name</t>
  </si>
  <si>
    <t>Xlookup by Company</t>
  </si>
  <si>
    <t>Enter information and select New Contact.</t>
  </si>
  <si>
    <t>Project Name</t>
  </si>
  <si>
    <t>=VLOOKUP(A1,Data!$A$1:$DZU$1000000,140,FALSE)</t>
  </si>
  <si>
    <t>=VLOOKUP(A1,Data!$A$1:$DZU$1000000,157,FALSE)</t>
  </si>
  <si>
    <t>=VLOOKUP(A1,Data!$A$1:$DZU$1000000,174,FALSE)</t>
  </si>
  <si>
    <t>SUBCONTRACT CHANGE ORDER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</si>
</sst>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2" formatCode="_(&quot;$&quot;* #,##0_);_(&quot;$&quot;* \(#,##0\);_(&quot;$&quot;* &quot;-&quot;_);_(@_)"/>
    <numFmt numFmtId="43" formatCode="_(* #,##0.00_);_(* \(#,##0.00\);_(* &quot;-&quot;??_);_(@_)"/>
    <numFmt numFmtId="164" formatCode="&quot;$&quot;#,##0.00"/>
  </numFmts>
  <fonts count="12" x14ac:knownFonts="1">
    <font>
      <sz val="11"/>
      <color theme="1"/>
      <name val="Calibri"/>
      <scheme val="minor"/>
    </font>
    <font>
      <b/>
      <sz val="20"/>
      <color theme="1"/>
      <name val="Arial"/>
    </font>
    <font>
      <sz val="11"/>
      <color theme="1"/>
      <name val="Calibri"/>
    </font>
    <font>
      <b/>
      <sz val="13"/>
      <color theme="1"/>
      <name val="Arial"/>
    </font>
    <font>
      <sz val="11"/>
      <name val="Calibri"/>
    </font>
    <font>
      <b/>
      <sz val="11"/>
      <color theme="1"/>
      <name val="Arial"/>
    </font>
    <font>
      <sz val="11"/>
      <color theme="1"/>
      <name val="Arial"/>
    </font>
    <font>
      <sz val="11"/>
      <color theme="1"/>
      <name val="Calibri"/>
      <scheme val="minor"/>
    </font>
    <font>
      <b/>
      <sz val="14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b/>
      <u/>
      <sz val="14"/>
      <color rgb="FF0000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</fills>
  <borders count="2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8" xfId="0" applyFont="1" applyBorder="1"/>
    <xf numFmtId="0" fontId="2" fillId="0" borderId="12" xfId="0" applyFont="1" applyBorder="1" applyAlignment="1">
      <alignment horizontal="center"/>
    </xf>
    <xf numFmtId="0" fontId="2" fillId="0" borderId="15" xfId="0" applyFont="1" applyBorder="1"/>
    <xf numFmtId="42" fontId="2" fillId="0" borderId="17" xfId="0" applyNumberFormat="1" applyFont="1" applyBorder="1" applyAlignment="1">
      <alignment horizontal="right"/>
    </xf>
    <xf numFmtId="42" fontId="2" fillId="0" borderId="18" xfId="0" applyNumberFormat="1" applyFont="1" applyBorder="1" applyAlignment="1">
      <alignment horizontal="right"/>
    </xf>
    <xf numFmtId="0" fontId="2" fillId="0" borderId="19" xfId="0" applyFont="1" applyBorder="1"/>
    <xf numFmtId="0" fontId="2" fillId="0" borderId="18" xfId="0" applyFont="1" applyBorder="1" applyAlignment="1">
      <alignment horizontal="center"/>
    </xf>
    <xf numFmtId="6" fontId="2" fillId="0" borderId="8" xfId="0" applyNumberFormat="1" applyFont="1" applyBorder="1"/>
    <xf numFmtId="6" fontId="2" fillId="0" borderId="15" xfId="0" applyNumberFormat="1" applyFont="1" applyBorder="1" applyAlignment="1">
      <alignment horizontal="right"/>
    </xf>
    <xf numFmtId="0" fontId="6" fillId="0" borderId="19" xfId="0" applyFont="1" applyBorder="1"/>
    <xf numFmtId="0" fontId="2" fillId="0" borderId="19" xfId="0" applyFont="1" applyBorder="1" applyAlignment="1">
      <alignment horizontal="right"/>
    </xf>
    <xf numFmtId="14" fontId="2" fillId="0" borderId="8" xfId="0" applyNumberFormat="1" applyFont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7" fillId="2" borderId="8" xfId="0" applyFont="1" applyFill="1" applyBorder="1"/>
    <xf numFmtId="0" fontId="7" fillId="2" borderId="0" xfId="0" applyFont="1" applyFill="1"/>
    <xf numFmtId="0" fontId="7" fillId="0" borderId="8" xfId="0" applyFont="1" applyBorder="1"/>
    <xf numFmtId="49" fontId="7" fillId="0" borderId="8" xfId="0" applyNumberFormat="1" applyFont="1" applyBorder="1"/>
    <xf numFmtId="42" fontId="7" fillId="0" borderId="8" xfId="0" applyNumberFormat="1" applyFont="1" applyBorder="1"/>
    <xf numFmtId="14" fontId="7" fillId="0" borderId="8" xfId="0" applyNumberFormat="1" applyFont="1" applyBorder="1"/>
    <xf numFmtId="0" fontId="7" fillId="3" borderId="0" xfId="0" applyFont="1" applyFill="1"/>
    <xf numFmtId="0" fontId="7" fillId="0" borderId="0" xfId="0" applyFont="1"/>
    <xf numFmtId="164" fontId="7" fillId="0" borderId="0" xfId="0" applyNumberFormat="1" applyFont="1"/>
    <xf numFmtId="14" fontId="7" fillId="0" borderId="0" xfId="0" applyNumberFormat="1" applyFont="1"/>
    <xf numFmtId="0" fontId="8" fillId="0" borderId="0" xfId="0" applyFont="1"/>
    <xf numFmtId="0" fontId="7" fillId="4" borderId="6" xfId="0" applyFont="1" applyFill="1" applyBorder="1"/>
    <xf numFmtId="0" fontId="7" fillId="0" borderId="6" xfId="0" applyFont="1" applyBorder="1"/>
    <xf numFmtId="0" fontId="7" fillId="4" borderId="0" xfId="0" applyFont="1" applyFill="1"/>
    <xf numFmtId="0" fontId="9" fillId="0" borderId="0" xfId="0" applyFont="1"/>
    <xf numFmtId="0" fontId="10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43" fontId="3" fillId="0" borderId="3" xfId="0" applyNumberFormat="1" applyFont="1" applyBorder="1"/>
    <xf numFmtId="0" fontId="4" fillId="0" borderId="4" xfId="0" applyFont="1" applyBorder="1"/>
    <xf numFmtId="0" fontId="4" fillId="0" borderId="5" xfId="0" applyFont="1" applyBorder="1"/>
    <xf numFmtId="0" fontId="5" fillId="0" borderId="6" xfId="0" applyFont="1" applyBorder="1"/>
    <xf numFmtId="0" fontId="4" fillId="0" borderId="6" xfId="0" applyFont="1" applyBorder="1"/>
    <xf numFmtId="0" fontId="4" fillId="0" borderId="7" xfId="0" applyFont="1" applyBorder="1"/>
    <xf numFmtId="0" fontId="2" fillId="0" borderId="0" xfId="0" applyFont="1"/>
    <xf numFmtId="49" fontId="2" fillId="0" borderId="3" xfId="0" applyNumberFormat="1" applyFont="1" applyBorder="1"/>
    <xf numFmtId="0" fontId="5" fillId="0" borderId="0" xfId="0" applyFont="1"/>
    <xf numFmtId="43" fontId="5" fillId="0" borderId="9" xfId="0" applyNumberFormat="1" applyFont="1" applyBorder="1"/>
    <xf numFmtId="0" fontId="4" fillId="0" borderId="9" xfId="0" applyFont="1" applyBorder="1"/>
    <xf numFmtId="0" fontId="2" fillId="0" borderId="0" xfId="0" applyFont="1" applyAlignment="1">
      <alignment vertical="top" wrapText="1"/>
    </xf>
    <xf numFmtId="0" fontId="2" fillId="0" borderId="10" xfId="0" applyFont="1" applyBorder="1" applyAlignment="1">
      <alignment horizontal="center"/>
    </xf>
    <xf numFmtId="0" fontId="4" fillId="0" borderId="11" xfId="0" applyFont="1" applyBorder="1"/>
    <xf numFmtId="0" fontId="2" fillId="0" borderId="13" xfId="0" applyFont="1" applyBorder="1" applyAlignment="1">
      <alignment horizontal="center"/>
    </xf>
    <xf numFmtId="0" fontId="4" fillId="0" borderId="14" xfId="0" applyFont="1" applyBorder="1"/>
    <xf numFmtId="42" fontId="2" fillId="0" borderId="16" xfId="0" applyNumberFormat="1" applyFont="1" applyBorder="1"/>
    <xf numFmtId="0" fontId="4" fillId="0" borderId="17" xfId="0" applyFont="1" applyBorder="1"/>
    <xf numFmtId="42" fontId="2" fillId="0" borderId="16" xfId="0" applyNumberFormat="1" applyFont="1" applyBorder="1" applyAlignment="1">
      <alignment horizontal="right"/>
    </xf>
    <xf numFmtId="0" fontId="2" fillId="0" borderId="19" xfId="0" applyFont="1" applyBorder="1"/>
    <xf numFmtId="0" fontId="4" fillId="0" borderId="19" xfId="0" applyFont="1" applyBorder="1"/>
    <xf numFmtId="0" fontId="2" fillId="0" borderId="3" xfId="0" applyFont="1" applyBorder="1"/>
    <xf numFmtId="0" fontId="5" fillId="0" borderId="19" xfId="0" applyFont="1" applyBorder="1"/>
    <xf numFmtId="0" fontId="7" fillId="2" borderId="0" xfId="0" applyFont="1" applyFill="1"/>
    <xf numFmtId="0" fontId="8" fillId="2" borderId="0" xfId="0" applyFont="1" applyFill="1" applyAlignment="1">
      <alignment vertical="center"/>
    </xf>
    <xf numFmtId="0" fontId="7" fillId="3" borderId="0" xfId="0" applyFont="1" applyFill="1"/>
    <xf numFmtId="0" fontId="11" fillId="0" borderId="0" xfId="0" applyFont="1" applyAlignment="1">
      <alignment vertical="top" wrapText="1"/>
    </xf>
    <xf numFmtId="0" fontId="2" fillId="0" borderId="0" xfId="0" applyFont="1" applyBorder="1"/>
    <xf numFmtId="6" fontId="2" fillId="0" borderId="17" xfId="0" applyNumberFormat="1" applyFont="1" applyBorder="1" applyAlignment="1">
      <alignment horizontal="right"/>
    </xf>
    <xf numFmtId="6" fontId="2" fillId="0" borderId="18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8"/>
  <sheetViews>
    <sheetView showGridLines="0" showZeros="0" workbookViewId="0">
      <selection activeCell="B5" sqref="B5:H5"/>
    </sheetView>
  </sheetViews>
  <sheetFormatPr defaultColWidth="14.453125" defaultRowHeight="15" customHeight="1" x14ac:dyDescent="0.35"/>
  <sheetData>
    <row r="1" spans="1:17" ht="15" customHeight="1" x14ac:dyDescent="0.5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</row>
    <row r="2" spans="1:17" ht="15" customHeight="1" x14ac:dyDescent="0.5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</row>
    <row r="3" spans="1:17" ht="40" customHeight="1" x14ac:dyDescent="0.5">
      <c r="A3" s="35" t="s">
        <v>0</v>
      </c>
      <c r="B3" s="36"/>
      <c r="C3" s="36"/>
      <c r="D3" s="36"/>
      <c r="E3" s="36"/>
      <c r="F3" s="36"/>
      <c r="G3" s="36"/>
      <c r="H3" s="36"/>
      <c r="I3" s="64"/>
      <c r="J3" s="64"/>
      <c r="K3" s="64"/>
      <c r="L3" s="64"/>
      <c r="M3" s="64"/>
      <c r="N3" s="64"/>
      <c r="O3" s="64"/>
      <c r="P3" s="64"/>
      <c r="Q3" s="3"/>
    </row>
    <row r="4" spans="1:17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4"/>
    </row>
    <row r="5" spans="1:17" x14ac:dyDescent="0.35">
      <c r="A5" s="2" t="s">
        <v>1</v>
      </c>
      <c r="B5" s="37" t="s">
        <v>62</v>
      </c>
      <c r="C5" s="38"/>
      <c r="D5" s="38"/>
      <c r="E5" s="38"/>
      <c r="F5" s="38"/>
      <c r="G5" s="38"/>
      <c r="H5" s="39"/>
      <c r="I5" s="2"/>
      <c r="J5" s="2"/>
      <c r="K5" s="2"/>
      <c r="L5" s="2"/>
      <c r="M5" s="2"/>
      <c r="N5" s="2"/>
      <c r="O5" s="2"/>
      <c r="P5" s="2"/>
      <c r="Q5" s="4"/>
    </row>
    <row r="6" spans="1:17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4"/>
    </row>
    <row r="7" spans="1:17" x14ac:dyDescent="0.35">
      <c r="A7" s="2" t="s">
        <v>2</v>
      </c>
      <c r="B7" s="40" t="s">
        <v>3</v>
      </c>
      <c r="C7" s="41"/>
      <c r="D7" s="41"/>
      <c r="E7" s="42"/>
      <c r="F7" s="43" t="s">
        <v>4</v>
      </c>
      <c r="G7" s="36"/>
      <c r="H7" s="5"/>
      <c r="I7" s="2"/>
      <c r="J7" s="2"/>
      <c r="K7" s="2"/>
      <c r="L7" s="2"/>
      <c r="M7" s="2"/>
      <c r="N7" s="2"/>
      <c r="O7" s="2"/>
      <c r="P7" s="2"/>
      <c r="Q7" s="4"/>
    </row>
    <row r="8" spans="1:17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4"/>
    </row>
    <row r="9" spans="1:17" x14ac:dyDescent="0.35">
      <c r="A9" s="43" t="s">
        <v>5</v>
      </c>
      <c r="B9" s="36"/>
      <c r="C9" s="44"/>
      <c r="D9" s="39"/>
      <c r="E9" s="2" t="s">
        <v>6</v>
      </c>
      <c r="F9" s="40" t="s">
        <v>3</v>
      </c>
      <c r="G9" s="41"/>
      <c r="H9" s="42"/>
      <c r="I9" s="2"/>
      <c r="J9" s="2"/>
      <c r="K9" s="2"/>
      <c r="L9" s="2"/>
      <c r="M9" s="2"/>
      <c r="N9" s="2"/>
      <c r="O9" s="2"/>
      <c r="P9" s="2"/>
      <c r="Q9" s="4"/>
    </row>
    <row r="10" spans="1:17" x14ac:dyDescent="0.35">
      <c r="A10" s="43" t="s">
        <v>7</v>
      </c>
      <c r="B10" s="36"/>
      <c r="C10" s="44"/>
      <c r="D10" s="39"/>
      <c r="E10" s="2"/>
      <c r="F10" s="45" t="str">
        <f t="array" ref="F10">IFERROR(INDEX(contacts!AZ:AZ, MATCH(F9, contacts!AR:AR, 0)), "Not Found")</f>
        <v>Business Street</v>
      </c>
      <c r="G10" s="36"/>
      <c r="H10" s="36"/>
      <c r="I10" s="2"/>
      <c r="J10" s="2"/>
      <c r="K10" s="2"/>
      <c r="L10" s="2"/>
      <c r="M10" s="2"/>
      <c r="N10" s="2"/>
      <c r="O10" s="2"/>
      <c r="P10" s="2"/>
      <c r="Q10" s="4"/>
    </row>
    <row r="11" spans="1:17" x14ac:dyDescent="0.35">
      <c r="A11" s="43" t="s">
        <v>8</v>
      </c>
      <c r="B11" s="36"/>
      <c r="C11" s="44"/>
      <c r="D11" s="39"/>
      <c r="E11" s="2"/>
      <c r="F11" s="46" t="str">
        <f t="array" ref="F11">IFERROR(INDEX(contacts!BD:BD, MATCH(F9, contacts!AR:AR, 0)), "") &amp; ", " &amp; IFERROR(INDEX(contacts!BE:BE, MATCH(F9, contacts!AR:AR, 0)), "") &amp; " " &amp; IFERROR(INDEX(contacts!BF:BF, MATCH(F9, contacts!AR:AR, 0)), "Not Found")</f>
        <v>Business City, Business State Business Postal Code</v>
      </c>
      <c r="G11" s="47"/>
      <c r="H11" s="47"/>
      <c r="I11" s="2"/>
      <c r="J11" s="2"/>
      <c r="K11" s="2"/>
      <c r="L11" s="2"/>
      <c r="M11" s="2"/>
      <c r="N11" s="2"/>
      <c r="O11" s="2"/>
      <c r="P11" s="2"/>
      <c r="Q11" s="4"/>
    </row>
    <row r="12" spans="1:17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4"/>
    </row>
    <row r="13" spans="1:17" x14ac:dyDescent="0.35">
      <c r="A13" s="48" t="s">
        <v>9</v>
      </c>
      <c r="B13" s="36"/>
      <c r="C13" s="36"/>
      <c r="D13" s="36"/>
      <c r="E13" s="36"/>
      <c r="F13" s="36"/>
      <c r="G13" s="36"/>
      <c r="H13" s="36"/>
      <c r="I13" s="2"/>
      <c r="J13" s="2"/>
      <c r="K13" s="2"/>
      <c r="L13" s="2"/>
      <c r="M13" s="2"/>
      <c r="N13" s="2"/>
      <c r="O13" s="2"/>
      <c r="P13" s="2"/>
      <c r="Q13" s="4"/>
    </row>
    <row r="14" spans="1:17" x14ac:dyDescent="0.35">
      <c r="A14" s="36"/>
      <c r="B14" s="36"/>
      <c r="C14" s="36"/>
      <c r="D14" s="36"/>
      <c r="E14" s="36"/>
      <c r="F14" s="36"/>
      <c r="G14" s="36"/>
      <c r="H14" s="36"/>
      <c r="I14" s="2"/>
      <c r="J14" s="2"/>
      <c r="K14" s="2"/>
      <c r="L14" s="2"/>
      <c r="M14" s="2"/>
      <c r="N14" s="2"/>
      <c r="O14" s="2"/>
      <c r="P14" s="2"/>
      <c r="Q14" s="4"/>
    </row>
    <row r="15" spans="1:17" x14ac:dyDescent="0.35">
      <c r="A15" s="2"/>
      <c r="B15" s="49" t="s">
        <v>10</v>
      </c>
      <c r="C15" s="50"/>
      <c r="D15" s="6" t="s">
        <v>11</v>
      </c>
      <c r="E15" s="6" t="s">
        <v>12</v>
      </c>
      <c r="F15" s="6" t="s">
        <v>13</v>
      </c>
      <c r="G15" s="49" t="s">
        <v>14</v>
      </c>
      <c r="H15" s="50"/>
      <c r="I15" s="2"/>
      <c r="J15" s="2"/>
      <c r="K15" s="2"/>
      <c r="L15" s="2"/>
      <c r="M15" s="2"/>
      <c r="N15" s="2"/>
      <c r="O15" s="2"/>
      <c r="P15" s="2"/>
      <c r="Q15" s="4"/>
    </row>
    <row r="16" spans="1:17" x14ac:dyDescent="0.35">
      <c r="A16" s="2"/>
      <c r="B16" s="51" t="s">
        <v>15</v>
      </c>
      <c r="C16" s="52"/>
      <c r="D16" s="7"/>
      <c r="E16" s="7"/>
      <c r="F16" s="7"/>
      <c r="G16" s="51" t="s">
        <v>15</v>
      </c>
      <c r="H16" s="52"/>
      <c r="I16" s="2"/>
      <c r="J16" s="2"/>
      <c r="K16" s="2"/>
      <c r="L16" s="2"/>
      <c r="M16" s="2"/>
      <c r="N16" s="2"/>
      <c r="O16" s="2"/>
      <c r="P16" s="2"/>
      <c r="Q16" s="4"/>
    </row>
    <row r="17" spans="1:17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4"/>
    </row>
    <row r="18" spans="1:17" x14ac:dyDescent="0.35">
      <c r="A18" s="2"/>
      <c r="B18" s="53"/>
      <c r="C18" s="54"/>
      <c r="D18" s="8">
        <f t="shared" ref="D18:E18" si="0">SUM(F38)</f>
        <v>0</v>
      </c>
      <c r="E18" s="9">
        <f t="shared" si="0"/>
        <v>0</v>
      </c>
      <c r="F18" s="9">
        <f>SUM(D18:E18)</f>
        <v>0</v>
      </c>
      <c r="G18" s="55">
        <f>SUM(B18+F18)</f>
        <v>0</v>
      </c>
      <c r="H18" s="54"/>
      <c r="I18" s="2"/>
      <c r="J18" s="2"/>
      <c r="K18" s="2"/>
      <c r="L18" s="2"/>
      <c r="M18" s="2"/>
      <c r="N18" s="2"/>
      <c r="O18" s="2"/>
      <c r="P18" s="2"/>
      <c r="Q18" s="4"/>
    </row>
    <row r="19" spans="1:17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4"/>
    </row>
    <row r="20" spans="1:17" x14ac:dyDescent="0.35">
      <c r="A20" s="43" t="s">
        <v>16</v>
      </c>
      <c r="B20" s="36"/>
      <c r="C20" s="36"/>
      <c r="D20" s="36"/>
      <c r="E20" s="36"/>
      <c r="F20" s="36"/>
      <c r="G20" s="36"/>
      <c r="H20" s="36"/>
      <c r="I20" s="2"/>
      <c r="J20" s="2"/>
      <c r="K20" s="2"/>
      <c r="L20" s="2"/>
      <c r="M20" s="2"/>
      <c r="N20" s="2"/>
      <c r="O20" s="2"/>
      <c r="P20" s="2"/>
      <c r="Q20" s="4"/>
    </row>
    <row r="21" spans="1:17" x14ac:dyDescent="0.35">
      <c r="A21" s="2"/>
      <c r="B21" s="2"/>
      <c r="C21" s="2"/>
      <c r="D21" s="43"/>
      <c r="E21" s="36"/>
      <c r="F21" s="36"/>
      <c r="G21" s="36"/>
      <c r="H21" s="2"/>
      <c r="I21" s="2"/>
      <c r="J21" s="2"/>
      <c r="K21" s="2"/>
      <c r="L21" s="2"/>
      <c r="M21" s="2"/>
      <c r="N21" s="2"/>
      <c r="O21" s="2"/>
      <c r="P21" s="2"/>
      <c r="Q21" s="4"/>
    </row>
    <row r="22" spans="1:17" x14ac:dyDescent="0.35">
      <c r="A22" s="2"/>
      <c r="B22" s="2"/>
      <c r="C22" s="2"/>
      <c r="D22" s="45" t="s">
        <v>17</v>
      </c>
      <c r="E22" s="36"/>
      <c r="F22" s="36"/>
      <c r="G22" s="36"/>
      <c r="H22" s="2"/>
      <c r="I22" s="2"/>
      <c r="J22" s="2"/>
      <c r="K22" s="2"/>
      <c r="L22" s="2"/>
      <c r="M22" s="2"/>
      <c r="N22" s="2"/>
      <c r="O22" s="2"/>
      <c r="P22" s="2"/>
      <c r="Q22" s="4"/>
    </row>
    <row r="23" spans="1:17" x14ac:dyDescent="0.35">
      <c r="A23" s="2"/>
      <c r="B23" s="2"/>
      <c r="C23" s="2"/>
      <c r="D23" s="45" t="s">
        <v>18</v>
      </c>
      <c r="E23" s="36"/>
      <c r="F23" s="36"/>
      <c r="G23" s="36"/>
      <c r="H23" s="2"/>
      <c r="I23" s="2"/>
      <c r="J23" s="2"/>
      <c r="K23" s="2"/>
      <c r="L23" s="2"/>
      <c r="M23" s="2"/>
      <c r="N23" s="2"/>
      <c r="O23" s="2"/>
      <c r="P23" s="2"/>
      <c r="Q23" s="4"/>
    </row>
    <row r="24" spans="1:17" x14ac:dyDescent="0.35">
      <c r="A24" s="2"/>
      <c r="B24" s="2"/>
      <c r="C24" s="2"/>
      <c r="D24" s="45" t="s">
        <v>19</v>
      </c>
      <c r="E24" s="36"/>
      <c r="F24" s="36"/>
      <c r="G24" s="36"/>
      <c r="H24" s="2"/>
      <c r="I24" s="2"/>
      <c r="J24" s="2"/>
      <c r="K24" s="2"/>
      <c r="L24" s="2"/>
      <c r="M24" s="2"/>
      <c r="N24" s="2"/>
      <c r="O24" s="2"/>
      <c r="P24" s="2"/>
      <c r="Q24" s="4"/>
    </row>
    <row r="25" spans="1:17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4"/>
    </row>
    <row r="26" spans="1:17" x14ac:dyDescent="0.35">
      <c r="A26" s="56" t="s">
        <v>20</v>
      </c>
      <c r="B26" s="57"/>
      <c r="C26" s="2"/>
      <c r="D26" s="2"/>
      <c r="E26" s="2"/>
      <c r="F26" s="11" t="s">
        <v>21</v>
      </c>
      <c r="G26" s="11" t="s">
        <v>22</v>
      </c>
      <c r="H26" s="2"/>
      <c r="I26" s="2"/>
      <c r="J26" s="2"/>
      <c r="K26" s="2"/>
      <c r="L26" s="2"/>
      <c r="M26" s="2"/>
      <c r="N26" s="2"/>
      <c r="O26" s="2"/>
      <c r="P26" s="2"/>
      <c r="Q26" s="4"/>
    </row>
    <row r="27" spans="1:17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4"/>
    </row>
    <row r="28" spans="1:17" x14ac:dyDescent="0.35">
      <c r="A28" s="58"/>
      <c r="B28" s="38"/>
      <c r="C28" s="38"/>
      <c r="D28" s="39"/>
      <c r="E28" s="2"/>
      <c r="F28" s="12"/>
      <c r="G28" s="12"/>
      <c r="H28" s="2"/>
      <c r="I28" s="2"/>
      <c r="J28" s="2"/>
      <c r="K28" s="2"/>
      <c r="L28" s="2"/>
      <c r="M28" s="2"/>
      <c r="N28" s="2"/>
      <c r="O28" s="2"/>
      <c r="P28" s="2"/>
      <c r="Q28" s="4"/>
    </row>
    <row r="29" spans="1:17" x14ac:dyDescent="0.35">
      <c r="A29" s="58"/>
      <c r="B29" s="38"/>
      <c r="C29" s="38"/>
      <c r="D29" s="39"/>
      <c r="E29" s="2"/>
      <c r="F29" s="12"/>
      <c r="G29" s="12"/>
      <c r="H29" s="2"/>
      <c r="I29" s="2"/>
      <c r="J29" s="2"/>
      <c r="K29" s="2"/>
      <c r="L29" s="2"/>
      <c r="M29" s="2"/>
      <c r="N29" s="2"/>
      <c r="O29" s="2"/>
      <c r="P29" s="2"/>
      <c r="Q29" s="4"/>
    </row>
    <row r="30" spans="1:17" x14ac:dyDescent="0.35">
      <c r="A30" s="58"/>
      <c r="B30" s="38"/>
      <c r="C30" s="38"/>
      <c r="D30" s="39"/>
      <c r="E30" s="2"/>
      <c r="F30" s="12"/>
      <c r="G30" s="12"/>
      <c r="H30" s="2"/>
      <c r="I30" s="2"/>
      <c r="J30" s="2"/>
      <c r="K30" s="2"/>
      <c r="L30" s="2"/>
      <c r="M30" s="2"/>
      <c r="N30" s="2"/>
      <c r="O30" s="2"/>
      <c r="P30" s="2"/>
      <c r="Q30" s="4"/>
    </row>
    <row r="31" spans="1:17" x14ac:dyDescent="0.35">
      <c r="A31" s="58"/>
      <c r="B31" s="38"/>
      <c r="C31" s="38"/>
      <c r="D31" s="39"/>
      <c r="E31" s="2"/>
      <c r="F31" s="12"/>
      <c r="G31" s="12"/>
      <c r="H31" s="2"/>
      <c r="I31" s="2"/>
      <c r="J31" s="2"/>
      <c r="K31" s="2"/>
      <c r="L31" s="2"/>
      <c r="M31" s="2"/>
      <c r="N31" s="2"/>
      <c r="O31" s="2"/>
      <c r="P31" s="2"/>
      <c r="Q31" s="4"/>
    </row>
    <row r="32" spans="1:17" x14ac:dyDescent="0.35">
      <c r="A32" s="58"/>
      <c r="B32" s="38"/>
      <c r="C32" s="38"/>
      <c r="D32" s="39"/>
      <c r="E32" s="2"/>
      <c r="F32" s="12"/>
      <c r="G32" s="12"/>
      <c r="H32" s="2"/>
      <c r="I32" s="2"/>
      <c r="J32" s="2"/>
      <c r="K32" s="2"/>
      <c r="L32" s="2"/>
      <c r="M32" s="2"/>
      <c r="N32" s="2"/>
      <c r="O32" s="2"/>
      <c r="P32" s="2"/>
      <c r="Q32" s="4"/>
    </row>
    <row r="33" spans="1:17" x14ac:dyDescent="0.35">
      <c r="A33" s="58"/>
      <c r="B33" s="38"/>
      <c r="C33" s="38"/>
      <c r="D33" s="39"/>
      <c r="E33" s="2"/>
      <c r="F33" s="12"/>
      <c r="G33" s="12"/>
      <c r="H33" s="2"/>
      <c r="I33" s="2"/>
      <c r="J33" s="2"/>
      <c r="K33" s="2"/>
      <c r="L33" s="2"/>
      <c r="M33" s="2"/>
      <c r="N33" s="2"/>
      <c r="O33" s="2"/>
      <c r="P33" s="2"/>
      <c r="Q33" s="4"/>
    </row>
    <row r="34" spans="1:17" x14ac:dyDescent="0.35">
      <c r="A34" s="58"/>
      <c r="B34" s="38"/>
      <c r="C34" s="38"/>
      <c r="D34" s="39"/>
      <c r="E34" s="2"/>
      <c r="F34" s="12"/>
      <c r="G34" s="12"/>
      <c r="H34" s="2"/>
      <c r="I34" s="2"/>
      <c r="J34" s="2"/>
      <c r="K34" s="2"/>
      <c r="L34" s="2"/>
      <c r="M34" s="2"/>
      <c r="N34" s="2"/>
      <c r="O34" s="2"/>
      <c r="P34" s="2"/>
      <c r="Q34" s="4"/>
    </row>
    <row r="35" spans="1:17" x14ac:dyDescent="0.35">
      <c r="A35" s="58"/>
      <c r="B35" s="38"/>
      <c r="C35" s="38"/>
      <c r="D35" s="39"/>
      <c r="E35" s="2"/>
      <c r="F35" s="12"/>
      <c r="G35" s="12"/>
      <c r="H35" s="2"/>
      <c r="I35" s="2"/>
      <c r="J35" s="2"/>
      <c r="K35" s="2"/>
      <c r="L35" s="2"/>
      <c r="M35" s="2"/>
      <c r="N35" s="2"/>
      <c r="O35" s="2"/>
      <c r="P35" s="2"/>
      <c r="Q35" s="4"/>
    </row>
    <row r="36" spans="1:17" x14ac:dyDescent="0.35">
      <c r="A36" s="58"/>
      <c r="B36" s="38"/>
      <c r="C36" s="38"/>
      <c r="D36" s="39"/>
      <c r="E36" s="2"/>
      <c r="F36" s="12"/>
      <c r="G36" s="12"/>
      <c r="H36" s="2"/>
      <c r="I36" s="2"/>
      <c r="J36" s="2"/>
      <c r="K36" s="2"/>
      <c r="L36" s="2"/>
      <c r="M36" s="2"/>
      <c r="N36" s="2"/>
      <c r="O36" s="2"/>
      <c r="P36" s="2"/>
      <c r="Q36" s="4"/>
    </row>
    <row r="37" spans="1:17" x14ac:dyDescent="0.35">
      <c r="A37" s="58"/>
      <c r="B37" s="38"/>
      <c r="C37" s="38"/>
      <c r="D37" s="39"/>
      <c r="E37" s="2"/>
      <c r="F37" s="12"/>
      <c r="G37" s="12"/>
      <c r="H37" s="2"/>
      <c r="I37" s="2"/>
      <c r="J37" s="2"/>
      <c r="K37" s="2"/>
      <c r="L37" s="2"/>
      <c r="M37" s="2"/>
      <c r="N37" s="2"/>
      <c r="O37" s="2"/>
      <c r="P37" s="2"/>
      <c r="Q37" s="4"/>
    </row>
    <row r="38" spans="1:17" x14ac:dyDescent="0.35">
      <c r="A38" s="2"/>
      <c r="B38" s="2"/>
      <c r="C38" s="2"/>
      <c r="D38" s="2"/>
      <c r="E38" s="2" t="s">
        <v>23</v>
      </c>
      <c r="F38" s="13">
        <f t="shared" ref="F38:G38" si="1">SUM(F28:F37)</f>
        <v>0</v>
      </c>
      <c r="G38" s="13">
        <f t="shared" si="1"/>
        <v>0</v>
      </c>
      <c r="H38" s="2"/>
      <c r="I38" s="2"/>
      <c r="J38" s="2"/>
      <c r="K38" s="2"/>
      <c r="L38" s="2"/>
      <c r="M38" s="2"/>
      <c r="N38" s="2"/>
      <c r="O38" s="2"/>
      <c r="P38" s="2"/>
      <c r="Q38" s="4"/>
    </row>
    <row r="39" spans="1:17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4"/>
    </row>
    <row r="40" spans="1:17" x14ac:dyDescent="0.35">
      <c r="A40" s="43" t="s">
        <v>24</v>
      </c>
      <c r="B40" s="36"/>
      <c r="C40" s="2"/>
      <c r="D40" s="2"/>
      <c r="E40" s="2" t="s">
        <v>25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4"/>
    </row>
    <row r="41" spans="1:17" ht="14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4"/>
    </row>
    <row r="42" spans="1:17" ht="14.5" x14ac:dyDescent="0.35">
      <c r="A42" s="59" t="str">
        <f>F9</f>
        <v>Company</v>
      </c>
      <c r="B42" s="57"/>
      <c r="C42" s="57"/>
      <c r="D42" s="57"/>
      <c r="E42" s="58"/>
      <c r="F42" s="38"/>
      <c r="G42" s="38"/>
      <c r="H42" s="39"/>
      <c r="I42" s="2"/>
      <c r="J42" s="2"/>
      <c r="K42" s="2"/>
      <c r="L42" s="2"/>
      <c r="M42" s="2"/>
      <c r="N42" s="2"/>
      <c r="O42" s="2"/>
      <c r="P42" s="2"/>
      <c r="Q42" s="4"/>
    </row>
    <row r="43" spans="1:17" ht="14.5" x14ac:dyDescent="0.35">
      <c r="A43" s="43" t="s">
        <v>26</v>
      </c>
      <c r="B43" s="36"/>
      <c r="C43" s="36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4"/>
    </row>
    <row r="44" spans="1:17" ht="14.5" x14ac:dyDescent="0.35">
      <c r="A44" s="10" t="s">
        <v>27</v>
      </c>
      <c r="B44" s="56"/>
      <c r="C44" s="57"/>
      <c r="D44" s="57"/>
      <c r="E44" s="10" t="s">
        <v>27</v>
      </c>
      <c r="F44" s="58"/>
      <c r="G44" s="38"/>
      <c r="H44" s="39"/>
      <c r="I44" s="2"/>
      <c r="J44" s="2"/>
      <c r="K44" s="2"/>
      <c r="L44" s="2"/>
      <c r="M44" s="2"/>
      <c r="N44" s="2"/>
      <c r="O44" s="2"/>
      <c r="P44" s="2"/>
      <c r="Q44" s="4"/>
    </row>
    <row r="45" spans="1:17" ht="14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4"/>
    </row>
    <row r="46" spans="1:17" ht="14.5" x14ac:dyDescent="0.35">
      <c r="A46" s="10" t="s">
        <v>28</v>
      </c>
      <c r="B46" s="10"/>
      <c r="C46" s="2" t="s">
        <v>29</v>
      </c>
      <c r="D46" s="10"/>
      <c r="E46" s="14" t="s">
        <v>30</v>
      </c>
      <c r="F46" s="10"/>
      <c r="G46" s="15" t="s">
        <v>29</v>
      </c>
      <c r="H46" s="16">
        <f ca="1">TODAY()</f>
        <v>45670</v>
      </c>
      <c r="I46" s="2"/>
      <c r="J46" s="2"/>
      <c r="K46" s="2"/>
      <c r="L46" s="2"/>
      <c r="M46" s="2"/>
      <c r="N46" s="2"/>
      <c r="O46" s="2"/>
      <c r="P46" s="2"/>
      <c r="Q46" s="4"/>
    </row>
    <row r="47" spans="1:17" ht="14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4"/>
    </row>
    <row r="48" spans="1:17" ht="14.5" x14ac:dyDescent="0.35">
      <c r="A48" s="43" t="s">
        <v>31</v>
      </c>
      <c r="B48" s="36"/>
      <c r="C48" s="58"/>
      <c r="D48" s="38"/>
      <c r="E48" s="38"/>
      <c r="F48" s="38"/>
      <c r="G48" s="38"/>
      <c r="H48" s="39"/>
      <c r="I48" s="17"/>
      <c r="J48" s="17"/>
      <c r="K48" s="17"/>
      <c r="L48" s="17"/>
      <c r="M48" s="17"/>
      <c r="N48" s="17"/>
      <c r="O48" s="17"/>
      <c r="P48" s="17"/>
      <c r="Q48" s="18"/>
    </row>
  </sheetData>
  <mergeCells count="44">
    <mergeCell ref="A35:D35"/>
    <mergeCell ref="A36:D36"/>
    <mergeCell ref="A48:B48"/>
    <mergeCell ref="C48:H48"/>
    <mergeCell ref="A37:D37"/>
    <mergeCell ref="A40:B40"/>
    <mergeCell ref="A42:D42"/>
    <mergeCell ref="E42:H42"/>
    <mergeCell ref="A43:C43"/>
    <mergeCell ref="B44:D44"/>
    <mergeCell ref="F44:H44"/>
    <mergeCell ref="A30:D30"/>
    <mergeCell ref="A31:D31"/>
    <mergeCell ref="A32:D32"/>
    <mergeCell ref="A33:D33"/>
    <mergeCell ref="A34:D34"/>
    <mergeCell ref="D23:G23"/>
    <mergeCell ref="D24:G24"/>
    <mergeCell ref="A26:B26"/>
    <mergeCell ref="A28:D28"/>
    <mergeCell ref="A29:D29"/>
    <mergeCell ref="B18:C18"/>
    <mergeCell ref="G18:H18"/>
    <mergeCell ref="A20:H20"/>
    <mergeCell ref="D21:G21"/>
    <mergeCell ref="D22:G22"/>
    <mergeCell ref="A13:H14"/>
    <mergeCell ref="B15:C15"/>
    <mergeCell ref="G15:H15"/>
    <mergeCell ref="B16:C16"/>
    <mergeCell ref="G16:H16"/>
    <mergeCell ref="A10:B10"/>
    <mergeCell ref="C10:D10"/>
    <mergeCell ref="F10:H10"/>
    <mergeCell ref="A11:B11"/>
    <mergeCell ref="C11:D11"/>
    <mergeCell ref="F11:H11"/>
    <mergeCell ref="A3:H3"/>
    <mergeCell ref="B5:H5"/>
    <mergeCell ref="B7:E7"/>
    <mergeCell ref="F7:G7"/>
    <mergeCell ref="A9:B9"/>
    <mergeCell ref="C9:D9"/>
    <mergeCell ref="F9:H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contacts!$AR$1:$AR$1000</xm:f>
          </x14:formula1>
          <xm:sqref>B7 F9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48"/>
  <sheetViews>
    <sheetView showGridLines="0" showZeros="0" tabSelected="1" workbookViewId="0">
      <selection activeCell="B5" sqref="B5:H5"/>
    </sheetView>
  </sheetViews>
  <sheetFormatPr defaultColWidth="14.453125" defaultRowHeight="15" customHeight="1" x14ac:dyDescent="0.35"/>
  <sheetData>
    <row r="1" spans="1:17" x14ac:dyDescent="0.35">
      <c r="A1" s="19" t="str">
        <f>E9</f>
        <v>Subcontractor:</v>
      </c>
      <c r="B1" s="19" t="str">
        <f>A9</f>
        <v>Subcontract Number:</v>
      </c>
      <c r="C1" s="19" t="str">
        <f>A10</f>
        <v>Change Order Number:</v>
      </c>
      <c r="D1" s="19" t="str">
        <f>F7</f>
        <v>Owner's Change Order No.</v>
      </c>
      <c r="E1" s="19" t="str">
        <f>B15</f>
        <v>Previous Contract</v>
      </c>
      <c r="F1" s="19" t="str">
        <f t="shared" ref="F1:I1" si="0">D15</f>
        <v>Increase</v>
      </c>
      <c r="G1" s="19" t="str">
        <f t="shared" si="0"/>
        <v>Decrease</v>
      </c>
      <c r="H1" s="19" t="str">
        <f t="shared" si="0"/>
        <v>Net Change</v>
      </c>
      <c r="I1" s="19" t="str">
        <f t="shared" si="0"/>
        <v>Revised Contract</v>
      </c>
      <c r="J1" s="19" t="str">
        <f>G46</f>
        <v>Date:</v>
      </c>
      <c r="K1" s="19" t="s">
        <v>32</v>
      </c>
      <c r="L1" s="19" t="s">
        <v>33</v>
      </c>
      <c r="M1" s="19" t="str">
        <f>A40</f>
        <v>ACCEPTED:</v>
      </c>
      <c r="N1" s="19" t="str">
        <f>C46</f>
        <v>Date:</v>
      </c>
      <c r="O1" s="19" t="s">
        <v>34</v>
      </c>
      <c r="P1" s="60"/>
      <c r="Q1" s="61"/>
    </row>
    <row r="2" spans="1:17" ht="14.5" x14ac:dyDescent="0.35">
      <c r="A2" s="21" t="str">
        <f>F9</f>
        <v>Company</v>
      </c>
      <c r="B2" s="22">
        <f>C9</f>
        <v>0</v>
      </c>
      <c r="C2" s="22">
        <f>C10</f>
        <v>0</v>
      </c>
      <c r="D2" s="21">
        <f>H7</f>
        <v>0</v>
      </c>
      <c r="E2" s="23">
        <f>B18</f>
        <v>0</v>
      </c>
      <c r="F2" s="23">
        <f t="shared" ref="F2:I2" si="1">D18</f>
        <v>0</v>
      </c>
      <c r="G2" s="23">
        <f t="shared" si="1"/>
        <v>0</v>
      </c>
      <c r="H2" s="23">
        <f t="shared" si="1"/>
        <v>0</v>
      </c>
      <c r="I2" s="23">
        <f t="shared" si="1"/>
        <v>0</v>
      </c>
      <c r="J2" s="24">
        <f ca="1">H46</f>
        <v>45670</v>
      </c>
      <c r="K2" s="21"/>
      <c r="L2" s="21"/>
      <c r="M2" s="21"/>
      <c r="N2" s="21"/>
      <c r="O2" s="21"/>
      <c r="P2" s="36"/>
      <c r="Q2" s="36"/>
    </row>
    <row r="3" spans="1:17" ht="35" customHeight="1" x14ac:dyDescent="0.5">
      <c r="A3" s="35" t="s">
        <v>0</v>
      </c>
      <c r="B3" s="36"/>
      <c r="C3" s="36"/>
      <c r="D3" s="36"/>
      <c r="E3" s="36"/>
      <c r="F3" s="36"/>
      <c r="G3" s="36"/>
      <c r="H3" s="36"/>
      <c r="I3" s="64"/>
      <c r="J3" s="64"/>
      <c r="K3" s="64"/>
      <c r="L3" s="64"/>
      <c r="M3" s="64"/>
      <c r="N3" s="64"/>
      <c r="O3" s="64"/>
      <c r="P3" s="64"/>
      <c r="Q3" s="3"/>
    </row>
    <row r="4" spans="1:17" ht="15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4"/>
    </row>
    <row r="5" spans="1:17" ht="15" customHeight="1" x14ac:dyDescent="0.35">
      <c r="A5" s="2" t="s">
        <v>1</v>
      </c>
      <c r="B5" s="37" t="s">
        <v>62</v>
      </c>
      <c r="C5" s="38"/>
      <c r="D5" s="38"/>
      <c r="E5" s="38"/>
      <c r="F5" s="38"/>
      <c r="G5" s="38"/>
      <c r="H5" s="39"/>
      <c r="I5" s="2"/>
      <c r="J5" s="2"/>
      <c r="K5" s="2"/>
      <c r="L5" s="2"/>
      <c r="M5" s="2"/>
      <c r="N5" s="2"/>
      <c r="O5" s="2"/>
      <c r="P5" s="2"/>
      <c r="Q5" s="4"/>
    </row>
    <row r="6" spans="1:17" ht="15" customHeigh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4"/>
    </row>
    <row r="7" spans="1:17" ht="15" customHeight="1" x14ac:dyDescent="0.35">
      <c r="A7" s="2" t="s">
        <v>2</v>
      </c>
      <c r="B7" s="40" t="s">
        <v>3</v>
      </c>
      <c r="C7" s="41"/>
      <c r="D7" s="41"/>
      <c r="E7" s="42"/>
      <c r="F7" s="43" t="s">
        <v>4</v>
      </c>
      <c r="G7" s="36"/>
      <c r="H7" s="5"/>
      <c r="I7" s="2"/>
      <c r="J7" s="2"/>
      <c r="K7" s="2"/>
      <c r="L7" s="2"/>
      <c r="M7" s="2"/>
      <c r="N7" s="2"/>
      <c r="O7" s="2"/>
      <c r="P7" s="2"/>
      <c r="Q7" s="4"/>
    </row>
    <row r="8" spans="1:17" ht="1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4"/>
    </row>
    <row r="9" spans="1:17" ht="15" customHeight="1" x14ac:dyDescent="0.35">
      <c r="A9" s="43" t="s">
        <v>5</v>
      </c>
      <c r="B9" s="36"/>
      <c r="C9" s="44"/>
      <c r="D9" s="39"/>
      <c r="E9" s="2" t="s">
        <v>6</v>
      </c>
      <c r="F9" s="40" t="s">
        <v>3</v>
      </c>
      <c r="G9" s="41"/>
      <c r="H9" s="42"/>
      <c r="I9" s="2"/>
      <c r="J9" s="2"/>
      <c r="K9" s="2"/>
      <c r="L9" s="2"/>
      <c r="M9" s="2"/>
      <c r="N9" s="2"/>
      <c r="O9" s="2"/>
      <c r="P9" s="2"/>
      <c r="Q9" s="4"/>
    </row>
    <row r="10" spans="1:17" ht="15" customHeight="1" thickBot="1" x14ac:dyDescent="0.4">
      <c r="A10" s="43" t="s">
        <v>7</v>
      </c>
      <c r="B10" s="36"/>
      <c r="C10" s="44"/>
      <c r="D10" s="39"/>
      <c r="E10" s="2"/>
      <c r="F10" s="45" t="str">
        <f>IFERROR(INDEX(contacts!AZ:AZ, MATCH(F9, contacts!AR:AR, 0)), "Not Found")</f>
        <v>Business Street</v>
      </c>
      <c r="G10" s="36"/>
      <c r="H10" s="36"/>
      <c r="I10" s="2"/>
      <c r="J10" s="2"/>
      <c r="K10" s="2"/>
      <c r="L10" s="2"/>
      <c r="M10" s="2"/>
      <c r="N10" s="2"/>
      <c r="O10" s="2"/>
      <c r="P10" s="2"/>
      <c r="Q10" s="4"/>
    </row>
    <row r="11" spans="1:17" ht="15" customHeight="1" thickBot="1" x14ac:dyDescent="0.4">
      <c r="A11" s="43" t="s">
        <v>8</v>
      </c>
      <c r="B11" s="36"/>
      <c r="C11" s="44"/>
      <c r="D11" s="39"/>
      <c r="E11" s="2"/>
      <c r="F11" s="46" t="str">
        <f>IFERROR(INDEX(contacts!BD:BD, MATCH(F9, contacts!AR:AR, 0)), "") &amp; ", " &amp; IFERROR(INDEX(contacts!BE:BE, MATCH(F9, contacts!AR:AR, 0)), "") &amp; " " &amp; IFERROR(INDEX(contacts!BF:BF, MATCH(F9, contacts!AR:AR, 0)), "Not Found")</f>
        <v>Business City, Business State Business Postal Code</v>
      </c>
      <c r="G11" s="47"/>
      <c r="H11" s="47"/>
      <c r="I11" s="2"/>
      <c r="J11" s="2"/>
      <c r="K11" s="2"/>
      <c r="L11" s="2"/>
      <c r="M11" s="2"/>
      <c r="N11" s="2"/>
      <c r="O11" s="2"/>
      <c r="P11" s="2"/>
      <c r="Q11" s="4"/>
    </row>
    <row r="12" spans="1:17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4"/>
    </row>
    <row r="13" spans="1:17" ht="15" customHeight="1" x14ac:dyDescent="0.35">
      <c r="A13" s="48" t="s">
        <v>9</v>
      </c>
      <c r="B13" s="36"/>
      <c r="C13" s="36"/>
      <c r="D13" s="36"/>
      <c r="E13" s="36"/>
      <c r="F13" s="36"/>
      <c r="G13" s="36"/>
      <c r="H13" s="36"/>
      <c r="I13" s="2"/>
      <c r="J13" s="2"/>
      <c r="K13" s="2"/>
      <c r="L13" s="2"/>
      <c r="M13" s="2"/>
      <c r="N13" s="2"/>
      <c r="O13" s="2"/>
      <c r="P13" s="2"/>
      <c r="Q13" s="4"/>
    </row>
    <row r="14" spans="1:17" ht="15" customHeight="1" thickBot="1" x14ac:dyDescent="0.4">
      <c r="A14" s="36"/>
      <c r="B14" s="36"/>
      <c r="C14" s="36"/>
      <c r="D14" s="36"/>
      <c r="E14" s="36"/>
      <c r="F14" s="36"/>
      <c r="G14" s="36"/>
      <c r="H14" s="36"/>
      <c r="I14" s="2"/>
      <c r="J14" s="2"/>
      <c r="K14" s="2"/>
      <c r="L14" s="2"/>
      <c r="M14" s="2"/>
      <c r="N14" s="2"/>
      <c r="O14" s="2"/>
      <c r="P14" s="2"/>
      <c r="Q14" s="4"/>
    </row>
    <row r="15" spans="1:17" ht="15" customHeight="1" x14ac:dyDescent="0.35">
      <c r="A15" s="2"/>
      <c r="B15" s="49" t="s">
        <v>10</v>
      </c>
      <c r="C15" s="50"/>
      <c r="D15" s="6" t="s">
        <v>11</v>
      </c>
      <c r="E15" s="6" t="s">
        <v>12</v>
      </c>
      <c r="F15" s="6" t="s">
        <v>13</v>
      </c>
      <c r="G15" s="49" t="s">
        <v>14</v>
      </c>
      <c r="H15" s="50"/>
      <c r="I15" s="2"/>
      <c r="J15" s="2"/>
      <c r="K15" s="2"/>
      <c r="L15" s="2"/>
      <c r="M15" s="2"/>
      <c r="N15" s="2"/>
      <c r="O15" s="2"/>
      <c r="P15" s="2"/>
      <c r="Q15" s="4"/>
    </row>
    <row r="16" spans="1:17" ht="15" customHeight="1" thickBot="1" x14ac:dyDescent="0.4">
      <c r="A16" s="2"/>
      <c r="B16" s="51" t="s">
        <v>15</v>
      </c>
      <c r="C16" s="52"/>
      <c r="D16" s="7"/>
      <c r="E16" s="7"/>
      <c r="F16" s="7"/>
      <c r="G16" s="51" t="s">
        <v>15</v>
      </c>
      <c r="H16" s="52"/>
      <c r="I16" s="2"/>
      <c r="J16" s="2"/>
      <c r="K16" s="2"/>
      <c r="L16" s="2"/>
      <c r="M16" s="2"/>
      <c r="N16" s="2"/>
      <c r="O16" s="2"/>
      <c r="P16" s="2"/>
      <c r="Q16" s="4"/>
    </row>
    <row r="17" spans="1:17" ht="15" customHeight="1" thickBot="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4"/>
    </row>
    <row r="18" spans="1:17" ht="15" customHeight="1" thickBot="1" x14ac:dyDescent="0.4">
      <c r="A18" s="2"/>
      <c r="B18" s="53"/>
      <c r="C18" s="54"/>
      <c r="D18" s="65">
        <f>SUM(F38)</f>
        <v>0</v>
      </c>
      <c r="E18" s="66">
        <f>SUM(G38)</f>
        <v>0</v>
      </c>
      <c r="F18" s="66">
        <f>SUM(D18:E18)</f>
        <v>0</v>
      </c>
      <c r="G18" s="55">
        <f>SUM(B18+F18)</f>
        <v>0</v>
      </c>
      <c r="H18" s="54"/>
      <c r="I18" s="2"/>
      <c r="J18" s="2"/>
      <c r="K18" s="2"/>
      <c r="L18" s="2"/>
      <c r="M18" s="2"/>
      <c r="N18" s="2"/>
      <c r="O18" s="2"/>
      <c r="P18" s="2"/>
      <c r="Q18" s="4"/>
    </row>
    <row r="19" spans="1:17" ht="1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4"/>
    </row>
    <row r="20" spans="1:17" ht="15" customHeight="1" x14ac:dyDescent="0.35">
      <c r="A20" s="43" t="s">
        <v>16</v>
      </c>
      <c r="B20" s="36"/>
      <c r="C20" s="36"/>
      <c r="D20" s="36"/>
      <c r="E20" s="36"/>
      <c r="F20" s="36"/>
      <c r="G20" s="36"/>
      <c r="H20" s="36"/>
      <c r="I20" s="2"/>
      <c r="J20" s="2"/>
      <c r="K20" s="2"/>
      <c r="L20" s="2"/>
      <c r="M20" s="2"/>
      <c r="N20" s="2"/>
      <c r="O20" s="2"/>
      <c r="P20" s="2"/>
      <c r="Q20" s="4"/>
    </row>
    <row r="21" spans="1:17" ht="15" customHeight="1" x14ac:dyDescent="0.35">
      <c r="A21" s="2"/>
      <c r="B21" s="2"/>
      <c r="C21" s="2"/>
      <c r="D21" s="43"/>
      <c r="E21" s="36"/>
      <c r="F21" s="36"/>
      <c r="G21" s="36"/>
      <c r="H21" s="2"/>
      <c r="I21" s="2"/>
      <c r="J21" s="2"/>
      <c r="K21" s="2"/>
      <c r="L21" s="2"/>
      <c r="M21" s="2"/>
      <c r="N21" s="2"/>
      <c r="O21" s="2"/>
      <c r="P21" s="2"/>
      <c r="Q21" s="4"/>
    </row>
    <row r="22" spans="1:17" ht="15" customHeight="1" x14ac:dyDescent="0.35">
      <c r="A22" s="2"/>
      <c r="B22" s="2"/>
      <c r="C22" s="2"/>
      <c r="D22" s="45" t="s">
        <v>17</v>
      </c>
      <c r="E22" s="36"/>
      <c r="F22" s="36"/>
      <c r="G22" s="36"/>
      <c r="H22" s="2"/>
      <c r="I22" s="2"/>
      <c r="J22" s="2"/>
      <c r="K22" s="2"/>
      <c r="L22" s="2"/>
      <c r="M22" s="2"/>
      <c r="N22" s="2"/>
      <c r="O22" s="2"/>
      <c r="P22" s="2"/>
      <c r="Q22" s="4"/>
    </row>
    <row r="23" spans="1:17" ht="15" customHeight="1" x14ac:dyDescent="0.35">
      <c r="A23" s="2"/>
      <c r="B23" s="2"/>
      <c r="C23" s="2"/>
      <c r="D23" s="45" t="s">
        <v>18</v>
      </c>
      <c r="E23" s="36"/>
      <c r="F23" s="36"/>
      <c r="G23" s="36"/>
      <c r="H23" s="2"/>
      <c r="I23" s="2"/>
      <c r="J23" s="2"/>
      <c r="K23" s="2"/>
      <c r="L23" s="2"/>
      <c r="M23" s="2"/>
      <c r="N23" s="2"/>
      <c r="O23" s="2"/>
      <c r="P23" s="2"/>
      <c r="Q23" s="4"/>
    </row>
    <row r="24" spans="1:17" ht="15" customHeight="1" x14ac:dyDescent="0.35">
      <c r="A24" s="2"/>
      <c r="B24" s="2"/>
      <c r="C24" s="2"/>
      <c r="D24" s="45" t="s">
        <v>19</v>
      </c>
      <c r="E24" s="36"/>
      <c r="F24" s="36"/>
      <c r="G24" s="36"/>
      <c r="H24" s="2"/>
      <c r="I24" s="2"/>
      <c r="J24" s="2"/>
      <c r="K24" s="2"/>
      <c r="L24" s="2"/>
      <c r="M24" s="2"/>
      <c r="N24" s="2"/>
      <c r="O24" s="2"/>
      <c r="P24" s="2"/>
      <c r="Q24" s="4"/>
    </row>
    <row r="25" spans="1:17" ht="15" customHeight="1" thickBot="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4"/>
    </row>
    <row r="26" spans="1:17" ht="15" customHeight="1" thickBot="1" x14ac:dyDescent="0.4">
      <c r="A26" s="56" t="s">
        <v>20</v>
      </c>
      <c r="B26" s="57"/>
      <c r="C26" s="2"/>
      <c r="D26" s="2"/>
      <c r="E26" s="2"/>
      <c r="F26" s="11" t="s">
        <v>21</v>
      </c>
      <c r="G26" s="11" t="s">
        <v>22</v>
      </c>
      <c r="H26" s="2"/>
      <c r="I26" s="2"/>
      <c r="J26" s="2"/>
      <c r="K26" s="2"/>
      <c r="L26" s="2"/>
      <c r="M26" s="2"/>
      <c r="N26" s="2"/>
      <c r="O26" s="2"/>
      <c r="P26" s="2"/>
      <c r="Q26" s="4"/>
    </row>
    <row r="27" spans="1:17" ht="1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4"/>
    </row>
    <row r="28" spans="1:17" ht="15" customHeight="1" x14ac:dyDescent="0.35">
      <c r="A28" s="58"/>
      <c r="B28" s="38"/>
      <c r="C28" s="38"/>
      <c r="D28" s="39"/>
      <c r="E28" s="2"/>
      <c r="F28" s="12"/>
      <c r="G28" s="12"/>
      <c r="H28" s="2"/>
      <c r="I28" s="2"/>
      <c r="J28" s="2"/>
      <c r="K28" s="2"/>
      <c r="L28" s="2"/>
      <c r="M28" s="2"/>
      <c r="N28" s="2"/>
      <c r="O28" s="2"/>
      <c r="P28" s="2"/>
      <c r="Q28" s="4"/>
    </row>
    <row r="29" spans="1:17" ht="15" customHeight="1" x14ac:dyDescent="0.35">
      <c r="A29" s="58"/>
      <c r="B29" s="38"/>
      <c r="C29" s="38"/>
      <c r="D29" s="39"/>
      <c r="E29" s="2"/>
      <c r="F29" s="12"/>
      <c r="G29" s="12"/>
      <c r="H29" s="2"/>
      <c r="I29" s="2"/>
      <c r="J29" s="2"/>
      <c r="K29" s="2"/>
      <c r="L29" s="2"/>
      <c r="M29" s="2"/>
      <c r="N29" s="2"/>
      <c r="O29" s="2"/>
      <c r="P29" s="2"/>
      <c r="Q29" s="4"/>
    </row>
    <row r="30" spans="1:17" ht="15" customHeight="1" x14ac:dyDescent="0.35">
      <c r="A30" s="58"/>
      <c r="B30" s="38"/>
      <c r="C30" s="38"/>
      <c r="D30" s="39"/>
      <c r="E30" s="2"/>
      <c r="F30" s="12"/>
      <c r="G30" s="12"/>
      <c r="H30" s="2"/>
      <c r="I30" s="2"/>
      <c r="J30" s="2"/>
      <c r="K30" s="2"/>
      <c r="L30" s="2"/>
      <c r="M30" s="2"/>
      <c r="N30" s="2"/>
      <c r="O30" s="2"/>
      <c r="P30" s="2"/>
      <c r="Q30" s="4"/>
    </row>
    <row r="31" spans="1:17" ht="15" customHeight="1" x14ac:dyDescent="0.35">
      <c r="A31" s="58"/>
      <c r="B31" s="38"/>
      <c r="C31" s="38"/>
      <c r="D31" s="39"/>
      <c r="E31" s="2"/>
      <c r="F31" s="12"/>
      <c r="G31" s="12"/>
      <c r="H31" s="2"/>
      <c r="I31" s="2"/>
      <c r="J31" s="2"/>
      <c r="K31" s="2"/>
      <c r="L31" s="2"/>
      <c r="M31" s="2"/>
      <c r="N31" s="2"/>
      <c r="O31" s="2"/>
      <c r="P31" s="2"/>
      <c r="Q31" s="4"/>
    </row>
    <row r="32" spans="1:17" ht="15" customHeight="1" x14ac:dyDescent="0.35">
      <c r="A32" s="58"/>
      <c r="B32" s="38"/>
      <c r="C32" s="38"/>
      <c r="D32" s="39"/>
      <c r="E32" s="2"/>
      <c r="F32" s="12"/>
      <c r="G32" s="12"/>
      <c r="H32" s="2"/>
      <c r="I32" s="2"/>
      <c r="J32" s="2"/>
      <c r="K32" s="2"/>
      <c r="L32" s="2"/>
      <c r="M32" s="2"/>
      <c r="N32" s="2"/>
      <c r="O32" s="2"/>
      <c r="P32" s="2"/>
      <c r="Q32" s="4"/>
    </row>
    <row r="33" spans="1:17" ht="15" customHeight="1" x14ac:dyDescent="0.35">
      <c r="A33" s="58"/>
      <c r="B33" s="38"/>
      <c r="C33" s="38"/>
      <c r="D33" s="39"/>
      <c r="E33" s="2"/>
      <c r="F33" s="12"/>
      <c r="G33" s="12"/>
      <c r="H33" s="2"/>
      <c r="I33" s="2"/>
      <c r="J33" s="2"/>
      <c r="K33" s="2"/>
      <c r="L33" s="2"/>
      <c r="M33" s="2"/>
      <c r="N33" s="2"/>
      <c r="O33" s="2"/>
      <c r="P33" s="2"/>
      <c r="Q33" s="4"/>
    </row>
    <row r="34" spans="1:17" ht="15" customHeight="1" x14ac:dyDescent="0.35">
      <c r="A34" s="58"/>
      <c r="B34" s="38"/>
      <c r="C34" s="38"/>
      <c r="D34" s="39"/>
      <c r="E34" s="2"/>
      <c r="F34" s="12"/>
      <c r="G34" s="12"/>
      <c r="H34" s="2"/>
      <c r="I34" s="2"/>
      <c r="J34" s="2"/>
      <c r="K34" s="2"/>
      <c r="L34" s="2"/>
      <c r="M34" s="2"/>
      <c r="N34" s="2"/>
      <c r="O34" s="2"/>
      <c r="P34" s="2"/>
      <c r="Q34" s="4"/>
    </row>
    <row r="35" spans="1:17" ht="15" customHeight="1" x14ac:dyDescent="0.35">
      <c r="A35" s="58"/>
      <c r="B35" s="38"/>
      <c r="C35" s="38"/>
      <c r="D35" s="39"/>
      <c r="E35" s="2"/>
      <c r="F35" s="12"/>
      <c r="G35" s="12"/>
      <c r="H35" s="2"/>
      <c r="I35" s="2"/>
      <c r="J35" s="2"/>
      <c r="K35" s="2"/>
      <c r="L35" s="2"/>
      <c r="M35" s="2"/>
      <c r="N35" s="2"/>
      <c r="O35" s="2"/>
      <c r="P35" s="2"/>
      <c r="Q35" s="4"/>
    </row>
    <row r="36" spans="1:17" ht="15" customHeight="1" x14ac:dyDescent="0.35">
      <c r="A36" s="58"/>
      <c r="B36" s="38"/>
      <c r="C36" s="38"/>
      <c r="D36" s="39"/>
      <c r="E36" s="2"/>
      <c r="F36" s="12"/>
      <c r="G36" s="12"/>
      <c r="H36" s="2"/>
      <c r="I36" s="2"/>
      <c r="J36" s="2"/>
      <c r="K36" s="2"/>
      <c r="L36" s="2"/>
      <c r="M36" s="2"/>
      <c r="N36" s="2"/>
      <c r="O36" s="2"/>
      <c r="P36" s="2"/>
      <c r="Q36" s="4"/>
    </row>
    <row r="37" spans="1:17" ht="15" customHeight="1" x14ac:dyDescent="0.35">
      <c r="A37" s="58"/>
      <c r="B37" s="38"/>
      <c r="C37" s="38"/>
      <c r="D37" s="39"/>
      <c r="E37" s="2"/>
      <c r="F37" s="12"/>
      <c r="G37" s="12"/>
      <c r="H37" s="2"/>
      <c r="I37" s="2"/>
      <c r="J37" s="2"/>
      <c r="K37" s="2"/>
      <c r="L37" s="2"/>
      <c r="M37" s="2"/>
      <c r="N37" s="2"/>
      <c r="O37" s="2"/>
      <c r="P37" s="2"/>
      <c r="Q37" s="4"/>
    </row>
    <row r="38" spans="1:17" ht="15" customHeight="1" thickBot="1" x14ac:dyDescent="0.4">
      <c r="A38" s="2"/>
      <c r="B38" s="2"/>
      <c r="C38" s="2"/>
      <c r="D38" s="2"/>
      <c r="E38" s="2" t="s">
        <v>23</v>
      </c>
      <c r="F38" s="13">
        <f>SUM(F28:F37)</f>
        <v>0</v>
      </c>
      <c r="G38" s="13">
        <f>SUM(G28:G37)</f>
        <v>0</v>
      </c>
      <c r="H38" s="2"/>
      <c r="I38" s="2"/>
      <c r="J38" s="2"/>
      <c r="K38" s="2"/>
      <c r="L38" s="2"/>
      <c r="M38" s="2"/>
      <c r="N38" s="2"/>
      <c r="O38" s="2"/>
      <c r="P38" s="2"/>
      <c r="Q38" s="4"/>
    </row>
    <row r="39" spans="1:17" ht="1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4"/>
    </row>
    <row r="40" spans="1:17" ht="15" customHeight="1" x14ac:dyDescent="0.35">
      <c r="A40" s="43" t="s">
        <v>24</v>
      </c>
      <c r="B40" s="36"/>
      <c r="C40" s="2"/>
      <c r="D40" s="2"/>
      <c r="E40" s="2" t="s">
        <v>25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4"/>
    </row>
    <row r="41" spans="1:17" ht="14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4"/>
    </row>
    <row r="42" spans="1:17" thickBot="1" x14ac:dyDescent="0.4">
      <c r="A42" s="59" t="str">
        <f>F9</f>
        <v>Company</v>
      </c>
      <c r="B42" s="57"/>
      <c r="C42" s="57"/>
      <c r="D42" s="57"/>
      <c r="E42" s="58"/>
      <c r="F42" s="38"/>
      <c r="G42" s="38"/>
      <c r="H42" s="39"/>
      <c r="I42" s="2"/>
      <c r="J42" s="2"/>
      <c r="K42" s="2"/>
      <c r="L42" s="2"/>
      <c r="M42" s="2"/>
      <c r="N42" s="2"/>
      <c r="O42" s="2"/>
      <c r="P42" s="2"/>
      <c r="Q42" s="4"/>
    </row>
    <row r="43" spans="1:17" ht="14.5" x14ac:dyDescent="0.35">
      <c r="A43" s="43" t="s">
        <v>26</v>
      </c>
      <c r="B43" s="36"/>
      <c r="C43" s="36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4"/>
    </row>
    <row r="44" spans="1:17" thickBot="1" x14ac:dyDescent="0.4">
      <c r="A44" s="10" t="s">
        <v>27</v>
      </c>
      <c r="B44" s="56"/>
      <c r="C44" s="57"/>
      <c r="D44" s="57"/>
      <c r="E44" s="10" t="s">
        <v>27</v>
      </c>
      <c r="F44" s="58"/>
      <c r="G44" s="38"/>
      <c r="H44" s="39"/>
      <c r="I44" s="2"/>
      <c r="J44" s="2"/>
      <c r="K44" s="2"/>
      <c r="L44" s="2"/>
      <c r="M44" s="2"/>
      <c r="N44" s="2"/>
      <c r="O44" s="2"/>
      <c r="P44" s="2"/>
      <c r="Q44" s="4"/>
    </row>
    <row r="45" spans="1:17" ht="14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4"/>
    </row>
    <row r="46" spans="1:17" thickBot="1" x14ac:dyDescent="0.4">
      <c r="A46" s="10" t="s">
        <v>28</v>
      </c>
      <c r="B46" s="10"/>
      <c r="C46" s="2" t="s">
        <v>29</v>
      </c>
      <c r="D46" s="10"/>
      <c r="E46" s="14" t="s">
        <v>30</v>
      </c>
      <c r="F46" s="10"/>
      <c r="G46" s="15" t="s">
        <v>29</v>
      </c>
      <c r="H46" s="16">
        <f ca="1">TODAY()</f>
        <v>45670</v>
      </c>
      <c r="I46" s="2"/>
      <c r="J46" s="2"/>
      <c r="K46" s="2"/>
      <c r="L46" s="2"/>
      <c r="M46" s="2"/>
      <c r="N46" s="2"/>
      <c r="O46" s="2"/>
      <c r="P46" s="2"/>
      <c r="Q46" s="4"/>
    </row>
    <row r="47" spans="1:17" ht="14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4"/>
    </row>
    <row r="48" spans="1:17" ht="14.5" x14ac:dyDescent="0.35">
      <c r="A48" s="43" t="s">
        <v>31</v>
      </c>
      <c r="B48" s="36"/>
      <c r="C48" s="58"/>
      <c r="D48" s="38"/>
      <c r="E48" s="38"/>
      <c r="F48" s="38"/>
      <c r="G48" s="38"/>
      <c r="H48" s="39"/>
      <c r="I48" s="17"/>
      <c r="J48" s="17"/>
      <c r="K48" s="17"/>
      <c r="L48" s="17"/>
      <c r="M48" s="17"/>
      <c r="N48" s="17"/>
      <c r="O48" s="17"/>
      <c r="P48" s="17"/>
      <c r="Q48" s="18"/>
    </row>
  </sheetData>
  <mergeCells count="46">
    <mergeCell ref="A33:D33"/>
    <mergeCell ref="A34:D34"/>
    <mergeCell ref="B44:D44"/>
    <mergeCell ref="F44:H44"/>
    <mergeCell ref="A48:B48"/>
    <mergeCell ref="C48:H48"/>
    <mergeCell ref="A35:D35"/>
    <mergeCell ref="A36:D36"/>
    <mergeCell ref="A37:D37"/>
    <mergeCell ref="A40:B40"/>
    <mergeCell ref="A42:D42"/>
    <mergeCell ref="E42:H42"/>
    <mergeCell ref="A43:C43"/>
    <mergeCell ref="A28:D28"/>
    <mergeCell ref="A29:D29"/>
    <mergeCell ref="A30:D30"/>
    <mergeCell ref="A31:D31"/>
    <mergeCell ref="A32:D32"/>
    <mergeCell ref="D21:G21"/>
    <mergeCell ref="D22:G22"/>
    <mergeCell ref="D23:G23"/>
    <mergeCell ref="D24:G24"/>
    <mergeCell ref="A26:B26"/>
    <mergeCell ref="B16:C16"/>
    <mergeCell ref="G16:H16"/>
    <mergeCell ref="B18:C18"/>
    <mergeCell ref="G18:H18"/>
    <mergeCell ref="A20:H20"/>
    <mergeCell ref="A11:B11"/>
    <mergeCell ref="C11:D11"/>
    <mergeCell ref="F11:H11"/>
    <mergeCell ref="A13:H14"/>
    <mergeCell ref="B15:C15"/>
    <mergeCell ref="G15:H15"/>
    <mergeCell ref="A9:B9"/>
    <mergeCell ref="C9:D9"/>
    <mergeCell ref="F9:H9"/>
    <mergeCell ref="A10:B10"/>
    <mergeCell ref="C10:D10"/>
    <mergeCell ref="F10:H10"/>
    <mergeCell ref="P1:P2"/>
    <mergeCell ref="Q1:Q2"/>
    <mergeCell ref="A3:H3"/>
    <mergeCell ref="B5:H5"/>
    <mergeCell ref="B7:E7"/>
    <mergeCell ref="F7:G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7CAF0310-B401-4B41-8472-9284A9BF4E32}">
          <x14:formula1>
            <xm:f>contacts!$AR$1:$AR$1000</xm:f>
          </x14:formula1>
          <xm:sqref>B7 F9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200"/>
  <sheetViews>
    <sheetView showGridLines="0" showZeros="0" workbookViewId="0">
      <selection activeCell="B2" sqref="B2:L2"/>
    </sheetView>
  </sheetViews>
  <sheetFormatPr defaultColWidth="14.453125" defaultRowHeight="15" customHeight="1" x14ac:dyDescent="0.35"/>
  <sheetData>
    <row r="1" spans="1:17" x14ac:dyDescent="0.35">
      <c r="A1" s="20" t="str">
        <f>View_Print!B2</f>
        <v>Subcontractor:- Subcontract Number:- Change Order Number:- Owner's Change Order No.- Previous Contract- Increase- Decrease- Net Change- Revised Contract- Date:- Log 11- Log 12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 t="str">
        <f>Input!M1</f>
        <v>ACCEPTED:</v>
      </c>
      <c r="N1" s="20" t="str">
        <f>Input!N1</f>
        <v>Date:</v>
      </c>
      <c r="O1" s="20" t="str">
        <f>Input!O1</f>
        <v>Update 3</v>
      </c>
      <c r="P1" s="20"/>
      <c r="Q1" s="20"/>
    </row>
    <row r="2" spans="1:17" ht="14.5" x14ac:dyDescent="0.35">
      <c r="A2" s="20"/>
      <c r="B2" s="62" t="s">
        <v>35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26" t="e">
        <f>VLOOKUP(A1,Update!$A$1:$P$1000000,2,FALSE)</f>
        <v>#N/A</v>
      </c>
      <c r="N2" s="26" t="e">
        <f>VLOOKUP(A1,Update!$A$1:$P$1000000,3,FALSE)</f>
        <v>#N/A</v>
      </c>
      <c r="O2" s="26" t="e">
        <f>VLOOKUP(A1,Update!$A$1:$P$1000000,4,FALSE)</f>
        <v>#N/A</v>
      </c>
      <c r="P2" s="20"/>
      <c r="Q2" s="20"/>
    </row>
    <row r="3" spans="1:17" ht="34.5" customHeight="1" x14ac:dyDescent="0.5">
      <c r="A3" s="35">
        <f>VLOOKUP(A1,Data!$A$1:$DZU$1000000,36,FALSE)</f>
        <v>0</v>
      </c>
      <c r="B3" s="36"/>
      <c r="C3" s="36"/>
      <c r="D3" s="36"/>
      <c r="E3" s="36"/>
      <c r="F3" s="36"/>
      <c r="G3" s="36"/>
      <c r="H3" s="36"/>
      <c r="I3" s="64">
        <f>VLOOKUP(A1,Data!$A$1:$DZU$1000000,44,FALSE)</f>
        <v>0</v>
      </c>
      <c r="J3" s="64">
        <f>VLOOKUP(A1,Data!$A$1:$DZU$1000000,45,FALSE)</f>
        <v>0</v>
      </c>
      <c r="K3" s="64">
        <f>VLOOKUP(A1,Data!$A$1:$DZU$1000000,46,FALSE)</f>
        <v>0</v>
      </c>
      <c r="L3" s="64">
        <f>VLOOKUP(A1,Data!$A$1:$DZU$1000000,47,FALSE)</f>
        <v>0</v>
      </c>
      <c r="M3" s="64">
        <f>VLOOKUP(A1,Data!$A$1:$DZU$1000000,48,FALSE)</f>
        <v>0</v>
      </c>
      <c r="N3" s="64">
        <f>VLOOKUP(A1,Data!$A$1:$DZU$1000000,49,FALSE)</f>
        <v>0</v>
      </c>
      <c r="O3" s="64">
        <f>VLOOKUP(A1,Data!$A$1:$DZU$1000000,50,FALSE)</f>
        <v>0</v>
      </c>
      <c r="P3" s="64">
        <f>VLOOKUP(A1,Data!$A$1:$DZU$1000000,51,FALSE)</f>
        <v>0</v>
      </c>
      <c r="Q3" s="3">
        <f>VLOOKUP(A1,Data!$A$1:$DZU$1000000,52,FALSE)</f>
        <v>0</v>
      </c>
    </row>
    <row r="4" spans="1:17" ht="15" customHeight="1" x14ac:dyDescent="0.35">
      <c r="A4" s="2">
        <f>VLOOKUP(A1,Data!$A$1:$DZU$1000000,53,FALSE)</f>
        <v>0</v>
      </c>
      <c r="B4" s="2">
        <f>VLOOKUP(A1,Data!$A$1:$DZU$1000000,54,FALSE)</f>
        <v>0</v>
      </c>
      <c r="C4" s="2">
        <f>VLOOKUP(A1,Data!$A$1:$DZU$1000000,55,FALSE)</f>
        <v>0</v>
      </c>
      <c r="D4" s="2">
        <f>VLOOKUP(A1,Data!$A$1:$DZU$1000000,56,FALSE)</f>
        <v>0</v>
      </c>
      <c r="E4" s="2">
        <f>VLOOKUP(A1,Data!$A$1:$DZU$1000000,57,FALSE)</f>
        <v>0</v>
      </c>
      <c r="F4" s="2">
        <f>VLOOKUP(A1,Data!$A$1:$DZU$1000000,58,FALSE)</f>
        <v>0</v>
      </c>
      <c r="G4" s="2">
        <f>VLOOKUP(A1,Data!$A$1:$DZU$1000000,59,FALSE)</f>
        <v>0</v>
      </c>
      <c r="H4" s="2">
        <f>VLOOKUP(A1,Data!$A$1:$DZU$1000000,60,FALSE)</f>
        <v>0</v>
      </c>
      <c r="I4" s="2">
        <f>VLOOKUP(A1,Data!$A$1:$DZU$1000000,61,FALSE)</f>
        <v>0</v>
      </c>
      <c r="J4" s="2">
        <f>VLOOKUP(A1,Data!$A$1:$DZU$1000000,62,FALSE)</f>
        <v>0</v>
      </c>
      <c r="K4" s="2">
        <f>VLOOKUP(A1,Data!$A$1:$DZU$1000000,63,FALSE)</f>
        <v>0</v>
      </c>
      <c r="L4" s="2">
        <f>VLOOKUP(A1,Data!$A$1:$DZU$1000000,64,FALSE)</f>
        <v>0</v>
      </c>
      <c r="M4" s="2">
        <f>VLOOKUP(A1,Data!$A$1:$DZU$1000000,65,FALSE)</f>
        <v>0</v>
      </c>
      <c r="N4" s="2">
        <f>VLOOKUP(A1,Data!$A$1:$DZU$1000000,66,FALSE)</f>
        <v>0</v>
      </c>
      <c r="O4" s="2">
        <f>VLOOKUP(A1,Data!$A$1:$DZU$1000000,67,FALSE)</f>
        <v>0</v>
      </c>
      <c r="P4" s="2">
        <f>VLOOKUP(A1,Data!$A$1:$DZU$1000000,68,FALSE)</f>
        <v>0</v>
      </c>
      <c r="Q4" s="4">
        <f>VLOOKUP(A1,Data!$A$1:$DZU$1000000,69,FALSE)</f>
        <v>0</v>
      </c>
    </row>
    <row r="5" spans="1:17" ht="15" customHeight="1" x14ac:dyDescent="0.35">
      <c r="A5" s="2">
        <f>VLOOKUP(A1,Data!$A$1:$DZU$1000000,70,FALSE)</f>
        <v>0</v>
      </c>
      <c r="B5" s="37">
        <f>VLOOKUP(A1,Data!$A$1:$DZU$1000000,71,FALSE)</f>
        <v>0</v>
      </c>
      <c r="C5" s="38"/>
      <c r="D5" s="38"/>
      <c r="E5" s="38"/>
      <c r="F5" s="38"/>
      <c r="G5" s="38"/>
      <c r="H5" s="39"/>
      <c r="I5" s="2">
        <f>VLOOKUP(A1,Data!$A$1:$DZU$1000000,78,FALSE)</f>
        <v>0</v>
      </c>
      <c r="J5" s="2">
        <f>VLOOKUP(A1,Data!$A$1:$DZU$1000000,79,FALSE)</f>
        <v>0</v>
      </c>
      <c r="K5" s="2">
        <f>VLOOKUP(A1,Data!$A$1:$DZU$1000000,80,FALSE)</f>
        <v>0</v>
      </c>
      <c r="L5" s="2">
        <f>VLOOKUP(A1,Data!$A$1:$DZU$1000000,81,FALSE)</f>
        <v>0</v>
      </c>
      <c r="M5" s="2">
        <f>VLOOKUP(A1,Data!$A$1:$DZU$1000000,82,FALSE)</f>
        <v>0</v>
      </c>
      <c r="N5" s="2">
        <f>VLOOKUP(A1,Data!$A$1:$DZU$1000000,83,FALSE)</f>
        <v>0</v>
      </c>
      <c r="O5" s="2">
        <f>VLOOKUP(A1,Data!$A$1:$DZU$1000000,84,FALSE)</f>
        <v>0</v>
      </c>
      <c r="P5" s="2">
        <f>VLOOKUP(A1,Data!$A$1:$DZU$1000000,85,FALSE)</f>
        <v>0</v>
      </c>
      <c r="Q5" s="4">
        <f>VLOOKUP(A1,Data!$A$1:$DZU$1000000,86,FALSE)</f>
        <v>0</v>
      </c>
    </row>
    <row r="6" spans="1:17" ht="15" customHeight="1" x14ac:dyDescent="0.35">
      <c r="A6" s="2">
        <f>VLOOKUP(A1,Data!$A$1:$DZU$1000000,87,FALSE)</f>
        <v>0</v>
      </c>
      <c r="B6" s="2">
        <f>VLOOKUP(A1,Data!$A$1:$DZU$1000000,88,FALSE)</f>
        <v>0</v>
      </c>
      <c r="C6" s="2">
        <f>VLOOKUP(A1,Data!$A$1:$DZU$1000000,89,FALSE)</f>
        <v>0</v>
      </c>
      <c r="D6" s="2">
        <f>VLOOKUP(A1,Data!$A$1:$DZU$1000000,90,FALSE)</f>
        <v>0</v>
      </c>
      <c r="E6" s="2">
        <f>VLOOKUP(A1,Data!$A$1:$DZU$1000000,91,FALSE)</f>
        <v>0</v>
      </c>
      <c r="F6" s="2">
        <f>VLOOKUP(A1,Data!$A$1:$DZU$1000000,92,FALSE)</f>
        <v>0</v>
      </c>
      <c r="G6" s="2">
        <f>VLOOKUP(A1,Data!$A$1:$DZU$1000000,93,FALSE)</f>
        <v>0</v>
      </c>
      <c r="H6" s="2">
        <f>VLOOKUP(A1,Data!$A$1:$DZU$1000000,94,FALSE)</f>
        <v>0</v>
      </c>
      <c r="I6" s="2">
        <f>VLOOKUP(A1,Data!$A$1:$DZU$1000000,95,FALSE)</f>
        <v>0</v>
      </c>
      <c r="J6" s="2">
        <f>VLOOKUP(A1,Data!$A$1:$DZU$1000000,96,FALSE)</f>
        <v>0</v>
      </c>
      <c r="K6" s="2">
        <f>VLOOKUP(A1,Data!$A$1:$DZU$1000000,97,FALSE)</f>
        <v>0</v>
      </c>
      <c r="L6" s="2">
        <f>VLOOKUP(A1,Data!$A$1:$DZU$1000000,98,FALSE)</f>
        <v>0</v>
      </c>
      <c r="M6" s="2">
        <f>VLOOKUP(A1,Data!$A$1:$DZU$1000000,99,FALSE)</f>
        <v>0</v>
      </c>
      <c r="N6" s="2">
        <f>VLOOKUP(A1,Data!$A$1:$DZU$1000000,100,FALSE)</f>
        <v>0</v>
      </c>
      <c r="O6" s="2">
        <f>VLOOKUP(A1,Data!$A$1:$DZU$1000000,101,FALSE)</f>
        <v>0</v>
      </c>
      <c r="P6" s="2">
        <f>VLOOKUP(A1,Data!$A$1:$DZU$1000000,102,FALSE)</f>
        <v>0</v>
      </c>
      <c r="Q6" s="4">
        <f>VLOOKUP(A1,Data!$A$1:$DZU$1000000,103,FALSE)</f>
        <v>0</v>
      </c>
    </row>
    <row r="7" spans="1:17" ht="15" customHeight="1" x14ac:dyDescent="0.35">
      <c r="A7" s="2">
        <f>VLOOKUP(A1,Data!$A$1:$DZU$1000000,104,FALSE)</f>
        <v>0</v>
      </c>
      <c r="B7" s="40">
        <f>VLOOKUP(A1,Data!$A$1:$DZU$1000000,105,FALSE)</f>
        <v>0</v>
      </c>
      <c r="C7" s="41"/>
      <c r="D7" s="41"/>
      <c r="E7" s="42"/>
      <c r="F7" s="43">
        <f>VLOOKUP(A1,Data!$A$1:$DZU$1000000,109,FALSE)</f>
        <v>0</v>
      </c>
      <c r="G7" s="36"/>
      <c r="H7" s="5">
        <f>VLOOKUP(A1,Data!$A$1:$DZU$1000000,111,FALSE)</f>
        <v>0</v>
      </c>
      <c r="I7" s="2">
        <f>VLOOKUP(A1,Data!$A$1:$DZU$1000000,112,FALSE)</f>
        <v>0</v>
      </c>
      <c r="J7" s="2">
        <f>VLOOKUP(A1,Data!$A$1:$DZU$1000000,113,FALSE)</f>
        <v>0</v>
      </c>
      <c r="K7" s="2">
        <f>VLOOKUP(A1,Data!$A$1:$DZU$1000000,114,FALSE)</f>
        <v>0</v>
      </c>
      <c r="L7" s="2">
        <f>VLOOKUP(A1,Data!$A$1:$DZU$1000000,115,FALSE)</f>
        <v>0</v>
      </c>
      <c r="M7" s="2">
        <f>VLOOKUP(A1,Data!$A$1:$DZU$1000000,116,FALSE)</f>
        <v>0</v>
      </c>
      <c r="N7" s="2">
        <f>VLOOKUP(A1,Data!$A$1:$DZU$1000000,117,FALSE)</f>
        <v>0</v>
      </c>
      <c r="O7" s="2">
        <f>VLOOKUP(A1,Data!$A$1:$DZU$1000000,118,FALSE)</f>
        <v>0</v>
      </c>
      <c r="P7" s="2">
        <f>VLOOKUP(A1,Data!$A$1:$DZU$1000000,119,FALSE)</f>
        <v>0</v>
      </c>
      <c r="Q7" s="4">
        <f>VLOOKUP(A1,Data!$A$1:$DZU$1000000,120,FALSE)</f>
        <v>0</v>
      </c>
    </row>
    <row r="8" spans="1:17" ht="15" customHeight="1" x14ac:dyDescent="0.35">
      <c r="A8" s="2">
        <f>VLOOKUP(A1,Data!$A$1:$DZU$1000000,121,FALSE)</f>
        <v>0</v>
      </c>
      <c r="B8" s="2">
        <f>VLOOKUP(A1,Data!$A$1:$DZU$1000000,122,FALSE)</f>
        <v>0</v>
      </c>
      <c r="C8" s="2">
        <f>VLOOKUP(A1,Data!$A$1:$DZU$1000000,123,FALSE)</f>
        <v>0</v>
      </c>
      <c r="D8" s="2">
        <f>VLOOKUP(A1,Data!$A$1:$DZU$1000000,124,FALSE)</f>
        <v>0</v>
      </c>
      <c r="E8" s="2">
        <f>VLOOKUP(A1,Data!$A$1:$DZU$1000000,125,FALSE)</f>
        <v>0</v>
      </c>
      <c r="F8" s="2">
        <f>VLOOKUP(A1,Data!$A$1:$DZU$1000000,126,FALSE)</f>
        <v>0</v>
      </c>
      <c r="G8" s="2">
        <f>VLOOKUP(A1,Data!$A$1:$DZU$1000000,127,FALSE)</f>
        <v>0</v>
      </c>
      <c r="H8" s="2">
        <f>VLOOKUP(A1,Data!$A$1:$DZU$1000000,128,FALSE)</f>
        <v>0</v>
      </c>
      <c r="I8" s="2">
        <f>VLOOKUP(A1,Data!$A$1:$DZU$1000000,129,FALSE)</f>
        <v>0</v>
      </c>
      <c r="J8" s="2">
        <f>VLOOKUP(A1,Data!$A$1:$DZU$1000000,130,FALSE)</f>
        <v>0</v>
      </c>
      <c r="K8" s="2">
        <f>VLOOKUP(A1,Data!$A$1:$DZU$1000000,131,FALSE)</f>
        <v>0</v>
      </c>
      <c r="L8" s="2">
        <f>VLOOKUP(A1,Data!$A$1:$DZU$1000000,132,FALSE)</f>
        <v>0</v>
      </c>
      <c r="M8" s="2">
        <f>VLOOKUP(A1,Data!$A$1:$DZU$1000000,133,FALSE)</f>
        <v>0</v>
      </c>
      <c r="N8" s="2">
        <f>VLOOKUP(A1,Data!$A$1:$DZU$1000000,134,FALSE)</f>
        <v>0</v>
      </c>
      <c r="O8" s="2">
        <f>VLOOKUP(A1,Data!$A$1:$DZU$1000000,135,FALSE)</f>
        <v>0</v>
      </c>
      <c r="P8" s="2">
        <f>VLOOKUP(A1,Data!$A$1:$DZU$1000000,136,FALSE)</f>
        <v>0</v>
      </c>
      <c r="Q8" s="4">
        <f>VLOOKUP(A1,Data!$A$1:$DZU$1000000,137,FALSE)</f>
        <v>0</v>
      </c>
    </row>
    <row r="9" spans="1:17" ht="15" customHeight="1" x14ac:dyDescent="0.35">
      <c r="A9" s="43">
        <f>VLOOKUP(A1,Data!$A$1:$DZU$1000000,138,FALSE)</f>
        <v>0</v>
      </c>
      <c r="B9" s="36"/>
      <c r="C9" s="44" t="s">
        <v>63</v>
      </c>
      <c r="D9" s="39"/>
      <c r="E9" s="2">
        <f>VLOOKUP(A1,Data!$A$1:$DZU$1000000,142,FALSE)</f>
        <v>0</v>
      </c>
      <c r="F9" s="40">
        <f>VLOOKUP(A1,Data!$A$1:$DZU$1000000,143,FALSE)</f>
        <v>0</v>
      </c>
      <c r="G9" s="41"/>
      <c r="H9" s="42"/>
      <c r="I9" s="2">
        <f>VLOOKUP(A1,Data!$A$1:$DZU$1000000,146,FALSE)</f>
        <v>0</v>
      </c>
      <c r="J9" s="2">
        <f>VLOOKUP(A1,Data!$A$1:$DZU$1000000,147,FALSE)</f>
        <v>0</v>
      </c>
      <c r="K9" s="2">
        <f>VLOOKUP(A1,Data!$A$1:$DZU$1000000,148,FALSE)</f>
        <v>0</v>
      </c>
      <c r="L9" s="2">
        <f>VLOOKUP(A1,Data!$A$1:$DZU$1000000,149,FALSE)</f>
        <v>0</v>
      </c>
      <c r="M9" s="2">
        <f>VLOOKUP(A1,Data!$A$1:$DZU$1000000,150,FALSE)</f>
        <v>0</v>
      </c>
      <c r="N9" s="2">
        <f>VLOOKUP(A1,Data!$A$1:$DZU$1000000,151,FALSE)</f>
        <v>0</v>
      </c>
      <c r="O9" s="2">
        <f>VLOOKUP(A1,Data!$A$1:$DZU$1000000,152,FALSE)</f>
        <v>0</v>
      </c>
      <c r="P9" s="2">
        <f>VLOOKUP(A1,Data!$A$1:$DZU$1000000,153,FALSE)</f>
        <v>0</v>
      </c>
      <c r="Q9" s="4">
        <f>VLOOKUP(A1,Data!$A$1:$DZU$1000000,154,FALSE)</f>
        <v>0</v>
      </c>
    </row>
    <row r="10" spans="1:17" ht="15" customHeight="1" thickBot="1" x14ac:dyDescent="0.4">
      <c r="A10" s="43">
        <f>VLOOKUP(A1,Data!$A$1:$DZU$1000000,155,FALSE)</f>
        <v>0</v>
      </c>
      <c r="B10" s="36"/>
      <c r="C10" s="44" t="s">
        <v>64</v>
      </c>
      <c r="D10" s="39"/>
      <c r="E10" s="2">
        <f>VLOOKUP(A1,Data!$A$1:$DZU$1000000,159,FALSE)</f>
        <v>0</v>
      </c>
      <c r="F10" s="45">
        <f>VLOOKUP(A1,Data!$A$1:$DZU$1000000,160,FALSE)</f>
        <v>0</v>
      </c>
      <c r="G10" s="36"/>
      <c r="H10" s="36"/>
      <c r="I10" s="2">
        <f>VLOOKUP(A1,Data!$A$1:$DZU$1000000,163,FALSE)</f>
        <v>0</v>
      </c>
      <c r="J10" s="2">
        <f>VLOOKUP(A1,Data!$A$1:$DZU$1000000,164,FALSE)</f>
        <v>0</v>
      </c>
      <c r="K10" s="2">
        <f>VLOOKUP(A1,Data!$A$1:$DZU$1000000,165,FALSE)</f>
        <v>0</v>
      </c>
      <c r="L10" s="2">
        <f>VLOOKUP(A1,Data!$A$1:$DZU$1000000,166,FALSE)</f>
        <v>0</v>
      </c>
      <c r="M10" s="2">
        <f>VLOOKUP(A1,Data!$A$1:$DZU$1000000,167,FALSE)</f>
        <v>0</v>
      </c>
      <c r="N10" s="2">
        <f>VLOOKUP(A1,Data!$A$1:$DZU$1000000,168,FALSE)</f>
        <v>0</v>
      </c>
      <c r="O10" s="2">
        <f>VLOOKUP(A1,Data!$A$1:$DZU$1000000,169,FALSE)</f>
        <v>0</v>
      </c>
      <c r="P10" s="2">
        <f>VLOOKUP(A1,Data!$A$1:$DZU$1000000,170,FALSE)</f>
        <v>0</v>
      </c>
      <c r="Q10" s="4">
        <f>VLOOKUP(A1,Data!$A$1:$DZU$1000000,171,FALSE)</f>
        <v>0</v>
      </c>
    </row>
    <row r="11" spans="1:17" ht="15" customHeight="1" thickBot="1" x14ac:dyDescent="0.4">
      <c r="A11" s="43">
        <f>VLOOKUP(A1,Data!$A$1:$DZU$1000000,172,FALSE)</f>
        <v>0</v>
      </c>
      <c r="B11" s="36"/>
      <c r="C11" s="44" t="s">
        <v>65</v>
      </c>
      <c r="D11" s="39"/>
      <c r="E11" s="2">
        <f>VLOOKUP(A1,Data!$A$1:$DZU$1000000,176,FALSE)</f>
        <v>0</v>
      </c>
      <c r="F11" s="46">
        <f>VLOOKUP(A1,Data!$A$1:$DZU$1000000,177,FALSE)</f>
        <v>0</v>
      </c>
      <c r="G11" s="47"/>
      <c r="H11" s="47"/>
      <c r="I11" s="2">
        <f>VLOOKUP(A1,Data!$A$1:$DZU$1000000,180,FALSE)</f>
        <v>0</v>
      </c>
      <c r="J11" s="2">
        <f>VLOOKUP(A1,Data!$A$1:$DZU$1000000,181,FALSE)</f>
        <v>0</v>
      </c>
      <c r="K11" s="2">
        <f>VLOOKUP(A1,Data!$A$1:$DZU$1000000,182,FALSE)</f>
        <v>0</v>
      </c>
      <c r="L11" s="2">
        <f>VLOOKUP(A1,Data!$A$1:$DZU$1000000,183,FALSE)</f>
        <v>0</v>
      </c>
      <c r="M11" s="2">
        <f>VLOOKUP(A1,Data!$A$1:$DZU$1000000,184,FALSE)</f>
        <v>0</v>
      </c>
      <c r="N11" s="2">
        <f>VLOOKUP(A1,Data!$A$1:$DZU$1000000,185,FALSE)</f>
        <v>0</v>
      </c>
      <c r="O11" s="2">
        <f>VLOOKUP(A1,Data!$A$1:$DZU$1000000,186,FALSE)</f>
        <v>0</v>
      </c>
      <c r="P11" s="2">
        <f>VLOOKUP(A1,Data!$A$1:$DZU$1000000,187,FALSE)</f>
        <v>0</v>
      </c>
      <c r="Q11" s="4">
        <f>VLOOKUP(A1,Data!$A$1:$DZU$1000000,188,FALSE)</f>
        <v>0</v>
      </c>
    </row>
    <row r="12" spans="1:17" ht="15" customHeight="1" x14ac:dyDescent="0.35">
      <c r="A12" s="2">
        <f>VLOOKUP(A1,Data!$A$1:$DZU$1000000,189,FALSE)</f>
        <v>0</v>
      </c>
      <c r="B12" s="2">
        <f>VLOOKUP(A1,Data!$A$1:$DZU$1000000,190,FALSE)</f>
        <v>0</v>
      </c>
      <c r="C12" s="2">
        <f>VLOOKUP(A1,Data!$A$1:$DZU$1000000,191,FALSE)</f>
        <v>0</v>
      </c>
      <c r="D12" s="2">
        <f>VLOOKUP(A1,Data!$A$1:$DZU$1000000,192,FALSE)</f>
        <v>0</v>
      </c>
      <c r="E12" s="2">
        <f>VLOOKUP(A1,Data!$A$1:$DZU$1000000,193,FALSE)</f>
        <v>0</v>
      </c>
      <c r="F12" s="2">
        <f>VLOOKUP(A1,Data!$A$1:$DZU$1000000,194,FALSE)</f>
        <v>0</v>
      </c>
      <c r="G12" s="2">
        <f>VLOOKUP(A1,Data!$A$1:$DZU$1000000,195,FALSE)</f>
        <v>0</v>
      </c>
      <c r="H12" s="2">
        <f>VLOOKUP(A1,Data!$A$1:$DZU$1000000,196,FALSE)</f>
        <v>0</v>
      </c>
      <c r="I12" s="2">
        <f>VLOOKUP(A1,Data!$A$1:$DZU$1000000,197,FALSE)</f>
        <v>0</v>
      </c>
      <c r="J12" s="2">
        <f>VLOOKUP(A1,Data!$A$1:$DZU$1000000,198,FALSE)</f>
        <v>0</v>
      </c>
      <c r="K12" s="2">
        <f>VLOOKUP(A1,Data!$A$1:$DZU$1000000,199,FALSE)</f>
        <v>0</v>
      </c>
      <c r="L12" s="2">
        <f>VLOOKUP(A1,Data!$A$1:$DZU$1000000,200,FALSE)</f>
        <v>0</v>
      </c>
      <c r="M12" s="2">
        <f>VLOOKUP(A1,Data!$A$1:$DZU$1000000,201,FALSE)</f>
        <v>0</v>
      </c>
      <c r="N12" s="2">
        <f>VLOOKUP(A1,Data!$A$1:$DZU$1000000,202,FALSE)</f>
        <v>0</v>
      </c>
      <c r="O12" s="2">
        <f>VLOOKUP(A1,Data!$A$1:$DZU$1000000,203,FALSE)</f>
        <v>0</v>
      </c>
      <c r="P12" s="2">
        <f>VLOOKUP(A1,Data!$A$1:$DZU$1000000,204,FALSE)</f>
        <v>0</v>
      </c>
      <c r="Q12" s="4">
        <f>VLOOKUP(A1,Data!$A$1:$DZU$1000000,205,FALSE)</f>
        <v>0</v>
      </c>
    </row>
    <row r="13" spans="1:17" ht="15" customHeight="1" x14ac:dyDescent="0.35">
      <c r="A13" s="48">
        <f>VLOOKUP(A1,Data!$A$1:$DZU$1000000,206,FALSE)</f>
        <v>0</v>
      </c>
      <c r="B13" s="36"/>
      <c r="C13" s="36"/>
      <c r="D13" s="36"/>
      <c r="E13" s="36"/>
      <c r="F13" s="36"/>
      <c r="G13" s="36"/>
      <c r="H13" s="36"/>
      <c r="I13" s="2">
        <f>VLOOKUP(A1,Data!$A$1:$DZU$1000000,214,FALSE)</f>
        <v>0</v>
      </c>
      <c r="J13" s="2">
        <f>VLOOKUP(A1,Data!$A$1:$DZU$1000000,215,FALSE)</f>
        <v>0</v>
      </c>
      <c r="K13" s="2">
        <f>VLOOKUP(A1,Data!$A$1:$DZU$1000000,216,FALSE)</f>
        <v>0</v>
      </c>
      <c r="L13" s="2">
        <f>VLOOKUP(A1,Data!$A$1:$DZU$1000000,217,FALSE)</f>
        <v>0</v>
      </c>
      <c r="M13" s="2">
        <f>VLOOKUP(A1,Data!$A$1:$DZU$1000000,218,FALSE)</f>
        <v>0</v>
      </c>
      <c r="N13" s="2">
        <f>VLOOKUP(A1,Data!$A$1:$DZU$1000000,219,FALSE)</f>
        <v>0</v>
      </c>
      <c r="O13" s="2">
        <f>VLOOKUP(A1,Data!$A$1:$DZU$1000000,220,FALSE)</f>
        <v>0</v>
      </c>
      <c r="P13" s="2">
        <f>VLOOKUP(A1,Data!$A$1:$DZU$1000000,221,FALSE)</f>
        <v>0</v>
      </c>
      <c r="Q13" s="4">
        <f>VLOOKUP(A1,Data!$A$1:$DZU$1000000,222,FALSE)</f>
        <v>0</v>
      </c>
    </row>
    <row r="14" spans="1:17" ht="15" customHeight="1" thickBot="1" x14ac:dyDescent="0.4">
      <c r="A14" s="36"/>
      <c r="B14" s="36"/>
      <c r="C14" s="36"/>
      <c r="D14" s="36"/>
      <c r="E14" s="36"/>
      <c r="F14" s="36"/>
      <c r="G14" s="36"/>
      <c r="H14" s="36"/>
      <c r="I14" s="2">
        <f>VLOOKUP(A1,Data!$A$1:$DZU$1000000,231,FALSE)</f>
        <v>0</v>
      </c>
      <c r="J14" s="2">
        <f>VLOOKUP(A1,Data!$A$1:$DZU$1000000,232,FALSE)</f>
        <v>0</v>
      </c>
      <c r="K14" s="2">
        <f>VLOOKUP(A1,Data!$A$1:$DZU$1000000,233,FALSE)</f>
        <v>0</v>
      </c>
      <c r="L14" s="2">
        <f>VLOOKUP(A1,Data!$A$1:$DZU$1000000,234,FALSE)</f>
        <v>0</v>
      </c>
      <c r="M14" s="2">
        <f>VLOOKUP(A1,Data!$A$1:$DZU$1000000,235,FALSE)</f>
        <v>0</v>
      </c>
      <c r="N14" s="2">
        <f>VLOOKUP(A1,Data!$A$1:$DZU$1000000,236,FALSE)</f>
        <v>0</v>
      </c>
      <c r="O14" s="2">
        <f>VLOOKUP(A1,Data!$A$1:$DZU$1000000,237,FALSE)</f>
        <v>0</v>
      </c>
      <c r="P14" s="2">
        <f>VLOOKUP(A1,Data!$A$1:$DZU$1000000,238,FALSE)</f>
        <v>0</v>
      </c>
      <c r="Q14" s="4">
        <f>VLOOKUP(A1,Data!$A$1:$DZU$1000000,239,FALSE)</f>
        <v>0</v>
      </c>
    </row>
    <row r="15" spans="1:17" ht="15" customHeight="1" x14ac:dyDescent="0.35">
      <c r="A15" s="2">
        <f>VLOOKUP(A1,Data!$A$1:$DZU$1000000,240,FALSE)</f>
        <v>0</v>
      </c>
      <c r="B15" s="49">
        <f>VLOOKUP(A1,Data!$A$1:$DZU$1000000,241,FALSE)</f>
        <v>0</v>
      </c>
      <c r="C15" s="50"/>
      <c r="D15" s="6">
        <f>VLOOKUP(A1,Data!$A$1:$DZU$1000000,243,FALSE)</f>
        <v>0</v>
      </c>
      <c r="E15" s="6">
        <f>VLOOKUP(A1,Data!$A$1:$DZU$1000000,244,FALSE)</f>
        <v>0</v>
      </c>
      <c r="F15" s="6">
        <f>VLOOKUP(A1,Data!$A$1:$DZU$1000000,245,FALSE)</f>
        <v>0</v>
      </c>
      <c r="G15" s="49">
        <f>VLOOKUP(A1,Data!$A$1:$DZU$1000000,246,FALSE)</f>
        <v>0</v>
      </c>
      <c r="H15" s="50"/>
      <c r="I15" s="2">
        <f>VLOOKUP(A1,Data!$A$1:$DZU$1000000,248,FALSE)</f>
        <v>0</v>
      </c>
      <c r="J15" s="2">
        <f>VLOOKUP(A1,Data!$A$1:$DZU$1000000,249,FALSE)</f>
        <v>0</v>
      </c>
      <c r="K15" s="2">
        <f>VLOOKUP(A1,Data!$A$1:$DZU$1000000,250,FALSE)</f>
        <v>0</v>
      </c>
      <c r="L15" s="2">
        <f>VLOOKUP(A1,Data!$A$1:$DZU$1000000,251,FALSE)</f>
        <v>0</v>
      </c>
      <c r="M15" s="2">
        <f>VLOOKUP(A1,Data!$A$1:$DZU$1000000,252,FALSE)</f>
        <v>0</v>
      </c>
      <c r="N15" s="2">
        <f>VLOOKUP(A1,Data!$A$1:$DZU$1000000,253,FALSE)</f>
        <v>0</v>
      </c>
      <c r="O15" s="2">
        <f>VLOOKUP(A1,Data!$A$1:$DZU$1000000,254,FALSE)</f>
        <v>0</v>
      </c>
      <c r="P15" s="2">
        <f>VLOOKUP(A1,Data!$A$1:$DZU$1000000,255,FALSE)</f>
        <v>0</v>
      </c>
      <c r="Q15" s="4">
        <f>VLOOKUP(A1,Data!$A$1:$DZU$1000000,256,FALSE)</f>
        <v>0</v>
      </c>
    </row>
    <row r="16" spans="1:17" ht="15" customHeight="1" thickBot="1" x14ac:dyDescent="0.4">
      <c r="A16" s="2">
        <f>VLOOKUP(A1,Data!$A$1:$DZU$1000000,257,FALSE)</f>
        <v>0</v>
      </c>
      <c r="B16" s="51">
        <f>VLOOKUP(A1,Data!$A$1:$DZU$1000000,258,FALSE)</f>
        <v>0</v>
      </c>
      <c r="C16" s="52"/>
      <c r="D16" s="7">
        <f>VLOOKUP(A1,Data!$A$1:$DZU$1000000,260,FALSE)</f>
        <v>0</v>
      </c>
      <c r="E16" s="7">
        <f>VLOOKUP(A1,Data!$A$1:$DZU$1000000,261,FALSE)</f>
        <v>0</v>
      </c>
      <c r="F16" s="7">
        <f>VLOOKUP(A1,Data!$A$1:$DZU$1000000,262,FALSE)</f>
        <v>0</v>
      </c>
      <c r="G16" s="51">
        <f>VLOOKUP(A1,Data!$A$1:$DZU$1000000,263,FALSE)</f>
        <v>0</v>
      </c>
      <c r="H16" s="52"/>
      <c r="I16" s="2">
        <f>VLOOKUP(A1,Data!$A$1:$DZU$1000000,265,FALSE)</f>
        <v>0</v>
      </c>
      <c r="J16" s="2">
        <f>VLOOKUP(A1,Data!$A$1:$DZU$1000000,266,FALSE)</f>
        <v>0</v>
      </c>
      <c r="K16" s="2">
        <f>VLOOKUP(A1,Data!$A$1:$DZU$1000000,267,FALSE)</f>
        <v>0</v>
      </c>
      <c r="L16" s="2">
        <f>VLOOKUP(A1,Data!$A$1:$DZU$1000000,268,FALSE)</f>
        <v>0</v>
      </c>
      <c r="M16" s="2">
        <f>VLOOKUP(A1,Data!$A$1:$DZU$1000000,269,FALSE)</f>
        <v>0</v>
      </c>
      <c r="N16" s="2">
        <f>VLOOKUP(A1,Data!$A$1:$DZU$1000000,270,FALSE)</f>
        <v>0</v>
      </c>
      <c r="O16" s="2">
        <f>VLOOKUP(A1,Data!$A$1:$DZU$1000000,271,FALSE)</f>
        <v>0</v>
      </c>
      <c r="P16" s="2">
        <f>VLOOKUP(A1,Data!$A$1:$DZU$1000000,272,FALSE)</f>
        <v>0</v>
      </c>
      <c r="Q16" s="4">
        <f>VLOOKUP(A1,Data!$A$1:$DZU$1000000,273,FALSE)</f>
        <v>0</v>
      </c>
    </row>
    <row r="17" spans="1:17" ht="15" customHeight="1" thickBot="1" x14ac:dyDescent="0.4">
      <c r="A17" s="2">
        <f>VLOOKUP(A1,Data!$A$1:$DZU$1000000,274,FALSE)</f>
        <v>0</v>
      </c>
      <c r="B17" s="2">
        <f>VLOOKUP(A1,Data!$A$1:$DZU$1000000,275,FALSE)</f>
        <v>0</v>
      </c>
      <c r="C17" s="2">
        <f>VLOOKUP(A1,Data!$A$1:$DZU$1000000,276,FALSE)</f>
        <v>0</v>
      </c>
      <c r="D17" s="2">
        <f>VLOOKUP(A1,Data!$A$1:$DZU$1000000,277,FALSE)</f>
        <v>0</v>
      </c>
      <c r="E17" s="2">
        <f>VLOOKUP(A1,Data!$A$1:$DZU$1000000,278,FALSE)</f>
        <v>0</v>
      </c>
      <c r="F17" s="2">
        <f>VLOOKUP(A1,Data!$A$1:$DZU$1000000,279,FALSE)</f>
        <v>0</v>
      </c>
      <c r="G17" s="2">
        <f>VLOOKUP(A1,Data!$A$1:$DZU$1000000,280,FALSE)</f>
        <v>0</v>
      </c>
      <c r="H17" s="2">
        <f>VLOOKUP(A1,Data!$A$1:$DZU$1000000,281,FALSE)</f>
        <v>0</v>
      </c>
      <c r="I17" s="2">
        <f>VLOOKUP(A1,Data!$A$1:$DZU$1000000,282,FALSE)</f>
        <v>0</v>
      </c>
      <c r="J17" s="2">
        <f>VLOOKUP(A1,Data!$A$1:$DZU$1000000,283,FALSE)</f>
        <v>0</v>
      </c>
      <c r="K17" s="2">
        <f>VLOOKUP(A1,Data!$A$1:$DZU$1000000,284,FALSE)</f>
        <v>0</v>
      </c>
      <c r="L17" s="2">
        <f>VLOOKUP(A1,Data!$A$1:$DZU$1000000,285,FALSE)</f>
        <v>0</v>
      </c>
      <c r="M17" s="2">
        <f>VLOOKUP(A1,Data!$A$1:$DZU$1000000,286,FALSE)</f>
        <v>0</v>
      </c>
      <c r="N17" s="2">
        <f>VLOOKUP(A1,Data!$A$1:$DZU$1000000,287,FALSE)</f>
        <v>0</v>
      </c>
      <c r="O17" s="2">
        <f>VLOOKUP(A1,Data!$A$1:$DZU$1000000,288,FALSE)</f>
        <v>0</v>
      </c>
      <c r="P17" s="2">
        <f>VLOOKUP(A1,Data!$A$1:$DZU$1000000,289,FALSE)</f>
        <v>0</v>
      </c>
      <c r="Q17" s="4">
        <f>VLOOKUP(A1,Data!$A$1:$DZU$1000000,290,FALSE)</f>
        <v>0</v>
      </c>
    </row>
    <row r="18" spans="1:17" ht="15" customHeight="1" thickBot="1" x14ac:dyDescent="0.4">
      <c r="A18" s="2">
        <f>VLOOKUP(A1,Data!$A$1:$DZU$1000000,291,FALSE)</f>
        <v>0</v>
      </c>
      <c r="B18" s="53">
        <f>VLOOKUP(A1,Data!$A$1:$DZU$1000000,292,FALSE)</f>
        <v>0</v>
      </c>
      <c r="C18" s="54"/>
      <c r="D18" s="65">
        <f>VLOOKUP(A1,Data!$A$1:$DZU$1000000,294,FALSE)</f>
        <v>0</v>
      </c>
      <c r="E18" s="66">
        <f>VLOOKUP(A1,Data!$A$1:$DZU$1000000,295,FALSE)</f>
        <v>0</v>
      </c>
      <c r="F18" s="66">
        <f>VLOOKUP(A1,Data!$A$1:$DZU$1000000,296,FALSE)</f>
        <v>0</v>
      </c>
      <c r="G18" s="55">
        <f>VLOOKUP(A1,Data!$A$1:$DZU$1000000,297,FALSE)</f>
        <v>0</v>
      </c>
      <c r="H18" s="54"/>
      <c r="I18" s="2">
        <f>VLOOKUP(A1,Data!$A$1:$DZU$1000000,299,FALSE)</f>
        <v>0</v>
      </c>
      <c r="J18" s="2">
        <f>VLOOKUP(A1,Data!$A$1:$DZU$1000000,300,FALSE)</f>
        <v>0</v>
      </c>
      <c r="K18" s="2">
        <f>VLOOKUP(A1,Data!$A$1:$DZU$1000000,301,FALSE)</f>
        <v>0</v>
      </c>
      <c r="L18" s="2">
        <f>VLOOKUP(A1,Data!$A$1:$DZU$1000000,302,FALSE)</f>
        <v>0</v>
      </c>
      <c r="M18" s="2">
        <f>VLOOKUP(A1,Data!$A$1:$DZU$1000000,303,FALSE)</f>
        <v>0</v>
      </c>
      <c r="N18" s="2">
        <f>VLOOKUP(A1,Data!$A$1:$DZU$1000000,304,FALSE)</f>
        <v>0</v>
      </c>
      <c r="O18" s="2">
        <f>VLOOKUP(A1,Data!$A$1:$DZU$1000000,305,FALSE)</f>
        <v>0</v>
      </c>
      <c r="P18" s="2">
        <f>VLOOKUP(A1,Data!$A$1:$DZU$1000000,306,FALSE)</f>
        <v>0</v>
      </c>
      <c r="Q18" s="4">
        <f>VLOOKUP(A1,Data!$A$1:$DZU$1000000,307,FALSE)</f>
        <v>0</v>
      </c>
    </row>
    <row r="19" spans="1:17" ht="15" customHeight="1" x14ac:dyDescent="0.35">
      <c r="A19" s="2">
        <f>VLOOKUP(A1,Data!$A$1:$DZU$1000000,308,FALSE)</f>
        <v>0</v>
      </c>
      <c r="B19" s="2">
        <f>VLOOKUP(A1,Data!$A$1:$DZU$1000000,309,FALSE)</f>
        <v>0</v>
      </c>
      <c r="C19" s="2">
        <f>VLOOKUP(A1,Data!$A$1:$DZU$1000000,310,FALSE)</f>
        <v>0</v>
      </c>
      <c r="D19" s="2">
        <f>VLOOKUP(A1,Data!$A$1:$DZU$1000000,311,FALSE)</f>
        <v>0</v>
      </c>
      <c r="E19" s="2">
        <f>VLOOKUP(A1,Data!$A$1:$DZU$1000000,312,FALSE)</f>
        <v>0</v>
      </c>
      <c r="F19" s="2">
        <f>VLOOKUP(A1,Data!$A$1:$DZU$1000000,313,FALSE)</f>
        <v>0</v>
      </c>
      <c r="G19" s="2">
        <f>VLOOKUP(A1,Data!$A$1:$DZU$1000000,314,FALSE)</f>
        <v>0</v>
      </c>
      <c r="H19" s="2">
        <f>VLOOKUP(A1,Data!$A$1:$DZU$1000000,315,FALSE)</f>
        <v>0</v>
      </c>
      <c r="I19" s="2">
        <f>VLOOKUP(A1,Data!$A$1:$DZU$1000000,316,FALSE)</f>
        <v>0</v>
      </c>
      <c r="J19" s="2">
        <f>VLOOKUP(A1,Data!$A$1:$DZU$1000000,317,FALSE)</f>
        <v>0</v>
      </c>
      <c r="K19" s="2">
        <f>VLOOKUP(A1,Data!$A$1:$DZU$1000000,318,FALSE)</f>
        <v>0</v>
      </c>
      <c r="L19" s="2">
        <f>VLOOKUP(A1,Data!$A$1:$DZU$1000000,319,FALSE)</f>
        <v>0</v>
      </c>
      <c r="M19" s="2">
        <f>VLOOKUP(A1,Data!$A$1:$DZU$1000000,320,FALSE)</f>
        <v>0</v>
      </c>
      <c r="N19" s="2">
        <f>VLOOKUP(A1,Data!$A$1:$DZU$1000000,321,FALSE)</f>
        <v>0</v>
      </c>
      <c r="O19" s="2">
        <f>VLOOKUP(A1,Data!$A$1:$DZU$1000000,322,FALSE)</f>
        <v>0</v>
      </c>
      <c r="P19" s="2">
        <f>VLOOKUP(A1,Data!$A$1:$DZU$1000000,323,FALSE)</f>
        <v>0</v>
      </c>
      <c r="Q19" s="4">
        <f>VLOOKUP(A1,Data!$A$1:$DZU$1000000,324,FALSE)</f>
        <v>0</v>
      </c>
    </row>
    <row r="20" spans="1:17" ht="15" customHeight="1" x14ac:dyDescent="0.35">
      <c r="A20" s="43">
        <f>VLOOKUP(A1,Data!$A$1:$DZU$1000000,325,FALSE)</f>
        <v>0</v>
      </c>
      <c r="B20" s="36"/>
      <c r="C20" s="36"/>
      <c r="D20" s="36"/>
      <c r="E20" s="36"/>
      <c r="F20" s="36"/>
      <c r="G20" s="36"/>
      <c r="H20" s="36"/>
      <c r="I20" s="2">
        <f>VLOOKUP(A1,Data!$A$1:$DZU$1000000,333,FALSE)</f>
        <v>0</v>
      </c>
      <c r="J20" s="2">
        <f>VLOOKUP(A1,Data!$A$1:$DZU$1000000,334,FALSE)</f>
        <v>0</v>
      </c>
      <c r="K20" s="2">
        <f>VLOOKUP(A1,Data!$A$1:$DZU$1000000,335,FALSE)</f>
        <v>0</v>
      </c>
      <c r="L20" s="2">
        <f>VLOOKUP(A1,Data!$A$1:$DZU$1000000,336,FALSE)</f>
        <v>0</v>
      </c>
      <c r="M20" s="2">
        <f>VLOOKUP(A1,Data!$A$1:$DZU$1000000,337,FALSE)</f>
        <v>0</v>
      </c>
      <c r="N20" s="2">
        <f>VLOOKUP(A1,Data!$A$1:$DZU$1000000,338,FALSE)</f>
        <v>0</v>
      </c>
      <c r="O20" s="2">
        <f>VLOOKUP(A1,Data!$A$1:$DZU$1000000,339,FALSE)</f>
        <v>0</v>
      </c>
      <c r="P20" s="2">
        <f>VLOOKUP(A1,Data!$A$1:$DZU$1000000,340,FALSE)</f>
        <v>0</v>
      </c>
      <c r="Q20" s="4">
        <f>VLOOKUP(A1,Data!$A$1:$DZU$1000000,341,FALSE)</f>
        <v>0</v>
      </c>
    </row>
    <row r="21" spans="1:17" ht="15" customHeight="1" x14ac:dyDescent="0.35">
      <c r="A21" s="2">
        <f>VLOOKUP(A1,Data!$A$1:$DZU$1000000,342,FALSE)</f>
        <v>0</v>
      </c>
      <c r="B21" s="2">
        <f>VLOOKUP(A1,Data!$A$1:$DZU$1000000,343,FALSE)</f>
        <v>0</v>
      </c>
      <c r="C21" s="2">
        <f>VLOOKUP(A1,Data!$A$1:$DZU$1000000,344,FALSE)</f>
        <v>0</v>
      </c>
      <c r="D21" s="43">
        <f>VLOOKUP(A1,Data!$A$1:$DZU$1000000,345,FALSE)</f>
        <v>0</v>
      </c>
      <c r="E21" s="36"/>
      <c r="F21" s="36"/>
      <c r="G21" s="36"/>
      <c r="H21" s="2">
        <f>VLOOKUP(A1,Data!$A$1:$DZU$1000000,349,FALSE)</f>
        <v>0</v>
      </c>
      <c r="I21" s="2">
        <f>VLOOKUP(A1,Data!$A$1:$DZU$1000000,350,FALSE)</f>
        <v>0</v>
      </c>
      <c r="J21" s="2">
        <f>VLOOKUP(A1,Data!$A$1:$DZU$1000000,351,FALSE)</f>
        <v>0</v>
      </c>
      <c r="K21" s="2">
        <f>VLOOKUP(A1,Data!$A$1:$DZU$1000000,352,FALSE)</f>
        <v>0</v>
      </c>
      <c r="L21" s="2">
        <f>VLOOKUP(A1,Data!$A$1:$DZU$1000000,353,FALSE)</f>
        <v>0</v>
      </c>
      <c r="M21" s="2">
        <f>VLOOKUP(A1,Data!$A$1:$DZU$1000000,354,FALSE)</f>
        <v>0</v>
      </c>
      <c r="N21" s="2">
        <f>VLOOKUP(A1,Data!$A$1:$DZU$1000000,355,FALSE)</f>
        <v>0</v>
      </c>
      <c r="O21" s="2">
        <f>VLOOKUP(A1,Data!$A$1:$DZU$1000000,356,FALSE)</f>
        <v>0</v>
      </c>
      <c r="P21" s="2">
        <f>VLOOKUP(A1,Data!$A$1:$DZU$1000000,357,FALSE)</f>
        <v>0</v>
      </c>
      <c r="Q21" s="4">
        <f>VLOOKUP(A1,Data!$A$1:$DZU$1000000,358,FALSE)</f>
        <v>0</v>
      </c>
    </row>
    <row r="22" spans="1:17" ht="15" customHeight="1" x14ac:dyDescent="0.35">
      <c r="A22" s="2">
        <f>VLOOKUP(A1,Data!$A$1:$DZU$1000000,359,FALSE)</f>
        <v>0</v>
      </c>
      <c r="B22" s="2">
        <f>VLOOKUP(A1,Data!$A$1:$DZU$1000000,360,FALSE)</f>
        <v>0</v>
      </c>
      <c r="C22" s="2">
        <f>VLOOKUP(A1,Data!$A$1:$DZU$1000000,361,FALSE)</f>
        <v>0</v>
      </c>
      <c r="D22" s="45">
        <f>VLOOKUP(A1,Data!$A$1:$DZU$1000000,362,FALSE)</f>
        <v>0</v>
      </c>
      <c r="E22" s="36"/>
      <c r="F22" s="36"/>
      <c r="G22" s="36"/>
      <c r="H22" s="2">
        <f>VLOOKUP(A1,Data!$A$1:$DZU$1000000,366,FALSE)</f>
        <v>0</v>
      </c>
      <c r="I22" s="2">
        <f>VLOOKUP(A1,Data!$A$1:$DZU$1000000,367,FALSE)</f>
        <v>0</v>
      </c>
      <c r="J22" s="2">
        <f>VLOOKUP(A1,Data!$A$1:$DZU$1000000,368,FALSE)</f>
        <v>0</v>
      </c>
      <c r="K22" s="2">
        <f>VLOOKUP(A1,Data!$A$1:$DZU$1000000,369,FALSE)</f>
        <v>0</v>
      </c>
      <c r="L22" s="2">
        <f>VLOOKUP(A1,Data!$A$1:$DZU$1000000,370,FALSE)</f>
        <v>0</v>
      </c>
      <c r="M22" s="2">
        <f>VLOOKUP(A1,Data!$A$1:$DZU$1000000,371,FALSE)</f>
        <v>0</v>
      </c>
      <c r="N22" s="2">
        <f>VLOOKUP(A1,Data!$A$1:$DZU$1000000,372,FALSE)</f>
        <v>0</v>
      </c>
      <c r="O22" s="2">
        <f>VLOOKUP(A1,Data!$A$1:$DZU$1000000,373,FALSE)</f>
        <v>0</v>
      </c>
      <c r="P22" s="2">
        <f>VLOOKUP(A1,Data!$A$1:$DZU$1000000,374,FALSE)</f>
        <v>0</v>
      </c>
      <c r="Q22" s="4">
        <f>VLOOKUP(A1,Data!$A$1:$DZU$1000000,375,FALSE)</f>
        <v>0</v>
      </c>
    </row>
    <row r="23" spans="1:17" ht="15" customHeight="1" x14ac:dyDescent="0.35">
      <c r="A23" s="2">
        <f>VLOOKUP(A1,Data!$A$1:$DZU$1000000,376,FALSE)</f>
        <v>0</v>
      </c>
      <c r="B23" s="2">
        <f>VLOOKUP(A1,Data!$A$1:$DZU$1000000,377,FALSE)</f>
        <v>0</v>
      </c>
      <c r="C23" s="2">
        <f>VLOOKUP(A1,Data!$A$1:$DZU$1000000,378,FALSE)</f>
        <v>0</v>
      </c>
      <c r="D23" s="45">
        <f>VLOOKUP(A1,Data!$A$1:$DZU$1000000,379,FALSE)</f>
        <v>0</v>
      </c>
      <c r="E23" s="36"/>
      <c r="F23" s="36"/>
      <c r="G23" s="36"/>
      <c r="H23" s="2">
        <f>VLOOKUP(A1,Data!$A$1:$DZU$1000000,383,FALSE)</f>
        <v>0</v>
      </c>
      <c r="I23" s="2">
        <f>VLOOKUP(A1,Data!$A$1:$DZU$1000000,384,FALSE)</f>
        <v>0</v>
      </c>
      <c r="J23" s="2">
        <f>VLOOKUP(A1,Data!$A$1:$DZU$1000000,385,FALSE)</f>
        <v>0</v>
      </c>
      <c r="K23" s="2">
        <f>VLOOKUP(A1,Data!$A$1:$DZU$1000000,386,FALSE)</f>
        <v>0</v>
      </c>
      <c r="L23" s="2">
        <f>VLOOKUP(A1,Data!$A$1:$DZU$1000000,387,FALSE)</f>
        <v>0</v>
      </c>
      <c r="M23" s="2">
        <f>VLOOKUP(A1,Data!$A$1:$DZU$1000000,388,FALSE)</f>
        <v>0</v>
      </c>
      <c r="N23" s="2">
        <f>VLOOKUP(A1,Data!$A$1:$DZU$1000000,389,FALSE)</f>
        <v>0</v>
      </c>
      <c r="O23" s="2">
        <f>VLOOKUP(A1,Data!$A$1:$DZU$1000000,390,FALSE)</f>
        <v>0</v>
      </c>
      <c r="P23" s="2">
        <f>VLOOKUP(A1,Data!$A$1:$DZU$1000000,391,FALSE)</f>
        <v>0</v>
      </c>
      <c r="Q23" s="4">
        <f>VLOOKUP(A1,Data!$A$1:$DZU$1000000,392,FALSE)</f>
        <v>0</v>
      </c>
    </row>
    <row r="24" spans="1:17" ht="15" customHeight="1" x14ac:dyDescent="0.35">
      <c r="A24" s="2">
        <f>VLOOKUP(A1,Data!$A$1:$DZU$1000000,393,FALSE)</f>
        <v>0</v>
      </c>
      <c r="B24" s="2">
        <f>VLOOKUP(A1,Data!$A$1:$DZU$1000000,394,FALSE)</f>
        <v>0</v>
      </c>
      <c r="C24" s="2">
        <f>VLOOKUP(A1,Data!$A$1:$DZU$1000000,395,FALSE)</f>
        <v>0</v>
      </c>
      <c r="D24" s="45">
        <f>VLOOKUP(A1,Data!$A$1:$DZU$1000000,396,FALSE)</f>
        <v>0</v>
      </c>
      <c r="E24" s="36"/>
      <c r="F24" s="36"/>
      <c r="G24" s="36"/>
      <c r="H24" s="2">
        <f>VLOOKUP(A1,Data!$A$1:$DZU$1000000,400,FALSE)</f>
        <v>0</v>
      </c>
      <c r="I24" s="2">
        <f>VLOOKUP(A1,Data!$A$1:$DZU$1000000,401,FALSE)</f>
        <v>0</v>
      </c>
      <c r="J24" s="2">
        <f>VLOOKUP(A1,Data!$A$1:$DZU$1000000,402,FALSE)</f>
        <v>0</v>
      </c>
      <c r="K24" s="2">
        <f>VLOOKUP(A1,Data!$A$1:$DZU$1000000,403,FALSE)</f>
        <v>0</v>
      </c>
      <c r="L24" s="2">
        <f>VLOOKUP(A1,Data!$A$1:$DZU$1000000,404,FALSE)</f>
        <v>0</v>
      </c>
      <c r="M24" s="2">
        <f>VLOOKUP(A1,Data!$A$1:$DZU$1000000,405,FALSE)</f>
        <v>0</v>
      </c>
      <c r="N24" s="2">
        <f>VLOOKUP(A1,Data!$A$1:$DZU$1000000,406,FALSE)</f>
        <v>0</v>
      </c>
      <c r="O24" s="2">
        <f>VLOOKUP(A1,Data!$A$1:$DZU$1000000,407,FALSE)</f>
        <v>0</v>
      </c>
      <c r="P24" s="2">
        <f>VLOOKUP(A1,Data!$A$1:$DZU$1000000,408,FALSE)</f>
        <v>0</v>
      </c>
      <c r="Q24" s="4">
        <f>VLOOKUP(A1,Data!$A$1:$DZU$1000000,409,FALSE)</f>
        <v>0</v>
      </c>
    </row>
    <row r="25" spans="1:17" ht="15" customHeight="1" thickBot="1" x14ac:dyDescent="0.4">
      <c r="A25" s="2">
        <f>VLOOKUP(A1,Data!$A$1:$DZU$1000000,410,FALSE)</f>
        <v>0</v>
      </c>
      <c r="B25" s="2">
        <f>VLOOKUP(A1,Data!$A$1:$DZU$1000000,411,FALSE)</f>
        <v>0</v>
      </c>
      <c r="C25" s="2">
        <f>VLOOKUP(A1,Data!$A$1:$DZU$1000000,412,FALSE)</f>
        <v>0</v>
      </c>
      <c r="D25" s="2">
        <f>VLOOKUP(A1,Data!$A$1:$DZU$1000000,413,FALSE)</f>
        <v>0</v>
      </c>
      <c r="E25" s="2">
        <f>VLOOKUP(A1,Data!$A$1:$DZU$1000000,414,FALSE)</f>
        <v>0</v>
      </c>
      <c r="F25" s="2">
        <f>VLOOKUP(A1,Data!$A$1:$DZU$1000000,415,FALSE)</f>
        <v>0</v>
      </c>
      <c r="G25" s="2">
        <f>VLOOKUP(A1,Data!$A$1:$DZU$1000000,416,FALSE)</f>
        <v>0</v>
      </c>
      <c r="H25" s="2">
        <f>VLOOKUP(A1,Data!$A$1:$DZU$1000000,417,FALSE)</f>
        <v>0</v>
      </c>
      <c r="I25" s="2">
        <f>VLOOKUP(A1,Data!$A$1:$DZU$1000000,418,FALSE)</f>
        <v>0</v>
      </c>
      <c r="J25" s="2">
        <f>VLOOKUP(A1,Data!$A$1:$DZU$1000000,419,FALSE)</f>
        <v>0</v>
      </c>
      <c r="K25" s="2">
        <f>VLOOKUP(A1,Data!$A$1:$DZU$1000000,420,FALSE)</f>
        <v>0</v>
      </c>
      <c r="L25" s="2">
        <f>VLOOKUP(A1,Data!$A$1:$DZU$1000000,421,FALSE)</f>
        <v>0</v>
      </c>
      <c r="M25" s="2">
        <f>VLOOKUP(A1,Data!$A$1:$DZU$1000000,422,FALSE)</f>
        <v>0</v>
      </c>
      <c r="N25" s="2">
        <f>VLOOKUP(A1,Data!$A$1:$DZU$1000000,423,FALSE)</f>
        <v>0</v>
      </c>
      <c r="O25" s="2">
        <f>VLOOKUP(A1,Data!$A$1:$DZU$1000000,424,FALSE)</f>
        <v>0</v>
      </c>
      <c r="P25" s="2">
        <f>VLOOKUP(A1,Data!$A$1:$DZU$1000000,425,FALSE)</f>
        <v>0</v>
      </c>
      <c r="Q25" s="4">
        <f>VLOOKUP(A1,Data!$A$1:$DZU$1000000,426,FALSE)</f>
        <v>0</v>
      </c>
    </row>
    <row r="26" spans="1:17" ht="15" customHeight="1" thickBot="1" x14ac:dyDescent="0.4">
      <c r="A26" s="56">
        <f>VLOOKUP(A1,Data!$A$1:$DZU$1000000,427,FALSE)</f>
        <v>0</v>
      </c>
      <c r="B26" s="57"/>
      <c r="C26" s="2">
        <f>VLOOKUP(A1,Data!$A$1:$DZU$1000000,429,FALSE)</f>
        <v>0</v>
      </c>
      <c r="D26" s="2">
        <f>VLOOKUP(A1,Data!$A$1:$DZU$1000000,430,FALSE)</f>
        <v>0</v>
      </c>
      <c r="E26" s="2">
        <f>VLOOKUP(A1,Data!$A$1:$DZU$1000000,431,FALSE)</f>
        <v>0</v>
      </c>
      <c r="F26" s="11">
        <f>VLOOKUP(A1,Data!$A$1:$DZU$1000000,432,FALSE)</f>
        <v>0</v>
      </c>
      <c r="G26" s="11">
        <f>VLOOKUP(A1,Data!$A$1:$DZU$1000000,433,FALSE)</f>
        <v>0</v>
      </c>
      <c r="H26" s="2">
        <f>VLOOKUP(A1,Data!$A$1:$DZU$1000000,434,FALSE)</f>
        <v>0</v>
      </c>
      <c r="I26" s="2">
        <f>VLOOKUP(A1,Data!$A$1:$DZU$1000000,435,FALSE)</f>
        <v>0</v>
      </c>
      <c r="J26" s="2">
        <f>VLOOKUP(A1,Data!$A$1:$DZU$1000000,436,FALSE)</f>
        <v>0</v>
      </c>
      <c r="K26" s="2">
        <f>VLOOKUP(A1,Data!$A$1:$DZU$1000000,437,FALSE)</f>
        <v>0</v>
      </c>
      <c r="L26" s="2">
        <f>VLOOKUP(A1,Data!$A$1:$DZU$1000000,438,FALSE)</f>
        <v>0</v>
      </c>
      <c r="M26" s="2">
        <f>VLOOKUP(A1,Data!$A$1:$DZU$1000000,439,FALSE)</f>
        <v>0</v>
      </c>
      <c r="N26" s="2">
        <f>VLOOKUP(A1,Data!$A$1:$DZU$1000000,440,FALSE)</f>
        <v>0</v>
      </c>
      <c r="O26" s="2">
        <f>VLOOKUP(A1,Data!$A$1:$DZU$1000000,441,FALSE)</f>
        <v>0</v>
      </c>
      <c r="P26" s="2">
        <f>VLOOKUP(A1,Data!$A$1:$DZU$1000000,442,FALSE)</f>
        <v>0</v>
      </c>
      <c r="Q26" s="4">
        <f>VLOOKUP(A1,Data!$A$1:$DZU$1000000,443,FALSE)</f>
        <v>0</v>
      </c>
    </row>
    <row r="27" spans="1:17" ht="15" customHeight="1" x14ac:dyDescent="0.35">
      <c r="A27" s="2">
        <f>VLOOKUP(A1,Data!$A$1:$DZU$1000000,444,FALSE)</f>
        <v>0</v>
      </c>
      <c r="B27" s="2">
        <f>VLOOKUP(A1,Data!$A$1:$DZU$1000000,445,FALSE)</f>
        <v>0</v>
      </c>
      <c r="C27" s="2">
        <f>VLOOKUP(A1,Data!$A$1:$DZU$1000000,446,FALSE)</f>
        <v>0</v>
      </c>
      <c r="D27" s="2">
        <f>VLOOKUP(A1,Data!$A$1:$DZU$1000000,447,FALSE)</f>
        <v>0</v>
      </c>
      <c r="E27" s="2">
        <f>VLOOKUP(A1,Data!$A$1:$DZU$1000000,448,FALSE)</f>
        <v>0</v>
      </c>
      <c r="F27" s="2">
        <f>VLOOKUP(A1,Data!$A$1:$DZU$1000000,449,FALSE)</f>
        <v>0</v>
      </c>
      <c r="G27" s="2">
        <f>VLOOKUP(A1,Data!$A$1:$DZU$1000000,450,FALSE)</f>
        <v>0</v>
      </c>
      <c r="H27" s="2">
        <f>VLOOKUP(A1,Data!$A$1:$DZU$1000000,451,FALSE)</f>
        <v>0</v>
      </c>
      <c r="I27" s="2">
        <f>VLOOKUP(A1,Data!$A$1:$DZU$1000000,452,FALSE)</f>
        <v>0</v>
      </c>
      <c r="J27" s="2">
        <f>VLOOKUP(A1,Data!$A$1:$DZU$1000000,453,FALSE)</f>
        <v>0</v>
      </c>
      <c r="K27" s="2">
        <f>VLOOKUP(A1,Data!$A$1:$DZU$1000000,454,FALSE)</f>
        <v>0</v>
      </c>
      <c r="L27" s="2">
        <f>VLOOKUP(A1,Data!$A$1:$DZU$1000000,455,FALSE)</f>
        <v>0</v>
      </c>
      <c r="M27" s="2">
        <f>VLOOKUP(A1,Data!$A$1:$DZU$1000000,456,FALSE)</f>
        <v>0</v>
      </c>
      <c r="N27" s="2">
        <f>VLOOKUP(A1,Data!$A$1:$DZU$1000000,457,FALSE)</f>
        <v>0</v>
      </c>
      <c r="O27" s="2">
        <f>VLOOKUP(A1,Data!$A$1:$DZU$1000000,458,FALSE)</f>
        <v>0</v>
      </c>
      <c r="P27" s="2">
        <f>VLOOKUP(A1,Data!$A$1:$DZU$1000000,459,FALSE)</f>
        <v>0</v>
      </c>
      <c r="Q27" s="4">
        <f>VLOOKUP(A1,Data!$A$1:$DZU$1000000,460,FALSE)</f>
        <v>0</v>
      </c>
    </row>
    <row r="28" spans="1:17" ht="15" customHeight="1" x14ac:dyDescent="0.35">
      <c r="A28" s="58">
        <f>VLOOKUP(A1,Data!$A$1:$DZU$1000000,461,FALSE)</f>
        <v>0</v>
      </c>
      <c r="B28" s="38"/>
      <c r="C28" s="38"/>
      <c r="D28" s="39"/>
      <c r="E28" s="2">
        <f>VLOOKUP(A1,Data!$A$1:$DZU$1000000,465,FALSE)</f>
        <v>0</v>
      </c>
      <c r="F28" s="12">
        <f>VLOOKUP(A1,Data!$A$1:$DZU$1000000,466,FALSE)</f>
        <v>0</v>
      </c>
      <c r="G28" s="12">
        <f>VLOOKUP(A1,Data!$A$1:$DZU$1000000,467,FALSE)</f>
        <v>0</v>
      </c>
      <c r="H28" s="2">
        <f>VLOOKUP(A1,Data!$A$1:$DZU$1000000,468,FALSE)</f>
        <v>0</v>
      </c>
      <c r="I28" s="2">
        <f>VLOOKUP(A1,Data!$A$1:$DZU$1000000,469,FALSE)</f>
        <v>0</v>
      </c>
      <c r="J28" s="2">
        <f>VLOOKUP(A1,Data!$A$1:$DZU$1000000,470,FALSE)</f>
        <v>0</v>
      </c>
      <c r="K28" s="2">
        <f>VLOOKUP(A1,Data!$A$1:$DZU$1000000,471,FALSE)</f>
        <v>0</v>
      </c>
      <c r="L28" s="2">
        <f>VLOOKUP(A1,Data!$A$1:$DZU$1000000,472,FALSE)</f>
        <v>0</v>
      </c>
      <c r="M28" s="2">
        <f>VLOOKUP(A1,Data!$A$1:$DZU$1000000,473,FALSE)</f>
        <v>0</v>
      </c>
      <c r="N28" s="2">
        <f>VLOOKUP(A1,Data!$A$1:$DZU$1000000,474,FALSE)</f>
        <v>0</v>
      </c>
      <c r="O28" s="2">
        <f>VLOOKUP(A1,Data!$A$1:$DZU$1000000,475,FALSE)</f>
        <v>0</v>
      </c>
      <c r="P28" s="2">
        <f>VLOOKUP(A1,Data!$A$1:$DZU$1000000,476,FALSE)</f>
        <v>0</v>
      </c>
      <c r="Q28" s="4">
        <f>VLOOKUP(A1,Data!$A$1:$DZU$1000000,477,FALSE)</f>
        <v>0</v>
      </c>
    </row>
    <row r="29" spans="1:17" ht="15" customHeight="1" x14ac:dyDescent="0.35">
      <c r="A29" s="58">
        <f>VLOOKUP(A1,Data!$A$1:$DZU$1000000,478,FALSE)</f>
        <v>0</v>
      </c>
      <c r="B29" s="38"/>
      <c r="C29" s="38"/>
      <c r="D29" s="39"/>
      <c r="E29" s="2">
        <f>VLOOKUP(A1,Data!$A$1:$DZU$1000000,482,FALSE)</f>
        <v>0</v>
      </c>
      <c r="F29" s="12">
        <f>VLOOKUP(A1,Data!$A$1:$DZU$1000000,483,FALSE)</f>
        <v>0</v>
      </c>
      <c r="G29" s="12">
        <f>VLOOKUP(A1,Data!$A$1:$DZU$1000000,484,FALSE)</f>
        <v>0</v>
      </c>
      <c r="H29" s="2">
        <f>VLOOKUP(A1,Data!$A$1:$DZU$1000000,485,FALSE)</f>
        <v>0</v>
      </c>
      <c r="I29" s="2">
        <f>VLOOKUP(A1,Data!$A$1:$DZU$1000000,486,FALSE)</f>
        <v>0</v>
      </c>
      <c r="J29" s="2">
        <f>VLOOKUP(A1,Data!$A$1:$DZU$1000000,487,FALSE)</f>
        <v>0</v>
      </c>
      <c r="K29" s="2">
        <f>VLOOKUP(A1,Data!$A$1:$DZU$1000000,488,FALSE)</f>
        <v>0</v>
      </c>
      <c r="L29" s="2">
        <f>VLOOKUP(A1,Data!$A$1:$DZU$1000000,489,FALSE)</f>
        <v>0</v>
      </c>
      <c r="M29" s="2">
        <f>VLOOKUP(A1,Data!$A$1:$DZU$1000000,490,FALSE)</f>
        <v>0</v>
      </c>
      <c r="N29" s="2">
        <f>VLOOKUP(A1,Data!$A$1:$DZU$1000000,491,FALSE)</f>
        <v>0</v>
      </c>
      <c r="O29" s="2">
        <f>VLOOKUP(A1,Data!$A$1:$DZU$1000000,492,FALSE)</f>
        <v>0</v>
      </c>
      <c r="P29" s="2">
        <f>VLOOKUP(A1,Data!$A$1:$DZU$1000000,493,FALSE)</f>
        <v>0</v>
      </c>
      <c r="Q29" s="4">
        <f>VLOOKUP(A1,Data!$A$1:$DZU$1000000,494,FALSE)</f>
        <v>0</v>
      </c>
    </row>
    <row r="30" spans="1:17" ht="15" customHeight="1" x14ac:dyDescent="0.35">
      <c r="A30" s="58">
        <f>VLOOKUP(A1,Data!$A$1:$DZU$1000000,495,FALSE)</f>
        <v>0</v>
      </c>
      <c r="B30" s="38"/>
      <c r="C30" s="38"/>
      <c r="D30" s="39"/>
      <c r="E30" s="2">
        <f>VLOOKUP(A1,Data!$A$1:$DZU$1000000,499,FALSE)</f>
        <v>0</v>
      </c>
      <c r="F30" s="12">
        <f>VLOOKUP(A1,Data!$A$1:$DZU$1000000,500,FALSE)</f>
        <v>0</v>
      </c>
      <c r="G30" s="12">
        <f>VLOOKUP(A1,Data!$A$1:$DZU$1000000,501,FALSE)</f>
        <v>0</v>
      </c>
      <c r="H30" s="2">
        <f>VLOOKUP(A1,Data!$A$1:$DZU$1000000,502,FALSE)</f>
        <v>0</v>
      </c>
      <c r="I30" s="2">
        <f>VLOOKUP(A1,Data!$A$1:$DZU$1000000,503,FALSE)</f>
        <v>0</v>
      </c>
      <c r="J30" s="2">
        <f>VLOOKUP(A1,Data!$A$1:$DZU$1000000,504,FALSE)</f>
        <v>0</v>
      </c>
      <c r="K30" s="2">
        <f>VLOOKUP(A1,Data!$A$1:$DZU$1000000,505,FALSE)</f>
        <v>0</v>
      </c>
      <c r="L30" s="2">
        <f>VLOOKUP(A1,Data!$A$1:$DZU$1000000,506,FALSE)</f>
        <v>0</v>
      </c>
      <c r="M30" s="2">
        <f>VLOOKUP(A1,Data!$A$1:$DZU$1000000,507,FALSE)</f>
        <v>0</v>
      </c>
      <c r="N30" s="2">
        <f>VLOOKUP(A1,Data!$A$1:$DZU$1000000,508,FALSE)</f>
        <v>0</v>
      </c>
      <c r="O30" s="2">
        <f>VLOOKUP(A1,Data!$A$1:$DZU$1000000,509,FALSE)</f>
        <v>0</v>
      </c>
      <c r="P30" s="2">
        <f>VLOOKUP(A1,Data!$A$1:$DZU$1000000,510,FALSE)</f>
        <v>0</v>
      </c>
      <c r="Q30" s="4">
        <f>VLOOKUP(A1,Data!$A$1:$DZU$1000000,511,FALSE)</f>
        <v>0</v>
      </c>
    </row>
    <row r="31" spans="1:17" ht="15" customHeight="1" x14ac:dyDescent="0.35">
      <c r="A31" s="58">
        <f>VLOOKUP(A1,Data!$A$1:$DZU$1000000,512,FALSE)</f>
        <v>0</v>
      </c>
      <c r="B31" s="38"/>
      <c r="C31" s="38"/>
      <c r="D31" s="39"/>
      <c r="E31" s="2">
        <f>VLOOKUP(A1,Data!$A$1:$DZU$1000000,516,FALSE)</f>
        <v>0</v>
      </c>
      <c r="F31" s="12">
        <f>VLOOKUP(A1,Data!$A$1:$DZU$1000000,517,FALSE)</f>
        <v>0</v>
      </c>
      <c r="G31" s="12">
        <f>VLOOKUP(A1,Data!$A$1:$DZU$1000000,518,FALSE)</f>
        <v>0</v>
      </c>
      <c r="H31" s="2">
        <f>VLOOKUP(A1,Data!$A$1:$DZU$1000000,519,FALSE)</f>
        <v>0</v>
      </c>
      <c r="I31" s="2">
        <f>VLOOKUP(A1,Data!$A$1:$DZU$1000000,520,FALSE)</f>
        <v>0</v>
      </c>
      <c r="J31" s="2">
        <f>VLOOKUP(A1,Data!$A$1:$DZU$1000000,521,FALSE)</f>
        <v>0</v>
      </c>
      <c r="K31" s="2">
        <f>VLOOKUP(A1,Data!$A$1:$DZU$1000000,522,FALSE)</f>
        <v>0</v>
      </c>
      <c r="L31" s="2">
        <f>VLOOKUP(A1,Data!$A$1:$DZU$1000000,523,FALSE)</f>
        <v>0</v>
      </c>
      <c r="M31" s="2">
        <f>VLOOKUP(A1,Data!$A$1:$DZU$1000000,524,FALSE)</f>
        <v>0</v>
      </c>
      <c r="N31" s="2">
        <f>VLOOKUP(A1,Data!$A$1:$DZU$1000000,525,FALSE)</f>
        <v>0</v>
      </c>
      <c r="O31" s="2">
        <f>VLOOKUP(A1,Data!$A$1:$DZU$1000000,526,FALSE)</f>
        <v>0</v>
      </c>
      <c r="P31" s="2">
        <f>VLOOKUP(A1,Data!$A$1:$DZU$1000000,527,FALSE)</f>
        <v>0</v>
      </c>
      <c r="Q31" s="4">
        <f>VLOOKUP(A1,Data!$A$1:$DZU$1000000,528,FALSE)</f>
        <v>0</v>
      </c>
    </row>
    <row r="32" spans="1:17" ht="15" customHeight="1" x14ac:dyDescent="0.35">
      <c r="A32" s="58">
        <f>VLOOKUP(A1,Data!$A$1:$DZU$1000000,529,FALSE)</f>
        <v>0</v>
      </c>
      <c r="B32" s="38"/>
      <c r="C32" s="38"/>
      <c r="D32" s="39"/>
      <c r="E32" s="2">
        <f>VLOOKUP(A1,Data!$A$1:$DZU$1000000,533,FALSE)</f>
        <v>0</v>
      </c>
      <c r="F32" s="12">
        <f>VLOOKUP(A1,Data!$A$1:$DZU$1000000,534,FALSE)</f>
        <v>0</v>
      </c>
      <c r="G32" s="12">
        <f>VLOOKUP(A1,Data!$A$1:$DZU$1000000,535,FALSE)</f>
        <v>0</v>
      </c>
      <c r="H32" s="2">
        <f>VLOOKUP(A1,Data!$A$1:$DZU$1000000,536,FALSE)</f>
        <v>0</v>
      </c>
      <c r="I32" s="2">
        <f>VLOOKUP(A1,Data!$A$1:$DZU$1000000,537,FALSE)</f>
        <v>0</v>
      </c>
      <c r="J32" s="2">
        <f>VLOOKUP(A1,Data!$A$1:$DZU$1000000,538,FALSE)</f>
        <v>0</v>
      </c>
      <c r="K32" s="2">
        <f>VLOOKUP(A1,Data!$A$1:$DZU$1000000,539,FALSE)</f>
        <v>0</v>
      </c>
      <c r="L32" s="2">
        <f>VLOOKUP(A1,Data!$A$1:$DZU$1000000,540,FALSE)</f>
        <v>0</v>
      </c>
      <c r="M32" s="2">
        <f>VLOOKUP(A1,Data!$A$1:$DZU$1000000,541,FALSE)</f>
        <v>0</v>
      </c>
      <c r="N32" s="2">
        <f>VLOOKUP(A1,Data!$A$1:$DZU$1000000,542,FALSE)</f>
        <v>0</v>
      </c>
      <c r="O32" s="2">
        <f>VLOOKUP(A1,Data!$A$1:$DZU$1000000,543,FALSE)</f>
        <v>0</v>
      </c>
      <c r="P32" s="2">
        <f>VLOOKUP(A1,Data!$A$1:$DZU$1000000,544,FALSE)</f>
        <v>0</v>
      </c>
      <c r="Q32" s="4">
        <f>VLOOKUP(A1,Data!$A$1:$DZU$1000000,545,FALSE)</f>
        <v>0</v>
      </c>
    </row>
    <row r="33" spans="1:17" ht="15" customHeight="1" x14ac:dyDescent="0.35">
      <c r="A33" s="58">
        <f>VLOOKUP(A1,Data!$A$1:$DZU$1000000,546,FALSE)</f>
        <v>0</v>
      </c>
      <c r="B33" s="38"/>
      <c r="C33" s="38"/>
      <c r="D33" s="39"/>
      <c r="E33" s="2">
        <f>VLOOKUP(A1,Data!$A$1:$DZU$1000000,550,FALSE)</f>
        <v>0</v>
      </c>
      <c r="F33" s="12">
        <f>VLOOKUP(A1,Data!$A$1:$DZU$1000000,551,FALSE)</f>
        <v>0</v>
      </c>
      <c r="G33" s="12">
        <f>VLOOKUP(A1,Data!$A$1:$DZU$1000000,552,FALSE)</f>
        <v>0</v>
      </c>
      <c r="H33" s="2">
        <f>VLOOKUP(A1,Data!$A$1:$DZU$1000000,553,FALSE)</f>
        <v>0</v>
      </c>
      <c r="I33" s="2">
        <f>VLOOKUP(A1,Data!$A$1:$DZU$1000000,554,FALSE)</f>
        <v>0</v>
      </c>
      <c r="J33" s="2">
        <f>VLOOKUP(A1,Data!$A$1:$DZU$1000000,555,FALSE)</f>
        <v>0</v>
      </c>
      <c r="K33" s="2">
        <f>VLOOKUP(A1,Data!$A$1:$DZU$1000000,556,FALSE)</f>
        <v>0</v>
      </c>
      <c r="L33" s="2">
        <f>VLOOKUP(A1,Data!$A$1:$DZU$1000000,557,FALSE)</f>
        <v>0</v>
      </c>
      <c r="M33" s="2">
        <f>VLOOKUP(A1,Data!$A$1:$DZU$1000000,558,FALSE)</f>
        <v>0</v>
      </c>
      <c r="N33" s="2">
        <f>VLOOKUP(A1,Data!$A$1:$DZU$1000000,559,FALSE)</f>
        <v>0</v>
      </c>
      <c r="O33" s="2">
        <f>VLOOKUP(A1,Data!$A$1:$DZU$1000000,560,FALSE)</f>
        <v>0</v>
      </c>
      <c r="P33" s="2">
        <f>VLOOKUP(A1,Data!$A$1:$DZU$1000000,561,FALSE)</f>
        <v>0</v>
      </c>
      <c r="Q33" s="4">
        <f>VLOOKUP(A1,Data!$A$1:$DZU$1000000,562,FALSE)</f>
        <v>0</v>
      </c>
    </row>
    <row r="34" spans="1:17" ht="15" customHeight="1" x14ac:dyDescent="0.35">
      <c r="A34" s="58">
        <f>VLOOKUP(A1,Data!$A$1:$DZU$1000000,563,FALSE)</f>
        <v>0</v>
      </c>
      <c r="B34" s="38"/>
      <c r="C34" s="38"/>
      <c r="D34" s="39"/>
      <c r="E34" s="2">
        <f>VLOOKUP(A1,Data!$A$1:$DZU$1000000,567,FALSE)</f>
        <v>0</v>
      </c>
      <c r="F34" s="12">
        <f>VLOOKUP(A1,Data!$A$1:$DZU$1000000,568,FALSE)</f>
        <v>0</v>
      </c>
      <c r="G34" s="12">
        <f>VLOOKUP(A1,Data!$A$1:$DZU$1000000,569,FALSE)</f>
        <v>0</v>
      </c>
      <c r="H34" s="2">
        <f>VLOOKUP(A1,Data!$A$1:$DZU$1000000,570,FALSE)</f>
        <v>0</v>
      </c>
      <c r="I34" s="2">
        <f>VLOOKUP(A1,Data!$A$1:$DZU$1000000,571,FALSE)</f>
        <v>0</v>
      </c>
      <c r="J34" s="2">
        <f>VLOOKUP(A1,Data!$A$1:$DZU$1000000,572,FALSE)</f>
        <v>0</v>
      </c>
      <c r="K34" s="2">
        <f>VLOOKUP(A1,Data!$A$1:$DZU$1000000,573,FALSE)</f>
        <v>0</v>
      </c>
      <c r="L34" s="2">
        <f>VLOOKUP(A1,Data!$A$1:$DZU$1000000,574,FALSE)</f>
        <v>0</v>
      </c>
      <c r="M34" s="2">
        <f>VLOOKUP(A1,Data!$A$1:$DZU$1000000,575,FALSE)</f>
        <v>0</v>
      </c>
      <c r="N34" s="2">
        <f>VLOOKUP(A1,Data!$A$1:$DZU$1000000,576,FALSE)</f>
        <v>0</v>
      </c>
      <c r="O34" s="2">
        <f>VLOOKUP(A1,Data!$A$1:$DZU$1000000,577,FALSE)</f>
        <v>0</v>
      </c>
      <c r="P34" s="2">
        <f>VLOOKUP(A1,Data!$A$1:$DZU$1000000,578,FALSE)</f>
        <v>0</v>
      </c>
      <c r="Q34" s="4">
        <f>VLOOKUP(A1,Data!$A$1:$DZU$1000000,579,FALSE)</f>
        <v>0</v>
      </c>
    </row>
    <row r="35" spans="1:17" ht="15" customHeight="1" x14ac:dyDescent="0.35">
      <c r="A35" s="58">
        <f>VLOOKUP(A1,Data!$A$1:$DZU$1000000,580,FALSE)</f>
        <v>0</v>
      </c>
      <c r="B35" s="38"/>
      <c r="C35" s="38"/>
      <c r="D35" s="39"/>
      <c r="E35" s="2">
        <f>VLOOKUP(A1,Data!$A$1:$DZU$1000000,584,FALSE)</f>
        <v>0</v>
      </c>
      <c r="F35" s="12">
        <f>VLOOKUP(A1,Data!$A$1:$DZU$1000000,585,FALSE)</f>
        <v>0</v>
      </c>
      <c r="G35" s="12">
        <f>VLOOKUP(A1,Data!$A$1:$DZU$1000000,586,FALSE)</f>
        <v>0</v>
      </c>
      <c r="H35" s="2">
        <f>VLOOKUP(A1,Data!$A$1:$DZU$1000000,587,FALSE)</f>
        <v>0</v>
      </c>
      <c r="I35" s="2">
        <f>VLOOKUP(A1,Data!$A$1:$DZU$1000000,588,FALSE)</f>
        <v>0</v>
      </c>
      <c r="J35" s="2">
        <f>VLOOKUP(A1,Data!$A$1:$DZU$1000000,589,FALSE)</f>
        <v>0</v>
      </c>
      <c r="K35" s="2">
        <f>VLOOKUP(A1,Data!$A$1:$DZU$1000000,590,FALSE)</f>
        <v>0</v>
      </c>
      <c r="L35" s="2">
        <f>VLOOKUP(A1,Data!$A$1:$DZU$1000000,591,FALSE)</f>
        <v>0</v>
      </c>
      <c r="M35" s="2">
        <f>VLOOKUP(A1,Data!$A$1:$DZU$1000000,592,FALSE)</f>
        <v>0</v>
      </c>
      <c r="N35" s="2">
        <f>VLOOKUP(A1,Data!$A$1:$DZU$1000000,593,FALSE)</f>
        <v>0</v>
      </c>
      <c r="O35" s="2">
        <f>VLOOKUP(A1,Data!$A$1:$DZU$1000000,594,FALSE)</f>
        <v>0</v>
      </c>
      <c r="P35" s="2">
        <f>VLOOKUP(A1,Data!$A$1:$DZU$1000000,595,FALSE)</f>
        <v>0</v>
      </c>
      <c r="Q35" s="4">
        <f>VLOOKUP(A1,Data!$A$1:$DZU$1000000,596,FALSE)</f>
        <v>0</v>
      </c>
    </row>
    <row r="36" spans="1:17" ht="15" customHeight="1" x14ac:dyDescent="0.35">
      <c r="A36" s="58">
        <f>VLOOKUP(A1,Data!$A$1:$DZU$1000000,597,FALSE)</f>
        <v>0</v>
      </c>
      <c r="B36" s="38"/>
      <c r="C36" s="38"/>
      <c r="D36" s="39"/>
      <c r="E36" s="2">
        <f>VLOOKUP(A1,Data!$A$1:$DZU$1000000,601,FALSE)</f>
        <v>0</v>
      </c>
      <c r="F36" s="12">
        <f>VLOOKUP(A1,Data!$A$1:$DZU$1000000,602,FALSE)</f>
        <v>0</v>
      </c>
      <c r="G36" s="12">
        <f>VLOOKUP(A1,Data!$A$1:$DZU$1000000,603,FALSE)</f>
        <v>0</v>
      </c>
      <c r="H36" s="2">
        <f>VLOOKUP(A1,Data!$A$1:$DZU$1000000,604,FALSE)</f>
        <v>0</v>
      </c>
      <c r="I36" s="2">
        <f>VLOOKUP(A1,Data!$A$1:$DZU$1000000,605,FALSE)</f>
        <v>0</v>
      </c>
      <c r="J36" s="2">
        <f>VLOOKUP(A1,Data!$A$1:$DZU$1000000,606,FALSE)</f>
        <v>0</v>
      </c>
      <c r="K36" s="2">
        <f>VLOOKUP(A1,Data!$A$1:$DZU$1000000,607,FALSE)</f>
        <v>0</v>
      </c>
      <c r="L36" s="2">
        <f>VLOOKUP(A1,Data!$A$1:$DZU$1000000,608,FALSE)</f>
        <v>0</v>
      </c>
      <c r="M36" s="2">
        <f>VLOOKUP(A1,Data!$A$1:$DZU$1000000,609,FALSE)</f>
        <v>0</v>
      </c>
      <c r="N36" s="2">
        <f>VLOOKUP(A1,Data!$A$1:$DZU$1000000,610,FALSE)</f>
        <v>0</v>
      </c>
      <c r="O36" s="2">
        <f>VLOOKUP(A1,Data!$A$1:$DZU$1000000,611,FALSE)</f>
        <v>0</v>
      </c>
      <c r="P36" s="2">
        <f>VLOOKUP(A1,Data!$A$1:$DZU$1000000,612,FALSE)</f>
        <v>0</v>
      </c>
      <c r="Q36" s="4">
        <f>VLOOKUP(A1,Data!$A$1:$DZU$1000000,613,FALSE)</f>
        <v>0</v>
      </c>
    </row>
    <row r="37" spans="1:17" ht="15" customHeight="1" x14ac:dyDescent="0.35">
      <c r="A37" s="58">
        <f>VLOOKUP(A1,Data!$A$1:$DZU$1000000,614,FALSE)</f>
        <v>0</v>
      </c>
      <c r="B37" s="38"/>
      <c r="C37" s="38"/>
      <c r="D37" s="39"/>
      <c r="E37" s="2">
        <f>VLOOKUP(A1,Data!$A$1:$DZU$1000000,618,FALSE)</f>
        <v>0</v>
      </c>
      <c r="F37" s="12">
        <f>VLOOKUP(A1,Data!$A$1:$DZU$1000000,619,FALSE)</f>
        <v>0</v>
      </c>
      <c r="G37" s="12">
        <f>VLOOKUP(A1,Data!$A$1:$DZU$1000000,620,FALSE)</f>
        <v>0</v>
      </c>
      <c r="H37" s="2">
        <f>VLOOKUP(A1,Data!$A$1:$DZU$1000000,621,FALSE)</f>
        <v>0</v>
      </c>
      <c r="I37" s="2">
        <f>VLOOKUP(A1,Data!$A$1:$DZU$1000000,622,FALSE)</f>
        <v>0</v>
      </c>
      <c r="J37" s="2">
        <f>VLOOKUP(A1,Data!$A$1:$DZU$1000000,623,FALSE)</f>
        <v>0</v>
      </c>
      <c r="K37" s="2">
        <f>VLOOKUP(A1,Data!$A$1:$DZU$1000000,624,FALSE)</f>
        <v>0</v>
      </c>
      <c r="L37" s="2">
        <f>VLOOKUP(A1,Data!$A$1:$DZU$1000000,625,FALSE)</f>
        <v>0</v>
      </c>
      <c r="M37" s="2">
        <f>VLOOKUP(A1,Data!$A$1:$DZU$1000000,626,FALSE)</f>
        <v>0</v>
      </c>
      <c r="N37" s="2">
        <f>VLOOKUP(A1,Data!$A$1:$DZU$1000000,627,FALSE)</f>
        <v>0</v>
      </c>
      <c r="O37" s="2">
        <f>VLOOKUP(A1,Data!$A$1:$DZU$1000000,628,FALSE)</f>
        <v>0</v>
      </c>
      <c r="P37" s="2">
        <f>VLOOKUP(A1,Data!$A$1:$DZU$1000000,629,FALSE)</f>
        <v>0</v>
      </c>
      <c r="Q37" s="4">
        <f>VLOOKUP(A1,Data!$A$1:$DZU$1000000,630,FALSE)</f>
        <v>0</v>
      </c>
    </row>
    <row r="38" spans="1:17" ht="15" customHeight="1" thickBot="1" x14ac:dyDescent="0.4">
      <c r="A38" s="2">
        <f>VLOOKUP(A1,Data!$A$1:$DZU$1000000,631,FALSE)</f>
        <v>0</v>
      </c>
      <c r="B38" s="2">
        <f>VLOOKUP(A1,Data!$A$1:$DZU$1000000,632,FALSE)</f>
        <v>0</v>
      </c>
      <c r="C38" s="2">
        <f>VLOOKUP(A1,Data!$A$1:$DZU$1000000,633,FALSE)</f>
        <v>0</v>
      </c>
      <c r="D38" s="2">
        <f>VLOOKUP(A1,Data!$A$1:$DZU$1000000,634,FALSE)</f>
        <v>0</v>
      </c>
      <c r="E38" s="2">
        <f>VLOOKUP(A1,Data!$A$1:$DZU$1000000,635,FALSE)</f>
        <v>0</v>
      </c>
      <c r="F38" s="13">
        <f>VLOOKUP(A1,Data!$A$1:$DZU$1000000,636,FALSE)</f>
        <v>0</v>
      </c>
      <c r="G38" s="13">
        <f>VLOOKUP(A1,Data!$A$1:$DZU$1000000,637,FALSE)</f>
        <v>0</v>
      </c>
      <c r="H38" s="2">
        <f>VLOOKUP(A1,Data!$A$1:$DZU$1000000,638,FALSE)</f>
        <v>0</v>
      </c>
      <c r="I38" s="2">
        <f>VLOOKUP(A1,Data!$A$1:$DZU$1000000,639,FALSE)</f>
        <v>0</v>
      </c>
      <c r="J38" s="2">
        <f>VLOOKUP(A1,Data!$A$1:$DZU$1000000,640,FALSE)</f>
        <v>0</v>
      </c>
      <c r="K38" s="2">
        <f>VLOOKUP(A1,Data!$A$1:$DZU$1000000,641,FALSE)</f>
        <v>0</v>
      </c>
      <c r="L38" s="2">
        <f>VLOOKUP(A1,Data!$A$1:$DZU$1000000,642,FALSE)</f>
        <v>0</v>
      </c>
      <c r="M38" s="2">
        <f>VLOOKUP(A1,Data!$A$1:$DZU$1000000,643,FALSE)</f>
        <v>0</v>
      </c>
      <c r="N38" s="2">
        <f>VLOOKUP(A1,Data!$A$1:$DZU$1000000,644,FALSE)</f>
        <v>0</v>
      </c>
      <c r="O38" s="2">
        <f>VLOOKUP(A1,Data!$A$1:$DZU$1000000,645,FALSE)</f>
        <v>0</v>
      </c>
      <c r="P38" s="2">
        <f>VLOOKUP(A1,Data!$A$1:$DZU$1000000,646,FALSE)</f>
        <v>0</v>
      </c>
      <c r="Q38" s="4">
        <f>VLOOKUP(A1,Data!$A$1:$DZU$1000000,647,FALSE)</f>
        <v>0</v>
      </c>
    </row>
    <row r="39" spans="1:17" ht="15" customHeight="1" x14ac:dyDescent="0.35">
      <c r="A39" s="2">
        <f>VLOOKUP(A1,Data!$A$1:$DZU$1000000,648,FALSE)</f>
        <v>0</v>
      </c>
      <c r="B39" s="2">
        <f>VLOOKUP(A1,Data!$A$1:$DZU$1000000,649,FALSE)</f>
        <v>0</v>
      </c>
      <c r="C39" s="2">
        <f>VLOOKUP(A1,Data!$A$1:$DZU$1000000,650,FALSE)</f>
        <v>0</v>
      </c>
      <c r="D39" s="2">
        <f>VLOOKUP(A1,Data!$A$1:$DZU$1000000,651,FALSE)</f>
        <v>0</v>
      </c>
      <c r="E39" s="2">
        <f>VLOOKUP(A1,Data!$A$1:$DZU$1000000,652,FALSE)</f>
        <v>0</v>
      </c>
      <c r="F39" s="2">
        <f>VLOOKUP(A1,Data!$A$1:$DZU$1000000,653,FALSE)</f>
        <v>0</v>
      </c>
      <c r="G39" s="2">
        <f>VLOOKUP(A1,Data!$A$1:$DZU$1000000,654,FALSE)</f>
        <v>0</v>
      </c>
      <c r="H39" s="2">
        <f>VLOOKUP(A1,Data!$A$1:$DZU$1000000,655,FALSE)</f>
        <v>0</v>
      </c>
      <c r="I39" s="2">
        <f>VLOOKUP(A1,Data!$A$1:$DZU$1000000,656,FALSE)</f>
        <v>0</v>
      </c>
      <c r="J39" s="2">
        <f>VLOOKUP(A1,Data!$A$1:$DZU$1000000,657,FALSE)</f>
        <v>0</v>
      </c>
      <c r="K39" s="2">
        <f>VLOOKUP(A1,Data!$A$1:$DZU$1000000,658,FALSE)</f>
        <v>0</v>
      </c>
      <c r="L39" s="2">
        <f>VLOOKUP(A1,Data!$A$1:$DZU$1000000,659,FALSE)</f>
        <v>0</v>
      </c>
      <c r="M39" s="2">
        <f>VLOOKUP(A1,Data!$A$1:$DZU$1000000,660,FALSE)</f>
        <v>0</v>
      </c>
      <c r="N39" s="2">
        <f>VLOOKUP(A1,Data!$A$1:$DZU$1000000,661,FALSE)</f>
        <v>0</v>
      </c>
      <c r="O39" s="2">
        <f>VLOOKUP(A1,Data!$A$1:$DZU$1000000,662,FALSE)</f>
        <v>0</v>
      </c>
      <c r="P39" s="2">
        <f>VLOOKUP(A1,Data!$A$1:$DZU$1000000,663,FALSE)</f>
        <v>0</v>
      </c>
      <c r="Q39" s="4">
        <f>VLOOKUP(A1,Data!$A$1:$DZU$1000000,664,FALSE)</f>
        <v>0</v>
      </c>
    </row>
    <row r="40" spans="1:17" ht="15" customHeight="1" x14ac:dyDescent="0.35">
      <c r="A40" s="43">
        <f>VLOOKUP(A1,Data!$A$1:$DZU$1000000,665,FALSE)</f>
        <v>0</v>
      </c>
      <c r="B40" s="36"/>
      <c r="C40" s="2">
        <f>VLOOKUP(A1,Data!$A$1:$DZU$1000000,667,FALSE)</f>
        <v>0</v>
      </c>
      <c r="D40" s="2">
        <f>VLOOKUP(A1,Data!$A$1:$DZU$1000000,668,FALSE)</f>
        <v>0</v>
      </c>
      <c r="E40" s="2">
        <f>VLOOKUP(A1,Data!$A$1:$DZU$1000000,669,FALSE)</f>
        <v>0</v>
      </c>
      <c r="F40" s="2">
        <f>VLOOKUP(A1,Data!$A$1:$DZU$1000000,670,FALSE)</f>
        <v>0</v>
      </c>
      <c r="G40" s="2">
        <f>VLOOKUP(A1,Data!$A$1:$DZU$1000000,671,FALSE)</f>
        <v>0</v>
      </c>
      <c r="H40" s="2">
        <f>VLOOKUP(A1,Data!$A$1:$DZU$1000000,672,FALSE)</f>
        <v>0</v>
      </c>
      <c r="I40" s="2">
        <f>VLOOKUP(A1,Data!$A$1:$DZU$1000000,673,FALSE)</f>
        <v>0</v>
      </c>
      <c r="J40" s="2">
        <f>VLOOKUP(A1,Data!$A$1:$DZU$1000000,674,FALSE)</f>
        <v>0</v>
      </c>
      <c r="K40" s="2">
        <f>VLOOKUP(A1,Data!$A$1:$DZU$1000000,675,FALSE)</f>
        <v>0</v>
      </c>
      <c r="L40" s="2">
        <f>VLOOKUP(A1,Data!$A$1:$DZU$1000000,676,FALSE)</f>
        <v>0</v>
      </c>
      <c r="M40" s="2">
        <f>VLOOKUP(A1,Data!$A$1:$DZU$1000000,677,FALSE)</f>
        <v>0</v>
      </c>
      <c r="N40" s="2">
        <f>VLOOKUP(A1,Data!$A$1:$DZU$1000000,678,FALSE)</f>
        <v>0</v>
      </c>
      <c r="O40" s="2">
        <f>VLOOKUP(A1,Data!$A$1:$DZU$1000000,679,FALSE)</f>
        <v>0</v>
      </c>
      <c r="P40" s="2">
        <f>VLOOKUP(A1,Data!$A$1:$DZU$1000000,680,FALSE)</f>
        <v>0</v>
      </c>
      <c r="Q40" s="4">
        <f>VLOOKUP(A1,Data!$A$1:$DZU$1000000,681,FALSE)</f>
        <v>0</v>
      </c>
    </row>
    <row r="41" spans="1:17" ht="14.5" x14ac:dyDescent="0.35">
      <c r="A41" s="2">
        <f>VLOOKUP(A1,Data!$A$1:$DZU$1000000,682,FALSE)</f>
        <v>0</v>
      </c>
      <c r="B41" s="2">
        <f>VLOOKUP(A1,Data!$A$1:$DZU$1000000,683,FALSE)</f>
        <v>0</v>
      </c>
      <c r="C41" s="2">
        <f>VLOOKUP(A1,Data!$A$1:$DZU$1000000,684,FALSE)</f>
        <v>0</v>
      </c>
      <c r="D41" s="2">
        <f>VLOOKUP(A1,Data!$A$1:$DZU$1000000,685,FALSE)</f>
        <v>0</v>
      </c>
      <c r="E41" s="2">
        <f>VLOOKUP(A1,Data!$A$1:$DZU$1000000,686,FALSE)</f>
        <v>0</v>
      </c>
      <c r="F41" s="2">
        <f>VLOOKUP(A1,Data!$A$1:$DZU$1000000,687,FALSE)</f>
        <v>0</v>
      </c>
      <c r="G41" s="2">
        <f>VLOOKUP(A1,Data!$A$1:$DZU$1000000,688,FALSE)</f>
        <v>0</v>
      </c>
      <c r="H41" s="2">
        <f>VLOOKUP(A1,Data!$A$1:$DZU$1000000,689,FALSE)</f>
        <v>0</v>
      </c>
      <c r="I41" s="2">
        <f>VLOOKUP(A1,Data!$A$1:$DZU$1000000,690,FALSE)</f>
        <v>0</v>
      </c>
      <c r="J41" s="2">
        <f>VLOOKUP(A1,Data!$A$1:$DZU$1000000,691,FALSE)</f>
        <v>0</v>
      </c>
      <c r="K41" s="2">
        <f>VLOOKUP(A1,Data!$A$1:$DZU$1000000,692,FALSE)</f>
        <v>0</v>
      </c>
      <c r="L41" s="2">
        <f>VLOOKUP(A1,Data!$A$1:$DZU$1000000,693,FALSE)</f>
        <v>0</v>
      </c>
      <c r="M41" s="2">
        <f>VLOOKUP(A1,Data!$A$1:$DZU$1000000,694,FALSE)</f>
        <v>0</v>
      </c>
      <c r="N41" s="2">
        <f>VLOOKUP(A1,Data!$A$1:$DZU$1000000,695,FALSE)</f>
        <v>0</v>
      </c>
      <c r="O41" s="2">
        <f>VLOOKUP(A1,Data!$A$1:$DZU$1000000,696,FALSE)</f>
        <v>0</v>
      </c>
      <c r="P41" s="2">
        <f>VLOOKUP(A1,Data!$A$1:$DZU$1000000,697,FALSE)</f>
        <v>0</v>
      </c>
      <c r="Q41" s="4">
        <f>VLOOKUP(A1,Data!$A$1:$DZU$1000000,698,FALSE)</f>
        <v>0</v>
      </c>
    </row>
    <row r="42" spans="1:17" thickBot="1" x14ac:dyDescent="0.4">
      <c r="A42" s="59">
        <f>VLOOKUP(A1,Data!$A$1:$DZU$1000000,699,FALSE)</f>
        <v>0</v>
      </c>
      <c r="B42" s="57"/>
      <c r="C42" s="57"/>
      <c r="D42" s="57"/>
      <c r="E42" s="58">
        <f>VLOOKUP(A1,Data!$A$1:$DZU$1000000,703,FALSE)</f>
        <v>0</v>
      </c>
      <c r="F42" s="38"/>
      <c r="G42" s="38"/>
      <c r="H42" s="39"/>
      <c r="I42" s="2">
        <f>VLOOKUP(A1,Data!$A$1:$DZU$1000000,707,FALSE)</f>
        <v>0</v>
      </c>
      <c r="J42" s="2">
        <f>VLOOKUP(A1,Data!$A$1:$DZU$1000000,708,FALSE)</f>
        <v>0</v>
      </c>
      <c r="K42" s="2">
        <f>VLOOKUP(A1,Data!$A$1:$DZU$1000000,709,FALSE)</f>
        <v>0</v>
      </c>
      <c r="L42" s="2">
        <f>VLOOKUP(A1,Data!$A$1:$DZU$1000000,710,FALSE)</f>
        <v>0</v>
      </c>
      <c r="M42" s="2">
        <f>VLOOKUP(A1,Data!$A$1:$DZU$1000000,711,FALSE)</f>
        <v>0</v>
      </c>
      <c r="N42" s="2">
        <f>VLOOKUP(A1,Data!$A$1:$DZU$1000000,712,FALSE)</f>
        <v>0</v>
      </c>
      <c r="O42" s="2">
        <f>VLOOKUP(A1,Data!$A$1:$DZU$1000000,713,FALSE)</f>
        <v>0</v>
      </c>
      <c r="P42" s="2">
        <f>VLOOKUP(A1,Data!$A$1:$DZU$1000000,714,FALSE)</f>
        <v>0</v>
      </c>
      <c r="Q42" s="4">
        <f>VLOOKUP(A1,Data!$A$1:$DZU$1000000,715,FALSE)</f>
        <v>0</v>
      </c>
    </row>
    <row r="43" spans="1:17" ht="14.5" x14ac:dyDescent="0.35">
      <c r="A43" s="43">
        <f>VLOOKUP(A1,Data!$A$1:$DZU$1000000,716,FALSE)</f>
        <v>0</v>
      </c>
      <c r="B43" s="36"/>
      <c r="C43" s="36"/>
      <c r="D43" s="2">
        <f>VLOOKUP(A1,Data!$A$1:$DZU$1000000,719,FALSE)</f>
        <v>0</v>
      </c>
      <c r="E43" s="2">
        <f>VLOOKUP(A1,Data!$A$1:$DZU$1000000,720,FALSE)</f>
        <v>0</v>
      </c>
      <c r="F43" s="2">
        <f>VLOOKUP(A1,Data!$A$1:$DZU$1000000,721,FALSE)</f>
        <v>0</v>
      </c>
      <c r="G43" s="2">
        <f>VLOOKUP(A1,Data!$A$1:$DZU$1000000,722,FALSE)</f>
        <v>0</v>
      </c>
      <c r="H43" s="2">
        <f>VLOOKUP(A1,Data!$A$1:$DZU$1000000,723,FALSE)</f>
        <v>0</v>
      </c>
      <c r="I43" s="2">
        <f>VLOOKUP(A1,Data!$A$1:$DZU$1000000,724,FALSE)</f>
        <v>0</v>
      </c>
      <c r="J43" s="2">
        <f>VLOOKUP(A1,Data!$A$1:$DZU$1000000,725,FALSE)</f>
        <v>0</v>
      </c>
      <c r="K43" s="2">
        <f>VLOOKUP(A1,Data!$A$1:$DZU$1000000,726,FALSE)</f>
        <v>0</v>
      </c>
      <c r="L43" s="2">
        <f>VLOOKUP(A1,Data!$A$1:$DZU$1000000,727,FALSE)</f>
        <v>0</v>
      </c>
      <c r="M43" s="2">
        <f>VLOOKUP(A1,Data!$A$1:$DZU$1000000,728,FALSE)</f>
        <v>0</v>
      </c>
      <c r="N43" s="2">
        <f>VLOOKUP(A1,Data!$A$1:$DZU$1000000,729,FALSE)</f>
        <v>0</v>
      </c>
      <c r="O43" s="2">
        <f>VLOOKUP(A1,Data!$A$1:$DZU$1000000,730,FALSE)</f>
        <v>0</v>
      </c>
      <c r="P43" s="2">
        <f>VLOOKUP(A1,Data!$A$1:$DZU$1000000,731,FALSE)</f>
        <v>0</v>
      </c>
      <c r="Q43" s="4">
        <f>VLOOKUP(A1,Data!$A$1:$DZU$1000000,732,FALSE)</f>
        <v>0</v>
      </c>
    </row>
    <row r="44" spans="1:17" thickBot="1" x14ac:dyDescent="0.4">
      <c r="A44" s="10">
        <f>VLOOKUP(A1,Data!$A$1:$DZU$1000000,733,FALSE)</f>
        <v>0</v>
      </c>
      <c r="B44" s="56">
        <f>VLOOKUP(A1,Data!$A$1:$DZU$1000000,734,FALSE)</f>
        <v>0</v>
      </c>
      <c r="C44" s="57"/>
      <c r="D44" s="57"/>
      <c r="E44" s="10">
        <f>VLOOKUP(A1,Data!$A$1:$DZU$1000000,737,FALSE)</f>
        <v>0</v>
      </c>
      <c r="F44" s="58">
        <f>VLOOKUP(A1,Data!$A$1:$DZU$1000000,738,FALSE)</f>
        <v>0</v>
      </c>
      <c r="G44" s="38"/>
      <c r="H44" s="39"/>
      <c r="I44" s="2">
        <f>VLOOKUP(A1,Data!$A$1:$DZU$1000000,741,FALSE)</f>
        <v>0</v>
      </c>
      <c r="J44" s="2">
        <f>VLOOKUP(A1,Data!$A$1:$DZU$1000000,742,FALSE)</f>
        <v>0</v>
      </c>
      <c r="K44" s="2">
        <f>VLOOKUP(A1,Data!$A$1:$DZU$1000000,743,FALSE)</f>
        <v>0</v>
      </c>
      <c r="L44" s="2">
        <f>VLOOKUP(A1,Data!$A$1:$DZU$1000000,744,FALSE)</f>
        <v>0</v>
      </c>
      <c r="M44" s="2">
        <f>VLOOKUP(A1,Data!$A$1:$DZU$1000000,745,FALSE)</f>
        <v>0</v>
      </c>
      <c r="N44" s="2">
        <f>VLOOKUP(A1,Data!$A$1:$DZU$1000000,746,FALSE)</f>
        <v>0</v>
      </c>
      <c r="O44" s="2">
        <f>VLOOKUP(A1,Data!$A$1:$DZU$1000000,747,FALSE)</f>
        <v>0</v>
      </c>
      <c r="P44" s="2">
        <f>VLOOKUP(A1,Data!$A$1:$DZU$1000000,748,FALSE)</f>
        <v>0</v>
      </c>
      <c r="Q44" s="4">
        <f>VLOOKUP(A1,Data!$A$1:$DZU$1000000,749,FALSE)</f>
        <v>0</v>
      </c>
    </row>
    <row r="45" spans="1:17" ht="14.5" x14ac:dyDescent="0.35">
      <c r="A45" s="2">
        <f>VLOOKUP(A1,Data!$A$1:$DZU$1000000,750,FALSE)</f>
        <v>0</v>
      </c>
      <c r="B45" s="2">
        <f>VLOOKUP(A1,Data!$A$1:$DZU$1000000,751,FALSE)</f>
        <v>0</v>
      </c>
      <c r="C45" s="2">
        <f>VLOOKUP(A1,Data!$A$1:$DZU$1000000,752,FALSE)</f>
        <v>0</v>
      </c>
      <c r="D45" s="2">
        <f>VLOOKUP(A1,Data!$A$1:$DZU$1000000,753,FALSE)</f>
        <v>0</v>
      </c>
      <c r="E45" s="2">
        <f>VLOOKUP(A1,Data!$A$1:$DZU$1000000,754,FALSE)</f>
        <v>0</v>
      </c>
      <c r="F45" s="2">
        <f>VLOOKUP(A1,Data!$A$1:$DZU$1000000,755,FALSE)</f>
        <v>0</v>
      </c>
      <c r="G45" s="2">
        <f>VLOOKUP(A1,Data!$A$1:$DZU$1000000,756,FALSE)</f>
        <v>0</v>
      </c>
      <c r="H45" s="2">
        <f>VLOOKUP(A1,Data!$A$1:$DZU$1000000,757,FALSE)</f>
        <v>0</v>
      </c>
      <c r="I45" s="2">
        <f>VLOOKUP(A1,Data!$A$1:$DZU$1000000,758,FALSE)</f>
        <v>0</v>
      </c>
      <c r="J45" s="2">
        <f>VLOOKUP(A1,Data!$A$1:$DZU$1000000,759,FALSE)</f>
        <v>0</v>
      </c>
      <c r="K45" s="2">
        <f>VLOOKUP(A1,Data!$A$1:$DZU$1000000,760,FALSE)</f>
        <v>0</v>
      </c>
      <c r="L45" s="2">
        <f>VLOOKUP(A1,Data!$A$1:$DZU$1000000,761,FALSE)</f>
        <v>0</v>
      </c>
      <c r="M45" s="2">
        <f>VLOOKUP(A1,Data!$A$1:$DZU$1000000,762,FALSE)</f>
        <v>0</v>
      </c>
      <c r="N45" s="2">
        <f>VLOOKUP(A1,Data!$A$1:$DZU$1000000,763,FALSE)</f>
        <v>0</v>
      </c>
      <c r="O45" s="2">
        <f>VLOOKUP(A1,Data!$A$1:$DZU$1000000,764,FALSE)</f>
        <v>0</v>
      </c>
      <c r="P45" s="2">
        <f>VLOOKUP(A1,Data!$A$1:$DZU$1000000,765,FALSE)</f>
        <v>0</v>
      </c>
      <c r="Q45" s="4">
        <f>VLOOKUP(A1,Data!$A$1:$DZU$1000000,766,FALSE)</f>
        <v>0</v>
      </c>
    </row>
    <row r="46" spans="1:17" thickBot="1" x14ac:dyDescent="0.4">
      <c r="A46" s="10">
        <f>VLOOKUP(A1,Data!$A$1:$DZU$1000000,767,FALSE)</f>
        <v>0</v>
      </c>
      <c r="B46" s="10">
        <f>VLOOKUP(A1,Data!$A$1:$DZU$1000000,768,FALSE)</f>
        <v>0</v>
      </c>
      <c r="C46" s="2">
        <f>VLOOKUP(A1,Data!$A$1:$DZU$1000000,769,FALSE)</f>
        <v>0</v>
      </c>
      <c r="D46" s="10">
        <f>VLOOKUP(A1,Data!$A$1:$DZU$1000000,770,FALSE)</f>
        <v>0</v>
      </c>
      <c r="E46" s="14">
        <f>VLOOKUP(A1,Data!$A$1:$DZU$1000000,771,FALSE)</f>
        <v>0</v>
      </c>
      <c r="F46" s="10">
        <f>VLOOKUP(A1,Data!$A$1:$DZU$1000000,772,FALSE)</f>
        <v>0</v>
      </c>
      <c r="G46" s="15">
        <f>VLOOKUP(A1,Data!$A$1:$DZU$1000000,773,FALSE)</f>
        <v>0</v>
      </c>
      <c r="H46" s="16">
        <f>VLOOKUP(A1,Data!$A$1:$DZU$1000000,774,FALSE)</f>
        <v>0</v>
      </c>
      <c r="I46" s="2">
        <f>VLOOKUP(A1,Data!$A$1:$DZU$1000000,775,FALSE)</f>
        <v>0</v>
      </c>
      <c r="J46" s="2">
        <f>VLOOKUP(A1,Data!$A$1:$DZU$1000000,776,FALSE)</f>
        <v>0</v>
      </c>
      <c r="K46" s="2">
        <f>VLOOKUP(A1,Data!$A$1:$DZU$1000000,777,FALSE)</f>
        <v>0</v>
      </c>
      <c r="L46" s="2">
        <f>VLOOKUP(A1,Data!$A$1:$DZU$1000000,778,FALSE)</f>
        <v>0</v>
      </c>
      <c r="M46" s="2">
        <f>VLOOKUP(A1,Data!$A$1:$DZU$1000000,779,FALSE)</f>
        <v>0</v>
      </c>
      <c r="N46" s="2">
        <f>VLOOKUP(A1,Data!$A$1:$DZU$1000000,780,FALSE)</f>
        <v>0</v>
      </c>
      <c r="O46" s="2">
        <f>VLOOKUP(A1,Data!$A$1:$DZU$1000000,781,FALSE)</f>
        <v>0</v>
      </c>
      <c r="P46" s="2">
        <f>VLOOKUP(A1,Data!$A$1:$DZU$1000000,782,FALSE)</f>
        <v>0</v>
      </c>
      <c r="Q46" s="4">
        <f>VLOOKUP(A1,Data!$A$1:$DZU$1000000,783,FALSE)</f>
        <v>0</v>
      </c>
    </row>
    <row r="47" spans="1:17" ht="14.5" x14ac:dyDescent="0.35">
      <c r="A47" s="2">
        <f>VLOOKUP(A1,Data!$A$1:$DZU$1000000,784,FALSE)</f>
        <v>0</v>
      </c>
      <c r="B47" s="2">
        <f>VLOOKUP(A1,Data!$A$1:$DZU$1000000,785,FALSE)</f>
        <v>0</v>
      </c>
      <c r="C47" s="2">
        <f>VLOOKUP(A1,Data!$A$1:$DZU$1000000,786,FALSE)</f>
        <v>0</v>
      </c>
      <c r="D47" s="2">
        <f>VLOOKUP(A1,Data!$A$1:$DZU$1000000,787,FALSE)</f>
        <v>0</v>
      </c>
      <c r="E47" s="2">
        <f>VLOOKUP(A1,Data!$A$1:$DZU$1000000,788,FALSE)</f>
        <v>0</v>
      </c>
      <c r="F47" s="2">
        <f>VLOOKUP(A1,Data!$A$1:$DZU$1000000,789,FALSE)</f>
        <v>0</v>
      </c>
      <c r="G47" s="2">
        <f>VLOOKUP(A1,Data!$A$1:$DZU$1000000,790,FALSE)</f>
        <v>0</v>
      </c>
      <c r="H47" s="2">
        <f>VLOOKUP(A1,Data!$A$1:$DZU$1000000,791,FALSE)</f>
        <v>0</v>
      </c>
      <c r="I47" s="2">
        <f>VLOOKUP(A1,Data!$A$1:$DZU$1000000,792,FALSE)</f>
        <v>0</v>
      </c>
      <c r="J47" s="2">
        <f>VLOOKUP(A1,Data!$A$1:$DZU$1000000,793,FALSE)</f>
        <v>0</v>
      </c>
      <c r="K47" s="2">
        <f>VLOOKUP(A1,Data!$A$1:$DZU$1000000,794,FALSE)</f>
        <v>0</v>
      </c>
      <c r="L47" s="2">
        <f>VLOOKUP(A1,Data!$A$1:$DZU$1000000,795,FALSE)</f>
        <v>0</v>
      </c>
      <c r="M47" s="2">
        <f>VLOOKUP(A1,Data!$A$1:$DZU$1000000,796,FALSE)</f>
        <v>0</v>
      </c>
      <c r="N47" s="2">
        <f>VLOOKUP(A1,Data!$A$1:$DZU$1000000,797,FALSE)</f>
        <v>0</v>
      </c>
      <c r="O47" s="2">
        <f>VLOOKUP(A1,Data!$A$1:$DZU$1000000,798,FALSE)</f>
        <v>0</v>
      </c>
      <c r="P47" s="2">
        <f>VLOOKUP(A1,Data!$A$1:$DZU$1000000,799,FALSE)</f>
        <v>0</v>
      </c>
      <c r="Q47" s="4">
        <f>VLOOKUP(A1,Data!$A$1:$DZU$1000000,800,FALSE)</f>
        <v>0</v>
      </c>
    </row>
    <row r="48" spans="1:17" ht="14.5" x14ac:dyDescent="0.35">
      <c r="A48" s="43">
        <f>VLOOKUP(A1,Data!$A$1:$DZU$1000000,801,FALSE)</f>
        <v>0</v>
      </c>
      <c r="B48" s="36"/>
      <c r="C48" s="58">
        <f>VLOOKUP(A1,Data!$A$1:$DZU$1000000,803,FALSE)</f>
        <v>0</v>
      </c>
      <c r="D48" s="38"/>
      <c r="E48" s="38"/>
      <c r="F48" s="38"/>
      <c r="G48" s="38"/>
      <c r="H48" s="39"/>
      <c r="I48" s="17">
        <f>VLOOKUP(A1,Data!$A$1:$DZU$1000000,809,FALSE)</f>
        <v>0</v>
      </c>
      <c r="J48" s="17">
        <f>VLOOKUP(A1,Data!$A$1:$DZU$1000000,810,FALSE)</f>
        <v>0</v>
      </c>
      <c r="K48" s="17">
        <f>VLOOKUP(A1,Data!$A$1:$DZU$1000000,811,FALSE)</f>
        <v>0</v>
      </c>
      <c r="L48" s="17">
        <f>VLOOKUP(A1,Data!$A$1:$DZU$1000000,812,FALSE)</f>
        <v>0</v>
      </c>
      <c r="M48" s="17">
        <f>VLOOKUP(A1,Data!$A$1:$DZU$1000000,813,FALSE)</f>
        <v>0</v>
      </c>
      <c r="N48" s="17">
        <f>VLOOKUP(A1,Data!$A$1:$DZU$1000000,814,FALSE)</f>
        <v>0</v>
      </c>
      <c r="O48" s="17">
        <f>VLOOKUP(A1,Data!$A$1:$DZU$1000000,815,FALSE)</f>
        <v>0</v>
      </c>
      <c r="P48" s="17">
        <f>VLOOKUP(A1,Data!$A$1:$DZU$1000000,816,FALSE)</f>
        <v>0</v>
      </c>
      <c r="Q48" s="18">
        <f>VLOOKUP(A1,Data!$A$1:$DZU$1000000,817,FALSE)</f>
        <v>0</v>
      </c>
    </row>
    <row r="49" spans="1:17" ht="15" customHeight="1" x14ac:dyDescent="0.35">
      <c r="A49">
        <f>VLOOKUP(A1,Data!$A$1:$DZU$1000000,818,FALSE)</f>
        <v>0</v>
      </c>
      <c r="B49">
        <f>VLOOKUP(A1,Data!$A$1:$DZU$1000000,819,FALSE)</f>
        <v>0</v>
      </c>
      <c r="C49">
        <f>VLOOKUP(A1,Data!$A$1:$DZU$1000000,820,FALSE)</f>
        <v>0</v>
      </c>
      <c r="D49">
        <f>VLOOKUP(A1,Data!$A$1:$DZU$1000000,821,FALSE)</f>
        <v>0</v>
      </c>
      <c r="E49">
        <f>VLOOKUP(A1,Data!$A$1:$DZU$1000000,822,FALSE)</f>
        <v>0</v>
      </c>
      <c r="F49">
        <f>VLOOKUP(A1,Data!$A$1:$DZU$1000000,823,FALSE)</f>
        <v>0</v>
      </c>
      <c r="G49">
        <f>VLOOKUP(A1,Data!$A$1:$DZU$1000000,824,FALSE)</f>
        <v>0</v>
      </c>
      <c r="H49">
        <f>VLOOKUP(A1,Data!$A$1:$DZU$1000000,825,FALSE)</f>
        <v>0</v>
      </c>
      <c r="I49">
        <f>VLOOKUP(A1,Data!$A$1:$DZU$1000000,826,FALSE)</f>
        <v>0</v>
      </c>
      <c r="J49">
        <f>VLOOKUP(A1,Data!$A$1:$DZU$1000000,827,FALSE)</f>
        <v>0</v>
      </c>
      <c r="K49">
        <f>VLOOKUP(A1,Data!$A$1:$DZU$1000000,828,FALSE)</f>
        <v>0</v>
      </c>
      <c r="L49">
        <f>VLOOKUP(A1,Data!$A$1:$DZU$1000000,829,FALSE)</f>
        <v>0</v>
      </c>
      <c r="M49">
        <f>VLOOKUP(A1,Data!$A$1:$DZU$1000000,830,FALSE)</f>
        <v>0</v>
      </c>
      <c r="N49">
        <f>VLOOKUP(A1,Data!$A$1:$DZU$1000000,831,FALSE)</f>
        <v>0</v>
      </c>
      <c r="O49">
        <f>VLOOKUP(A1,Data!$A$1:$DZU$1000000,832,FALSE)</f>
        <v>0</v>
      </c>
      <c r="P49">
        <f>VLOOKUP(A1,Data!$A$1:$DZU$1000000,833,FALSE)</f>
        <v>0</v>
      </c>
      <c r="Q49">
        <f>VLOOKUP(A1,Data!$A$1:$DZU$1000000,834,FALSE)</f>
        <v>0</v>
      </c>
    </row>
    <row r="50" spans="1:17" ht="15" customHeight="1" x14ac:dyDescent="0.35">
      <c r="A50">
        <f>VLOOKUP(A1,Data!$A$1:$DZU$1000000,835,FALSE)</f>
        <v>0</v>
      </c>
      <c r="B50">
        <f>VLOOKUP(A1,Data!$A$1:$DZU$1000000,836,FALSE)</f>
        <v>0</v>
      </c>
      <c r="C50">
        <f>VLOOKUP(A1,Data!$A$1:$DZU$1000000,837,FALSE)</f>
        <v>0</v>
      </c>
      <c r="D50">
        <f>VLOOKUP(A1,Data!$A$1:$DZU$1000000,838,FALSE)</f>
        <v>0</v>
      </c>
      <c r="E50">
        <f>VLOOKUP(A1,Data!$A$1:$DZU$1000000,839,FALSE)</f>
        <v>0</v>
      </c>
      <c r="F50">
        <f>VLOOKUP(A1,Data!$A$1:$DZU$1000000,840,FALSE)</f>
        <v>0</v>
      </c>
      <c r="G50">
        <f>VLOOKUP(A1,Data!$A$1:$DZU$1000000,841,FALSE)</f>
        <v>0</v>
      </c>
      <c r="H50">
        <f>VLOOKUP(A1,Data!$A$1:$DZU$1000000,842,FALSE)</f>
        <v>0</v>
      </c>
      <c r="I50">
        <f>VLOOKUP(A1,Data!$A$1:$DZU$1000000,843,FALSE)</f>
        <v>0</v>
      </c>
      <c r="J50">
        <f>VLOOKUP(A1,Data!$A$1:$DZU$1000000,844,FALSE)</f>
        <v>0</v>
      </c>
      <c r="K50">
        <f>VLOOKUP(A1,Data!$A$1:$DZU$1000000,845,FALSE)</f>
        <v>0</v>
      </c>
      <c r="L50">
        <f>VLOOKUP(A1,Data!$A$1:$DZU$1000000,846,FALSE)</f>
        <v>0</v>
      </c>
      <c r="M50">
        <f>VLOOKUP(A1,Data!$A$1:$DZU$1000000,847,FALSE)</f>
        <v>0</v>
      </c>
      <c r="N50">
        <f>VLOOKUP(A1,Data!$A$1:$DZU$1000000,848,FALSE)</f>
        <v>0</v>
      </c>
      <c r="O50">
        <f>VLOOKUP(A1,Data!$A$1:$DZU$1000000,849,FALSE)</f>
        <v>0</v>
      </c>
      <c r="P50">
        <f>VLOOKUP(A1,Data!$A$1:$DZU$1000000,850,FALSE)</f>
        <v>0</v>
      </c>
      <c r="Q50">
        <f>VLOOKUP(A1,Data!$A$1:$DZU$1000000,851,FALSE)</f>
        <v>0</v>
      </c>
    </row>
    <row r="51" spans="1:17" ht="15" customHeight="1" x14ac:dyDescent="0.35">
      <c r="A51">
        <f>VLOOKUP(A1,Data!$A$1:$DZU$1000000,852,FALSE)</f>
        <v>0</v>
      </c>
      <c r="B51">
        <f>VLOOKUP(A1,Data!$A$1:$DZU$1000000,853,FALSE)</f>
        <v>0</v>
      </c>
      <c r="C51">
        <f>VLOOKUP(A1,Data!$A$1:$DZU$1000000,854,FALSE)</f>
        <v>0</v>
      </c>
      <c r="D51">
        <f>VLOOKUP(A1,Data!$A$1:$DZU$1000000,855,FALSE)</f>
        <v>0</v>
      </c>
      <c r="E51">
        <f>VLOOKUP(A1,Data!$A$1:$DZU$1000000,856,FALSE)</f>
        <v>0</v>
      </c>
      <c r="F51">
        <f>VLOOKUP(A1,Data!$A$1:$DZU$1000000,857,FALSE)</f>
        <v>0</v>
      </c>
      <c r="G51">
        <f>VLOOKUP(A1,Data!$A$1:$DZU$1000000,858,FALSE)</f>
        <v>0</v>
      </c>
      <c r="H51">
        <f>VLOOKUP(A1,Data!$A$1:$DZU$1000000,859,FALSE)</f>
        <v>0</v>
      </c>
      <c r="I51">
        <f>VLOOKUP(A1,Data!$A$1:$DZU$1000000,860,FALSE)</f>
        <v>0</v>
      </c>
      <c r="J51">
        <f>VLOOKUP(A1,Data!$A$1:$DZU$1000000,861,FALSE)</f>
        <v>0</v>
      </c>
      <c r="K51">
        <f>VLOOKUP(A1,Data!$A$1:$DZU$1000000,862,FALSE)</f>
        <v>0</v>
      </c>
      <c r="L51">
        <f>VLOOKUP(A1,Data!$A$1:$DZU$1000000,863,FALSE)</f>
        <v>0</v>
      </c>
      <c r="M51">
        <f>VLOOKUP(A1,Data!$A$1:$DZU$1000000,864,FALSE)</f>
        <v>0</v>
      </c>
      <c r="N51">
        <f>VLOOKUP(A1,Data!$A$1:$DZU$1000000,865,FALSE)</f>
        <v>0</v>
      </c>
      <c r="O51">
        <f>VLOOKUP(A1,Data!$A$1:$DZU$1000000,866,FALSE)</f>
        <v>0</v>
      </c>
      <c r="P51">
        <f>VLOOKUP(A1,Data!$A$1:$DZU$1000000,867,FALSE)</f>
        <v>0</v>
      </c>
      <c r="Q51">
        <f>VLOOKUP(A1,Data!$A$1:$DZU$1000000,868,FALSE)</f>
        <v>0</v>
      </c>
    </row>
    <row r="52" spans="1:17" ht="15" customHeight="1" x14ac:dyDescent="0.35">
      <c r="A52">
        <f>VLOOKUP(A1,Data!$A$1:$DZU$1000000,869,FALSE)</f>
        <v>0</v>
      </c>
      <c r="B52">
        <f>VLOOKUP(A1,Data!$A$1:$DZU$1000000,870,FALSE)</f>
        <v>0</v>
      </c>
      <c r="C52">
        <f>VLOOKUP(A1,Data!$A$1:$DZU$1000000,871,FALSE)</f>
        <v>0</v>
      </c>
      <c r="D52">
        <f>VLOOKUP(A1,Data!$A$1:$DZU$1000000,872,FALSE)</f>
        <v>0</v>
      </c>
      <c r="E52">
        <f>VLOOKUP(A1,Data!$A$1:$DZU$1000000,873,FALSE)</f>
        <v>0</v>
      </c>
      <c r="F52">
        <f>VLOOKUP(A1,Data!$A$1:$DZU$1000000,874,FALSE)</f>
        <v>0</v>
      </c>
      <c r="G52">
        <f>VLOOKUP(A1,Data!$A$1:$DZU$1000000,875,FALSE)</f>
        <v>0</v>
      </c>
      <c r="H52">
        <f>VLOOKUP(A1,Data!$A$1:$DZU$1000000,876,FALSE)</f>
        <v>0</v>
      </c>
      <c r="I52">
        <f>VLOOKUP(A1,Data!$A$1:$DZU$1000000,877,FALSE)</f>
        <v>0</v>
      </c>
      <c r="J52">
        <f>VLOOKUP(A1,Data!$A$1:$DZU$1000000,878,FALSE)</f>
        <v>0</v>
      </c>
      <c r="K52">
        <f>VLOOKUP(A1,Data!$A$1:$DZU$1000000,879,FALSE)</f>
        <v>0</v>
      </c>
      <c r="L52">
        <f>VLOOKUP(A1,Data!$A$1:$DZU$1000000,880,FALSE)</f>
        <v>0</v>
      </c>
      <c r="M52">
        <f>VLOOKUP(A1,Data!$A$1:$DZU$1000000,881,FALSE)</f>
        <v>0</v>
      </c>
      <c r="N52">
        <f>VLOOKUP(A1,Data!$A$1:$DZU$1000000,882,FALSE)</f>
        <v>0</v>
      </c>
      <c r="O52">
        <f>VLOOKUP(A1,Data!$A$1:$DZU$1000000,883,FALSE)</f>
        <v>0</v>
      </c>
      <c r="P52">
        <f>VLOOKUP(A1,Data!$A$1:$DZU$1000000,884,FALSE)</f>
        <v>0</v>
      </c>
      <c r="Q52">
        <f>VLOOKUP(A1,Data!$A$1:$DZU$1000000,885,FALSE)</f>
        <v>0</v>
      </c>
    </row>
    <row r="53" spans="1:17" ht="15" customHeight="1" x14ac:dyDescent="0.35">
      <c r="A53">
        <f>VLOOKUP(A1,Data!$A$1:$DZU$1000000,886,FALSE)</f>
        <v>0</v>
      </c>
      <c r="B53">
        <f>VLOOKUP(A1,Data!$A$1:$DZU$1000000,887,FALSE)</f>
        <v>0</v>
      </c>
      <c r="C53">
        <f>VLOOKUP(A1,Data!$A$1:$DZU$1000000,888,FALSE)</f>
        <v>0</v>
      </c>
      <c r="D53">
        <f>VLOOKUP(A1,Data!$A$1:$DZU$1000000,889,FALSE)</f>
        <v>0</v>
      </c>
      <c r="E53">
        <f>VLOOKUP(A1,Data!$A$1:$DZU$1000000,890,FALSE)</f>
        <v>0</v>
      </c>
      <c r="F53">
        <f>VLOOKUP(A1,Data!$A$1:$DZU$1000000,891,FALSE)</f>
        <v>0</v>
      </c>
      <c r="G53">
        <f>VLOOKUP(A1,Data!$A$1:$DZU$1000000,892,FALSE)</f>
        <v>0</v>
      </c>
      <c r="H53">
        <f>VLOOKUP(A1,Data!$A$1:$DZU$1000000,893,FALSE)</f>
        <v>0</v>
      </c>
      <c r="I53">
        <f>VLOOKUP(A1,Data!$A$1:$DZU$1000000,894,FALSE)</f>
        <v>0</v>
      </c>
      <c r="J53">
        <f>VLOOKUP(A1,Data!$A$1:$DZU$1000000,895,FALSE)</f>
        <v>0</v>
      </c>
      <c r="K53">
        <f>VLOOKUP(A1,Data!$A$1:$DZU$1000000,896,FALSE)</f>
        <v>0</v>
      </c>
      <c r="L53">
        <f>VLOOKUP(A1,Data!$A$1:$DZU$1000000,897,FALSE)</f>
        <v>0</v>
      </c>
      <c r="M53">
        <f>VLOOKUP(A1,Data!$A$1:$DZU$1000000,898,FALSE)</f>
        <v>0</v>
      </c>
      <c r="N53">
        <f>VLOOKUP(A1,Data!$A$1:$DZU$1000000,899,FALSE)</f>
        <v>0</v>
      </c>
      <c r="O53">
        <f>VLOOKUP(A1,Data!$A$1:$DZU$1000000,900,FALSE)</f>
        <v>0</v>
      </c>
      <c r="P53">
        <f>VLOOKUP(A1,Data!$A$1:$DZU$1000000,901,FALSE)</f>
        <v>0</v>
      </c>
      <c r="Q53">
        <f>VLOOKUP(A1,Data!$A$1:$DZU$1000000,902,FALSE)</f>
        <v>0</v>
      </c>
    </row>
    <row r="54" spans="1:17" ht="15" customHeight="1" x14ac:dyDescent="0.35">
      <c r="A54">
        <f>VLOOKUP(A1,Data!$A$1:$DZU$1000000,903,FALSE)</f>
        <v>0</v>
      </c>
      <c r="B54">
        <f>VLOOKUP(A1,Data!$A$1:$DZU$1000000,904,FALSE)</f>
        <v>0</v>
      </c>
      <c r="C54">
        <f>VLOOKUP(A1,Data!$A$1:$DZU$1000000,905,FALSE)</f>
        <v>0</v>
      </c>
      <c r="D54">
        <f>VLOOKUP(A1,Data!$A$1:$DZU$1000000,906,FALSE)</f>
        <v>0</v>
      </c>
      <c r="E54">
        <f>VLOOKUP(A1,Data!$A$1:$DZU$1000000,907,FALSE)</f>
        <v>0</v>
      </c>
      <c r="F54">
        <f>VLOOKUP(A1,Data!$A$1:$DZU$1000000,908,FALSE)</f>
        <v>0</v>
      </c>
      <c r="G54">
        <f>VLOOKUP(A1,Data!$A$1:$DZU$1000000,909,FALSE)</f>
        <v>0</v>
      </c>
      <c r="H54">
        <f>VLOOKUP(A1,Data!$A$1:$DZU$1000000,910,FALSE)</f>
        <v>0</v>
      </c>
      <c r="I54">
        <f>VLOOKUP(A1,Data!$A$1:$DZU$1000000,911,FALSE)</f>
        <v>0</v>
      </c>
      <c r="J54">
        <f>VLOOKUP(A1,Data!$A$1:$DZU$1000000,912,FALSE)</f>
        <v>0</v>
      </c>
      <c r="K54">
        <f>VLOOKUP(A1,Data!$A$1:$DZU$1000000,913,FALSE)</f>
        <v>0</v>
      </c>
      <c r="L54">
        <f>VLOOKUP(A1,Data!$A$1:$DZU$1000000,914,FALSE)</f>
        <v>0</v>
      </c>
      <c r="M54">
        <f>VLOOKUP(A1,Data!$A$1:$DZU$1000000,915,FALSE)</f>
        <v>0</v>
      </c>
      <c r="N54">
        <f>VLOOKUP(A1,Data!$A$1:$DZU$1000000,916,FALSE)</f>
        <v>0</v>
      </c>
      <c r="O54">
        <f>VLOOKUP(A1,Data!$A$1:$DZU$1000000,917,FALSE)</f>
        <v>0</v>
      </c>
      <c r="P54">
        <f>VLOOKUP(A1,Data!$A$1:$DZU$1000000,918,FALSE)</f>
        <v>0</v>
      </c>
      <c r="Q54">
        <f>VLOOKUP(A1,Data!$A$1:$DZU$1000000,919,FALSE)</f>
        <v>0</v>
      </c>
    </row>
    <row r="55" spans="1:17" ht="15" customHeight="1" x14ac:dyDescent="0.35">
      <c r="A55">
        <f>VLOOKUP(A1,Data!$A$1:$DZU$1000000,920,FALSE)</f>
        <v>0</v>
      </c>
      <c r="B55">
        <f>VLOOKUP(A1,Data!$A$1:$DZU$1000000,921,FALSE)</f>
        <v>0</v>
      </c>
      <c r="C55">
        <f>VLOOKUP(A1,Data!$A$1:$DZU$1000000,922,FALSE)</f>
        <v>0</v>
      </c>
      <c r="D55">
        <f>VLOOKUP(A1,Data!$A$1:$DZU$1000000,923,FALSE)</f>
        <v>0</v>
      </c>
      <c r="E55">
        <f>VLOOKUP(A1,Data!$A$1:$DZU$1000000,924,FALSE)</f>
        <v>0</v>
      </c>
      <c r="F55">
        <f>VLOOKUP(A1,Data!$A$1:$DZU$1000000,925,FALSE)</f>
        <v>0</v>
      </c>
      <c r="G55">
        <f>VLOOKUP(A1,Data!$A$1:$DZU$1000000,926,FALSE)</f>
        <v>0</v>
      </c>
      <c r="H55">
        <f>VLOOKUP(A1,Data!$A$1:$DZU$1000000,927,FALSE)</f>
        <v>0</v>
      </c>
      <c r="I55">
        <f>VLOOKUP(A1,Data!$A$1:$DZU$1000000,928,FALSE)</f>
        <v>0</v>
      </c>
      <c r="J55">
        <f>VLOOKUP(A1,Data!$A$1:$DZU$1000000,929,FALSE)</f>
        <v>0</v>
      </c>
      <c r="K55">
        <f>VLOOKUP(A1,Data!$A$1:$DZU$1000000,930,FALSE)</f>
        <v>0</v>
      </c>
      <c r="L55">
        <f>VLOOKUP(A1,Data!$A$1:$DZU$1000000,931,FALSE)</f>
        <v>0</v>
      </c>
      <c r="M55">
        <f>VLOOKUP(A1,Data!$A$1:$DZU$1000000,932,FALSE)</f>
        <v>0</v>
      </c>
      <c r="N55">
        <f>VLOOKUP(A1,Data!$A$1:$DZU$1000000,933,FALSE)</f>
        <v>0</v>
      </c>
      <c r="O55">
        <f>VLOOKUP(A1,Data!$A$1:$DZU$1000000,934,FALSE)</f>
        <v>0</v>
      </c>
      <c r="P55">
        <f>VLOOKUP(A1,Data!$A$1:$DZU$1000000,935,FALSE)</f>
        <v>0</v>
      </c>
      <c r="Q55">
        <f>VLOOKUP(A1,Data!$A$1:$DZU$1000000,936,FALSE)</f>
        <v>0</v>
      </c>
    </row>
    <row r="56" spans="1:17" ht="15" customHeight="1" x14ac:dyDescent="0.35">
      <c r="A56">
        <f>VLOOKUP(A1,Data!$A$1:$DZU$1000000,937,FALSE)</f>
        <v>0</v>
      </c>
      <c r="B56">
        <f>VLOOKUP(A1,Data!$A$1:$DZU$1000000,938,FALSE)</f>
        <v>0</v>
      </c>
      <c r="C56">
        <f>VLOOKUP(A1,Data!$A$1:$DZU$1000000,939,FALSE)</f>
        <v>0</v>
      </c>
      <c r="D56">
        <f>VLOOKUP(A1,Data!$A$1:$DZU$1000000,940,FALSE)</f>
        <v>0</v>
      </c>
      <c r="E56">
        <f>VLOOKUP(A1,Data!$A$1:$DZU$1000000,941,FALSE)</f>
        <v>0</v>
      </c>
      <c r="F56">
        <f>VLOOKUP(A1,Data!$A$1:$DZU$1000000,942,FALSE)</f>
        <v>0</v>
      </c>
      <c r="G56">
        <f>VLOOKUP(A1,Data!$A$1:$DZU$1000000,943,FALSE)</f>
        <v>0</v>
      </c>
      <c r="H56">
        <f>VLOOKUP(A1,Data!$A$1:$DZU$1000000,944,FALSE)</f>
        <v>0</v>
      </c>
      <c r="I56">
        <f>VLOOKUP(A1,Data!$A$1:$DZU$1000000,945,FALSE)</f>
        <v>0</v>
      </c>
      <c r="J56">
        <f>VLOOKUP(A1,Data!$A$1:$DZU$1000000,946,FALSE)</f>
        <v>0</v>
      </c>
      <c r="K56">
        <f>VLOOKUP(A1,Data!$A$1:$DZU$1000000,947,FALSE)</f>
        <v>0</v>
      </c>
      <c r="L56">
        <f>VLOOKUP(A1,Data!$A$1:$DZU$1000000,948,FALSE)</f>
        <v>0</v>
      </c>
      <c r="M56">
        <f>VLOOKUP(A1,Data!$A$1:$DZU$1000000,949,FALSE)</f>
        <v>0</v>
      </c>
      <c r="N56">
        <f>VLOOKUP(A1,Data!$A$1:$DZU$1000000,950,FALSE)</f>
        <v>0</v>
      </c>
      <c r="O56">
        <f>VLOOKUP(A1,Data!$A$1:$DZU$1000000,951,FALSE)</f>
        <v>0</v>
      </c>
      <c r="P56">
        <f>VLOOKUP(A1,Data!$A$1:$DZU$1000000,952,FALSE)</f>
        <v>0</v>
      </c>
      <c r="Q56">
        <f>VLOOKUP(A1,Data!$A$1:$DZU$1000000,953,FALSE)</f>
        <v>0</v>
      </c>
    </row>
    <row r="57" spans="1:17" ht="15" customHeight="1" x14ac:dyDescent="0.35">
      <c r="A57">
        <f>VLOOKUP(A1,Data!$A$1:$DZU$1000000,954,FALSE)</f>
        <v>0</v>
      </c>
      <c r="B57">
        <f>VLOOKUP(A1,Data!$A$1:$DZU$1000000,955,FALSE)</f>
        <v>0</v>
      </c>
      <c r="C57">
        <f>VLOOKUP(A1,Data!$A$1:$DZU$1000000,956,FALSE)</f>
        <v>0</v>
      </c>
      <c r="D57">
        <f>VLOOKUP(A1,Data!$A$1:$DZU$1000000,957,FALSE)</f>
        <v>0</v>
      </c>
      <c r="E57">
        <f>VLOOKUP(A1,Data!$A$1:$DZU$1000000,958,FALSE)</f>
        <v>0</v>
      </c>
      <c r="F57">
        <f>VLOOKUP(A1,Data!$A$1:$DZU$1000000,959,FALSE)</f>
        <v>0</v>
      </c>
      <c r="G57">
        <f>VLOOKUP(A1,Data!$A$1:$DZU$1000000,960,FALSE)</f>
        <v>0</v>
      </c>
      <c r="H57">
        <f>VLOOKUP(A1,Data!$A$1:$DZU$1000000,961,FALSE)</f>
        <v>0</v>
      </c>
      <c r="I57">
        <f>VLOOKUP(A1,Data!$A$1:$DZU$1000000,962,FALSE)</f>
        <v>0</v>
      </c>
      <c r="J57">
        <f>VLOOKUP(A1,Data!$A$1:$DZU$1000000,963,FALSE)</f>
        <v>0</v>
      </c>
      <c r="K57">
        <f>VLOOKUP(A1,Data!$A$1:$DZU$1000000,964,FALSE)</f>
        <v>0</v>
      </c>
      <c r="L57">
        <f>VLOOKUP(A1,Data!$A$1:$DZU$1000000,965,FALSE)</f>
        <v>0</v>
      </c>
      <c r="M57">
        <f>VLOOKUP(A1,Data!$A$1:$DZU$1000000,966,FALSE)</f>
        <v>0</v>
      </c>
      <c r="N57">
        <f>VLOOKUP(A1,Data!$A$1:$DZU$1000000,967,FALSE)</f>
        <v>0</v>
      </c>
      <c r="O57">
        <f>VLOOKUP(A1,Data!$A$1:$DZU$1000000,968,FALSE)</f>
        <v>0</v>
      </c>
      <c r="P57">
        <f>VLOOKUP(A1,Data!$A$1:$DZU$1000000,969,FALSE)</f>
        <v>0</v>
      </c>
      <c r="Q57">
        <f>VLOOKUP(A1,Data!$A$1:$DZU$1000000,970,FALSE)</f>
        <v>0</v>
      </c>
    </row>
    <row r="58" spans="1:17" ht="15" customHeight="1" x14ac:dyDescent="0.35">
      <c r="A58">
        <f>VLOOKUP(A1,Data!$A$1:$DZU$1000000,971,FALSE)</f>
        <v>0</v>
      </c>
      <c r="B58">
        <f>VLOOKUP(A1,Data!$A$1:$DZU$1000000,972,FALSE)</f>
        <v>0</v>
      </c>
      <c r="C58">
        <f>VLOOKUP(A1,Data!$A$1:$DZU$1000000,973,FALSE)</f>
        <v>0</v>
      </c>
      <c r="D58">
        <f>VLOOKUP(A1,Data!$A$1:$DZU$1000000,974,FALSE)</f>
        <v>0</v>
      </c>
      <c r="E58">
        <f>VLOOKUP(A1,Data!$A$1:$DZU$1000000,975,FALSE)</f>
        <v>0</v>
      </c>
      <c r="F58">
        <f>VLOOKUP(A1,Data!$A$1:$DZU$1000000,976,FALSE)</f>
        <v>0</v>
      </c>
      <c r="G58">
        <f>VLOOKUP(A1,Data!$A$1:$DZU$1000000,977,FALSE)</f>
        <v>0</v>
      </c>
      <c r="H58">
        <f>VLOOKUP(A1,Data!$A$1:$DZU$1000000,978,FALSE)</f>
        <v>0</v>
      </c>
      <c r="I58">
        <f>VLOOKUP(A1,Data!$A$1:$DZU$1000000,979,FALSE)</f>
        <v>0</v>
      </c>
      <c r="J58">
        <f>VLOOKUP(A1,Data!$A$1:$DZU$1000000,980,FALSE)</f>
        <v>0</v>
      </c>
      <c r="K58">
        <f>VLOOKUP(A1,Data!$A$1:$DZU$1000000,981,FALSE)</f>
        <v>0</v>
      </c>
      <c r="L58">
        <f>VLOOKUP(A1,Data!$A$1:$DZU$1000000,982,FALSE)</f>
        <v>0</v>
      </c>
      <c r="M58">
        <f>VLOOKUP(A1,Data!$A$1:$DZU$1000000,983,FALSE)</f>
        <v>0</v>
      </c>
      <c r="N58">
        <f>VLOOKUP(A1,Data!$A$1:$DZU$1000000,984,FALSE)</f>
        <v>0</v>
      </c>
      <c r="O58">
        <f>VLOOKUP(A1,Data!$A$1:$DZU$1000000,985,FALSE)</f>
        <v>0</v>
      </c>
      <c r="P58">
        <f>VLOOKUP(A1,Data!$A$1:$DZU$1000000,986,FALSE)</f>
        <v>0</v>
      </c>
      <c r="Q58">
        <f>VLOOKUP(A1,Data!$A$1:$DZU$1000000,987,FALSE)</f>
        <v>0</v>
      </c>
    </row>
    <row r="59" spans="1:17" ht="15" customHeight="1" x14ac:dyDescent="0.35">
      <c r="A59">
        <f>VLOOKUP(A1,Data!$A$1:$DZU$1000000,988,FALSE)</f>
        <v>0</v>
      </c>
      <c r="B59">
        <f>VLOOKUP(A1,Data!$A$1:$DZU$1000000,989,FALSE)</f>
        <v>0</v>
      </c>
      <c r="C59">
        <f>VLOOKUP(A1,Data!$A$1:$DZU$1000000,990,FALSE)</f>
        <v>0</v>
      </c>
      <c r="D59">
        <f>VLOOKUP(A1,Data!$A$1:$DZU$1000000,991,FALSE)</f>
        <v>0</v>
      </c>
      <c r="E59">
        <f>VLOOKUP(A1,Data!$A$1:$DZU$1000000,992,FALSE)</f>
        <v>0</v>
      </c>
      <c r="F59">
        <f>VLOOKUP(A1,Data!$A$1:$DZU$1000000,993,FALSE)</f>
        <v>0</v>
      </c>
      <c r="G59">
        <f>VLOOKUP(A1,Data!$A$1:$DZU$1000000,994,FALSE)</f>
        <v>0</v>
      </c>
      <c r="H59">
        <f>VLOOKUP(A1,Data!$A$1:$DZU$1000000,995,FALSE)</f>
        <v>0</v>
      </c>
      <c r="I59">
        <f>VLOOKUP(A1,Data!$A$1:$DZU$1000000,996,FALSE)</f>
        <v>0</v>
      </c>
      <c r="J59">
        <f>VLOOKUP(A1,Data!$A$1:$DZU$1000000,997,FALSE)</f>
        <v>0</v>
      </c>
      <c r="K59">
        <f>VLOOKUP(A1,Data!$A$1:$DZU$1000000,998,FALSE)</f>
        <v>0</v>
      </c>
      <c r="L59">
        <f>VLOOKUP(A1,Data!$A$1:$DZU$1000000,999,FALSE)</f>
        <v>0</v>
      </c>
      <c r="M59">
        <f>VLOOKUP(A1,Data!$A$1:$DZU$1000000,1000,FALSE)</f>
        <v>0</v>
      </c>
      <c r="N59">
        <f>VLOOKUP(A1,Data!$A$1:$DZU$1000000,1001,FALSE)</f>
        <v>0</v>
      </c>
      <c r="O59">
        <f>VLOOKUP(A1,Data!$A$1:$DZU$1000000,1002,FALSE)</f>
        <v>0</v>
      </c>
      <c r="P59">
        <f>VLOOKUP(A1,Data!$A$1:$DZU$1000000,1003,FALSE)</f>
        <v>0</v>
      </c>
      <c r="Q59">
        <f>VLOOKUP(A1,Data!$A$1:$DZU$1000000,1004,FALSE)</f>
        <v>0</v>
      </c>
    </row>
    <row r="60" spans="1:17" ht="15" customHeight="1" x14ac:dyDescent="0.35">
      <c r="A60">
        <f>VLOOKUP(A1,Data!$A$1:$DZU$1000000,1005,FALSE)</f>
        <v>0</v>
      </c>
      <c r="B60">
        <f>VLOOKUP(A1,Data!$A$1:$DZU$1000000,1006,FALSE)</f>
        <v>0</v>
      </c>
      <c r="C60">
        <f>VLOOKUP(A1,Data!$A$1:$DZU$1000000,1007,FALSE)</f>
        <v>0</v>
      </c>
      <c r="D60">
        <f>VLOOKUP(A1,Data!$A$1:$DZU$1000000,1008,FALSE)</f>
        <v>0</v>
      </c>
      <c r="E60">
        <f>VLOOKUP(A1,Data!$A$1:$DZU$1000000,1009,FALSE)</f>
        <v>0</v>
      </c>
      <c r="F60">
        <f>VLOOKUP(A1,Data!$A$1:$DZU$1000000,1010,FALSE)</f>
        <v>0</v>
      </c>
      <c r="G60">
        <f>VLOOKUP(A1,Data!$A$1:$DZU$1000000,1011,FALSE)</f>
        <v>0</v>
      </c>
      <c r="H60">
        <f>VLOOKUP(A1,Data!$A$1:$DZU$1000000,1012,FALSE)</f>
        <v>0</v>
      </c>
      <c r="I60">
        <f>VLOOKUP(A1,Data!$A$1:$DZU$1000000,1013,FALSE)</f>
        <v>0</v>
      </c>
      <c r="J60">
        <f>VLOOKUP(A1,Data!$A$1:$DZU$1000000,1014,FALSE)</f>
        <v>0</v>
      </c>
      <c r="K60">
        <f>VLOOKUP(A1,Data!$A$1:$DZU$1000000,1015,FALSE)</f>
        <v>0</v>
      </c>
      <c r="L60">
        <f>VLOOKUP(A1,Data!$A$1:$DZU$1000000,1016,FALSE)</f>
        <v>0</v>
      </c>
      <c r="M60">
        <f>VLOOKUP(A1,Data!$A$1:$DZU$1000000,1017,FALSE)</f>
        <v>0</v>
      </c>
      <c r="N60">
        <f>VLOOKUP(A1,Data!$A$1:$DZU$1000000,1018,FALSE)</f>
        <v>0</v>
      </c>
      <c r="O60">
        <f>VLOOKUP(A1,Data!$A$1:$DZU$1000000,1019,FALSE)</f>
        <v>0</v>
      </c>
      <c r="P60">
        <f>VLOOKUP(A1,Data!$A$1:$DZU$1000000,1020,FALSE)</f>
        <v>0</v>
      </c>
      <c r="Q60">
        <f>VLOOKUP(A1,Data!$A$1:$DZU$1000000,1021,FALSE)</f>
        <v>0</v>
      </c>
    </row>
    <row r="61" spans="1:17" ht="15" customHeight="1" x14ac:dyDescent="0.35">
      <c r="A61">
        <f>VLOOKUP(A1,Data!$A$1:$DZU$1000000,1022,FALSE)</f>
        <v>0</v>
      </c>
      <c r="B61">
        <f>VLOOKUP(A1,Data!$A$1:$DZU$1000000,1023,FALSE)</f>
        <v>0</v>
      </c>
      <c r="C61">
        <f>VLOOKUP(A1,Data!$A$1:$DZU$1000000,1024,FALSE)</f>
        <v>0</v>
      </c>
      <c r="D61">
        <f>VLOOKUP(A1,Data!$A$1:$DZU$1000000,1025,FALSE)</f>
        <v>0</v>
      </c>
      <c r="E61">
        <f>VLOOKUP(A1,Data!$A$1:$DZU$1000000,1026,FALSE)</f>
        <v>0</v>
      </c>
      <c r="F61">
        <f>VLOOKUP(A1,Data!$A$1:$DZU$1000000,1027,FALSE)</f>
        <v>0</v>
      </c>
      <c r="G61">
        <f>VLOOKUP(A1,Data!$A$1:$DZU$1000000,1028,FALSE)</f>
        <v>0</v>
      </c>
      <c r="H61">
        <f>VLOOKUP(A1,Data!$A$1:$DZU$1000000,1029,FALSE)</f>
        <v>0</v>
      </c>
      <c r="I61">
        <f>VLOOKUP(A1,Data!$A$1:$DZU$1000000,1030,FALSE)</f>
        <v>0</v>
      </c>
      <c r="J61">
        <f>VLOOKUP(A1,Data!$A$1:$DZU$1000000,1031,FALSE)</f>
        <v>0</v>
      </c>
      <c r="K61">
        <f>VLOOKUP(A1,Data!$A$1:$DZU$1000000,1032,FALSE)</f>
        <v>0</v>
      </c>
      <c r="L61">
        <f>VLOOKUP(A1,Data!$A$1:$DZU$1000000,1033,FALSE)</f>
        <v>0</v>
      </c>
      <c r="M61">
        <f>VLOOKUP(A1,Data!$A$1:$DZU$1000000,1034,FALSE)</f>
        <v>0</v>
      </c>
      <c r="N61">
        <f>VLOOKUP(A1,Data!$A$1:$DZU$1000000,1035,FALSE)</f>
        <v>0</v>
      </c>
      <c r="O61">
        <f>VLOOKUP(A1,Data!$A$1:$DZU$1000000,1036,FALSE)</f>
        <v>0</v>
      </c>
      <c r="P61">
        <f>VLOOKUP(A1,Data!$A$1:$DZU$1000000,1037,FALSE)</f>
        <v>0</v>
      </c>
      <c r="Q61">
        <f>VLOOKUP(A1,Data!$A$1:$DZU$1000000,1038,FALSE)</f>
        <v>0</v>
      </c>
    </row>
    <row r="62" spans="1:17" ht="15" customHeight="1" x14ac:dyDescent="0.35">
      <c r="A62">
        <f>VLOOKUP(A1,Data!$A$1:$DZU$1000000,1039,FALSE)</f>
        <v>0</v>
      </c>
      <c r="B62">
        <f>VLOOKUP(A1,Data!$A$1:$DZU$1000000,1040,FALSE)</f>
        <v>0</v>
      </c>
      <c r="C62">
        <f>VLOOKUP(A1,Data!$A$1:$DZU$1000000,1041,FALSE)</f>
        <v>0</v>
      </c>
      <c r="D62">
        <f>VLOOKUP(A1,Data!$A$1:$DZU$1000000,1042,FALSE)</f>
        <v>0</v>
      </c>
      <c r="E62">
        <f>VLOOKUP(A1,Data!$A$1:$DZU$1000000,1043,FALSE)</f>
        <v>0</v>
      </c>
      <c r="F62">
        <f>VLOOKUP(A1,Data!$A$1:$DZU$1000000,1044,FALSE)</f>
        <v>0</v>
      </c>
      <c r="G62">
        <f>VLOOKUP(A1,Data!$A$1:$DZU$1000000,1045,FALSE)</f>
        <v>0</v>
      </c>
      <c r="H62">
        <f>VLOOKUP(A1,Data!$A$1:$DZU$1000000,1046,FALSE)</f>
        <v>0</v>
      </c>
      <c r="I62">
        <f>VLOOKUP(A1,Data!$A$1:$DZU$1000000,1047,FALSE)</f>
        <v>0</v>
      </c>
      <c r="J62">
        <f>VLOOKUP(A1,Data!$A$1:$DZU$1000000,1048,FALSE)</f>
        <v>0</v>
      </c>
      <c r="K62">
        <f>VLOOKUP(A1,Data!$A$1:$DZU$1000000,1049,FALSE)</f>
        <v>0</v>
      </c>
      <c r="L62">
        <f>VLOOKUP(A1,Data!$A$1:$DZU$1000000,1050,FALSE)</f>
        <v>0</v>
      </c>
      <c r="M62">
        <f>VLOOKUP(A1,Data!$A$1:$DZU$1000000,1051,FALSE)</f>
        <v>0</v>
      </c>
      <c r="N62">
        <f>VLOOKUP(A1,Data!$A$1:$DZU$1000000,1052,FALSE)</f>
        <v>0</v>
      </c>
      <c r="O62">
        <f>VLOOKUP(A1,Data!$A$1:$DZU$1000000,1053,FALSE)</f>
        <v>0</v>
      </c>
      <c r="P62">
        <f>VLOOKUP(A1,Data!$A$1:$DZU$1000000,1054,FALSE)</f>
        <v>0</v>
      </c>
      <c r="Q62">
        <f>VLOOKUP(A1,Data!$A$1:$DZU$1000000,1055,FALSE)</f>
        <v>0</v>
      </c>
    </row>
    <row r="63" spans="1:17" ht="15" customHeight="1" x14ac:dyDescent="0.35">
      <c r="A63">
        <f>VLOOKUP(A1,Data!$A$1:$DZU$1000000,1056,FALSE)</f>
        <v>0</v>
      </c>
      <c r="B63">
        <f>VLOOKUP(A1,Data!$A$1:$DZU$1000000,1057,FALSE)</f>
        <v>0</v>
      </c>
      <c r="C63">
        <f>VLOOKUP(A1,Data!$A$1:$DZU$1000000,1058,FALSE)</f>
        <v>0</v>
      </c>
      <c r="D63">
        <f>VLOOKUP(A1,Data!$A$1:$DZU$1000000,1059,FALSE)</f>
        <v>0</v>
      </c>
      <c r="E63">
        <f>VLOOKUP(A1,Data!$A$1:$DZU$1000000,1060,FALSE)</f>
        <v>0</v>
      </c>
      <c r="F63">
        <f>VLOOKUP(A1,Data!$A$1:$DZU$1000000,1061,FALSE)</f>
        <v>0</v>
      </c>
      <c r="G63">
        <f>VLOOKUP(A1,Data!$A$1:$DZU$1000000,1062,FALSE)</f>
        <v>0</v>
      </c>
      <c r="H63">
        <f>VLOOKUP(A1,Data!$A$1:$DZU$1000000,1063,FALSE)</f>
        <v>0</v>
      </c>
      <c r="I63">
        <f>VLOOKUP(A1,Data!$A$1:$DZU$1000000,1064,FALSE)</f>
        <v>0</v>
      </c>
      <c r="J63">
        <f>VLOOKUP(A1,Data!$A$1:$DZU$1000000,1065,FALSE)</f>
        <v>0</v>
      </c>
      <c r="K63">
        <f>VLOOKUP(A1,Data!$A$1:$DZU$1000000,1066,FALSE)</f>
        <v>0</v>
      </c>
      <c r="L63">
        <f>VLOOKUP(A1,Data!$A$1:$DZU$1000000,1067,FALSE)</f>
        <v>0</v>
      </c>
      <c r="M63">
        <f>VLOOKUP(A1,Data!$A$1:$DZU$1000000,1068,FALSE)</f>
        <v>0</v>
      </c>
      <c r="N63">
        <f>VLOOKUP(A1,Data!$A$1:$DZU$1000000,1069,FALSE)</f>
        <v>0</v>
      </c>
      <c r="O63">
        <f>VLOOKUP(A1,Data!$A$1:$DZU$1000000,1070,FALSE)</f>
        <v>0</v>
      </c>
      <c r="P63">
        <f>VLOOKUP(A1,Data!$A$1:$DZU$1000000,1071,FALSE)</f>
        <v>0</v>
      </c>
      <c r="Q63">
        <f>VLOOKUP(A1,Data!$A$1:$DZU$1000000,1072,FALSE)</f>
        <v>0</v>
      </c>
    </row>
    <row r="64" spans="1:17" ht="15" customHeight="1" x14ac:dyDescent="0.35">
      <c r="A64">
        <f>VLOOKUP(A1,Data!$A$1:$DZU$1000000,1073,FALSE)</f>
        <v>0</v>
      </c>
      <c r="B64">
        <f>VLOOKUP(A1,Data!$A$1:$DZU$1000000,1074,FALSE)</f>
        <v>0</v>
      </c>
      <c r="C64">
        <f>VLOOKUP(A1,Data!$A$1:$DZU$1000000,1075,FALSE)</f>
        <v>0</v>
      </c>
      <c r="D64">
        <f>VLOOKUP(A1,Data!$A$1:$DZU$1000000,1076,FALSE)</f>
        <v>0</v>
      </c>
      <c r="E64">
        <f>VLOOKUP(A1,Data!$A$1:$DZU$1000000,1077,FALSE)</f>
        <v>0</v>
      </c>
      <c r="F64">
        <f>VLOOKUP(A1,Data!$A$1:$DZU$1000000,1078,FALSE)</f>
        <v>0</v>
      </c>
      <c r="G64">
        <f>VLOOKUP(A1,Data!$A$1:$DZU$1000000,1079,FALSE)</f>
        <v>0</v>
      </c>
      <c r="H64">
        <f>VLOOKUP(A1,Data!$A$1:$DZU$1000000,1080,FALSE)</f>
        <v>0</v>
      </c>
      <c r="I64">
        <f>VLOOKUP(A1,Data!$A$1:$DZU$1000000,1081,FALSE)</f>
        <v>0</v>
      </c>
      <c r="J64">
        <f>VLOOKUP(A1,Data!$A$1:$DZU$1000000,1082,FALSE)</f>
        <v>0</v>
      </c>
      <c r="K64">
        <f>VLOOKUP(A1,Data!$A$1:$DZU$1000000,1083,FALSE)</f>
        <v>0</v>
      </c>
      <c r="L64">
        <f>VLOOKUP(A1,Data!$A$1:$DZU$1000000,1084,FALSE)</f>
        <v>0</v>
      </c>
      <c r="M64">
        <f>VLOOKUP(A1,Data!$A$1:$DZU$1000000,1085,FALSE)</f>
        <v>0</v>
      </c>
      <c r="N64">
        <f>VLOOKUP(A1,Data!$A$1:$DZU$1000000,1086,FALSE)</f>
        <v>0</v>
      </c>
      <c r="O64">
        <f>VLOOKUP(A1,Data!$A$1:$DZU$1000000,1087,FALSE)</f>
        <v>0</v>
      </c>
      <c r="P64">
        <f>VLOOKUP(A1,Data!$A$1:$DZU$1000000,1088,FALSE)</f>
        <v>0</v>
      </c>
      <c r="Q64">
        <f>VLOOKUP(A1,Data!$A$1:$DZU$1000000,1089,FALSE)</f>
        <v>0</v>
      </c>
    </row>
    <row r="65" spans="1:17" ht="15" customHeight="1" x14ac:dyDescent="0.35">
      <c r="A65">
        <f>VLOOKUP(A1,Data!$A$1:$DZU$1000000,1090,FALSE)</f>
        <v>0</v>
      </c>
      <c r="B65">
        <f>VLOOKUP(A1,Data!$A$1:$DZU$1000000,1091,FALSE)</f>
        <v>0</v>
      </c>
      <c r="C65">
        <f>VLOOKUP(A1,Data!$A$1:$DZU$1000000,1092,FALSE)</f>
        <v>0</v>
      </c>
      <c r="D65">
        <f>VLOOKUP(A1,Data!$A$1:$DZU$1000000,1093,FALSE)</f>
        <v>0</v>
      </c>
      <c r="E65">
        <f>VLOOKUP(A1,Data!$A$1:$DZU$1000000,1094,FALSE)</f>
        <v>0</v>
      </c>
      <c r="F65">
        <f>VLOOKUP(A1,Data!$A$1:$DZU$1000000,1095,FALSE)</f>
        <v>0</v>
      </c>
      <c r="G65">
        <f>VLOOKUP(A1,Data!$A$1:$DZU$1000000,1096,FALSE)</f>
        <v>0</v>
      </c>
      <c r="H65">
        <f>VLOOKUP(A1,Data!$A$1:$DZU$1000000,1097,FALSE)</f>
        <v>0</v>
      </c>
      <c r="I65">
        <f>VLOOKUP(A1,Data!$A$1:$DZU$1000000,1098,FALSE)</f>
        <v>0</v>
      </c>
      <c r="J65">
        <f>VLOOKUP(A1,Data!$A$1:$DZU$1000000,1099,FALSE)</f>
        <v>0</v>
      </c>
      <c r="K65">
        <f>VLOOKUP(A1,Data!$A$1:$DZU$1000000,1100,FALSE)</f>
        <v>0</v>
      </c>
      <c r="L65">
        <f>VLOOKUP(A1,Data!$A$1:$DZU$1000000,1101,FALSE)</f>
        <v>0</v>
      </c>
      <c r="M65">
        <f>VLOOKUP(A1,Data!$A$1:$DZU$1000000,1102,FALSE)</f>
        <v>0</v>
      </c>
      <c r="N65">
        <f>VLOOKUP(A1,Data!$A$1:$DZU$1000000,1103,FALSE)</f>
        <v>0</v>
      </c>
      <c r="O65">
        <f>VLOOKUP(A1,Data!$A$1:$DZU$1000000,1104,FALSE)</f>
        <v>0</v>
      </c>
      <c r="P65">
        <f>VLOOKUP(A1,Data!$A$1:$DZU$1000000,1105,FALSE)</f>
        <v>0</v>
      </c>
      <c r="Q65">
        <f>VLOOKUP(A1,Data!$A$1:$DZU$1000000,1106,FALSE)</f>
        <v>0</v>
      </c>
    </row>
    <row r="66" spans="1:17" ht="15" customHeight="1" x14ac:dyDescent="0.35">
      <c r="A66">
        <f>VLOOKUP(A1,Data!$A$1:$DZU$1000000,1107,FALSE)</f>
        <v>0</v>
      </c>
      <c r="B66">
        <f>VLOOKUP(A1,Data!$A$1:$DZU$1000000,1108,FALSE)</f>
        <v>0</v>
      </c>
      <c r="C66">
        <f>VLOOKUP(A1,Data!$A$1:$DZU$1000000,1109,FALSE)</f>
        <v>0</v>
      </c>
      <c r="D66">
        <f>VLOOKUP(A1,Data!$A$1:$DZU$1000000,1110,FALSE)</f>
        <v>0</v>
      </c>
      <c r="E66">
        <f>VLOOKUP(A1,Data!$A$1:$DZU$1000000,1111,FALSE)</f>
        <v>0</v>
      </c>
      <c r="F66">
        <f>VLOOKUP(A1,Data!$A$1:$DZU$1000000,1112,FALSE)</f>
        <v>0</v>
      </c>
      <c r="G66">
        <f>VLOOKUP(A1,Data!$A$1:$DZU$1000000,1113,FALSE)</f>
        <v>0</v>
      </c>
      <c r="H66">
        <f>VLOOKUP(A1,Data!$A$1:$DZU$1000000,1114,FALSE)</f>
        <v>0</v>
      </c>
      <c r="I66">
        <f>VLOOKUP(A1,Data!$A$1:$DZU$1000000,1115,FALSE)</f>
        <v>0</v>
      </c>
      <c r="J66">
        <f>VLOOKUP(A1,Data!$A$1:$DZU$1000000,1116,FALSE)</f>
        <v>0</v>
      </c>
      <c r="K66">
        <f>VLOOKUP(A1,Data!$A$1:$DZU$1000000,1117,FALSE)</f>
        <v>0</v>
      </c>
      <c r="L66">
        <f>VLOOKUP(A1,Data!$A$1:$DZU$1000000,1118,FALSE)</f>
        <v>0</v>
      </c>
      <c r="M66">
        <f>VLOOKUP(A1,Data!$A$1:$DZU$1000000,1119,FALSE)</f>
        <v>0</v>
      </c>
      <c r="N66">
        <f>VLOOKUP(A1,Data!$A$1:$DZU$1000000,1120,FALSE)</f>
        <v>0</v>
      </c>
      <c r="O66">
        <f>VLOOKUP(A1,Data!$A$1:$DZU$1000000,1121,FALSE)</f>
        <v>0</v>
      </c>
      <c r="P66">
        <f>VLOOKUP(A1,Data!$A$1:$DZU$1000000,1122,FALSE)</f>
        <v>0</v>
      </c>
      <c r="Q66">
        <f>VLOOKUP(A1,Data!$A$1:$DZU$1000000,1123,FALSE)</f>
        <v>0</v>
      </c>
    </row>
    <row r="67" spans="1:17" ht="15" customHeight="1" x14ac:dyDescent="0.35">
      <c r="A67">
        <f>VLOOKUP(A1,Data!$A$1:$DZU$1000000,1124,FALSE)</f>
        <v>0</v>
      </c>
      <c r="B67">
        <f>VLOOKUP(A1,Data!$A$1:$DZU$1000000,1125,FALSE)</f>
        <v>0</v>
      </c>
      <c r="C67">
        <f>VLOOKUP(A1,Data!$A$1:$DZU$1000000,1126,FALSE)</f>
        <v>0</v>
      </c>
      <c r="D67">
        <f>VLOOKUP(A1,Data!$A$1:$DZU$1000000,1127,FALSE)</f>
        <v>0</v>
      </c>
      <c r="E67">
        <f>VLOOKUP(A1,Data!$A$1:$DZU$1000000,1128,FALSE)</f>
        <v>0</v>
      </c>
      <c r="F67">
        <f>VLOOKUP(A1,Data!$A$1:$DZU$1000000,1129,FALSE)</f>
        <v>0</v>
      </c>
      <c r="G67">
        <f>VLOOKUP(A1,Data!$A$1:$DZU$1000000,1130,FALSE)</f>
        <v>0</v>
      </c>
      <c r="H67">
        <f>VLOOKUP(A1,Data!$A$1:$DZU$1000000,1131,FALSE)</f>
        <v>0</v>
      </c>
      <c r="I67">
        <f>VLOOKUP(A1,Data!$A$1:$DZU$1000000,1132,FALSE)</f>
        <v>0</v>
      </c>
      <c r="J67">
        <f>VLOOKUP(A1,Data!$A$1:$DZU$1000000,1133,FALSE)</f>
        <v>0</v>
      </c>
      <c r="K67">
        <f>VLOOKUP(A1,Data!$A$1:$DZU$1000000,1134,FALSE)</f>
        <v>0</v>
      </c>
      <c r="L67">
        <f>VLOOKUP(A1,Data!$A$1:$DZU$1000000,1135,FALSE)</f>
        <v>0</v>
      </c>
      <c r="M67">
        <f>VLOOKUP(A1,Data!$A$1:$DZU$1000000,1136,FALSE)</f>
        <v>0</v>
      </c>
      <c r="N67">
        <f>VLOOKUP(A1,Data!$A$1:$DZU$1000000,1137,FALSE)</f>
        <v>0</v>
      </c>
      <c r="O67">
        <f>VLOOKUP(A1,Data!$A$1:$DZU$1000000,1138,FALSE)</f>
        <v>0</v>
      </c>
      <c r="P67">
        <f>VLOOKUP(A1,Data!$A$1:$DZU$1000000,1139,FALSE)</f>
        <v>0</v>
      </c>
      <c r="Q67">
        <f>VLOOKUP(A1,Data!$A$1:$DZU$1000000,1140,FALSE)</f>
        <v>0</v>
      </c>
    </row>
    <row r="68" spans="1:17" ht="15" customHeight="1" x14ac:dyDescent="0.35">
      <c r="A68">
        <f>VLOOKUP(A1,Data!$A$1:$DZU$1000000,1141,FALSE)</f>
        <v>0</v>
      </c>
      <c r="B68">
        <f>VLOOKUP(A1,Data!$A$1:$DZU$1000000,1142,FALSE)</f>
        <v>0</v>
      </c>
      <c r="C68">
        <f>VLOOKUP(A1,Data!$A$1:$DZU$1000000,1143,FALSE)</f>
        <v>0</v>
      </c>
      <c r="D68">
        <f>VLOOKUP(A1,Data!$A$1:$DZU$1000000,1144,FALSE)</f>
        <v>0</v>
      </c>
      <c r="E68">
        <f>VLOOKUP(A1,Data!$A$1:$DZU$1000000,1145,FALSE)</f>
        <v>0</v>
      </c>
      <c r="F68">
        <f>VLOOKUP(A1,Data!$A$1:$DZU$1000000,1146,FALSE)</f>
        <v>0</v>
      </c>
      <c r="G68">
        <f>VLOOKUP(A1,Data!$A$1:$DZU$1000000,1147,FALSE)</f>
        <v>0</v>
      </c>
      <c r="H68">
        <f>VLOOKUP(A1,Data!$A$1:$DZU$1000000,1148,FALSE)</f>
        <v>0</v>
      </c>
      <c r="I68">
        <f>VLOOKUP(A1,Data!$A$1:$DZU$1000000,1149,FALSE)</f>
        <v>0</v>
      </c>
      <c r="J68">
        <f>VLOOKUP(A1,Data!$A$1:$DZU$1000000,1150,FALSE)</f>
        <v>0</v>
      </c>
      <c r="K68">
        <f>VLOOKUP(A1,Data!$A$1:$DZU$1000000,1151,FALSE)</f>
        <v>0</v>
      </c>
      <c r="L68">
        <f>VLOOKUP(A1,Data!$A$1:$DZU$1000000,1152,FALSE)</f>
        <v>0</v>
      </c>
      <c r="M68">
        <f>VLOOKUP(A1,Data!$A$1:$DZU$1000000,1153,FALSE)</f>
        <v>0</v>
      </c>
      <c r="N68">
        <f>VLOOKUP(A1,Data!$A$1:$DZU$1000000,1154,FALSE)</f>
        <v>0</v>
      </c>
      <c r="O68">
        <f>VLOOKUP(A1,Data!$A$1:$DZU$1000000,1155,FALSE)</f>
        <v>0</v>
      </c>
      <c r="P68">
        <f>VLOOKUP(A1,Data!$A$1:$DZU$1000000,1156,FALSE)</f>
        <v>0</v>
      </c>
      <c r="Q68">
        <f>VLOOKUP(A1,Data!$A$1:$DZU$1000000,1157,FALSE)</f>
        <v>0</v>
      </c>
    </row>
    <row r="69" spans="1:17" ht="15" customHeight="1" x14ac:dyDescent="0.35">
      <c r="A69">
        <f>VLOOKUP(A1,Data!$A$1:$DZU$1000000,1158,FALSE)</f>
        <v>0</v>
      </c>
      <c r="B69">
        <f>VLOOKUP(A1,Data!$A$1:$DZU$1000000,1159,FALSE)</f>
        <v>0</v>
      </c>
      <c r="C69">
        <f>VLOOKUP(A1,Data!$A$1:$DZU$1000000,1160,FALSE)</f>
        <v>0</v>
      </c>
      <c r="D69">
        <f>VLOOKUP(A1,Data!$A$1:$DZU$1000000,1161,FALSE)</f>
        <v>0</v>
      </c>
      <c r="E69">
        <f>VLOOKUP(A1,Data!$A$1:$DZU$1000000,1162,FALSE)</f>
        <v>0</v>
      </c>
      <c r="F69">
        <f>VLOOKUP(A1,Data!$A$1:$DZU$1000000,1163,FALSE)</f>
        <v>0</v>
      </c>
      <c r="G69">
        <f>VLOOKUP(A1,Data!$A$1:$DZU$1000000,1164,FALSE)</f>
        <v>0</v>
      </c>
      <c r="H69">
        <f>VLOOKUP(A1,Data!$A$1:$DZU$1000000,1165,FALSE)</f>
        <v>0</v>
      </c>
      <c r="I69">
        <f>VLOOKUP(A1,Data!$A$1:$DZU$1000000,1166,FALSE)</f>
        <v>0</v>
      </c>
      <c r="J69">
        <f>VLOOKUP(A1,Data!$A$1:$DZU$1000000,1167,FALSE)</f>
        <v>0</v>
      </c>
      <c r="K69">
        <f>VLOOKUP(A1,Data!$A$1:$DZU$1000000,1168,FALSE)</f>
        <v>0</v>
      </c>
      <c r="L69">
        <f>VLOOKUP(A1,Data!$A$1:$DZU$1000000,1169,FALSE)</f>
        <v>0</v>
      </c>
      <c r="M69">
        <f>VLOOKUP(A1,Data!$A$1:$DZU$1000000,1170,FALSE)</f>
        <v>0</v>
      </c>
      <c r="N69">
        <f>VLOOKUP(A1,Data!$A$1:$DZU$1000000,1171,FALSE)</f>
        <v>0</v>
      </c>
      <c r="O69">
        <f>VLOOKUP(A1,Data!$A$1:$DZU$1000000,1172,FALSE)</f>
        <v>0</v>
      </c>
      <c r="P69">
        <f>VLOOKUP(A1,Data!$A$1:$DZU$1000000,1173,FALSE)</f>
        <v>0</v>
      </c>
      <c r="Q69">
        <f>VLOOKUP(A1,Data!$A$1:$DZU$1000000,1174,FALSE)</f>
        <v>0</v>
      </c>
    </row>
    <row r="70" spans="1:17" ht="15" customHeight="1" x14ac:dyDescent="0.35">
      <c r="A70">
        <f>VLOOKUP(A1,Data!$A$1:$DZU$1000000,1175,FALSE)</f>
        <v>0</v>
      </c>
      <c r="B70">
        <f>VLOOKUP(A1,Data!$A$1:$DZU$1000000,1176,FALSE)</f>
        <v>0</v>
      </c>
      <c r="C70">
        <f>VLOOKUP(A1,Data!$A$1:$DZU$1000000,1177,FALSE)</f>
        <v>0</v>
      </c>
      <c r="D70">
        <f>VLOOKUP(A1,Data!$A$1:$DZU$1000000,1178,FALSE)</f>
        <v>0</v>
      </c>
      <c r="E70">
        <f>VLOOKUP(A1,Data!$A$1:$DZU$1000000,1179,FALSE)</f>
        <v>0</v>
      </c>
      <c r="F70">
        <f>VLOOKUP(A1,Data!$A$1:$DZU$1000000,1180,FALSE)</f>
        <v>0</v>
      </c>
      <c r="G70">
        <f>VLOOKUP(A1,Data!$A$1:$DZU$1000000,1181,FALSE)</f>
        <v>0</v>
      </c>
      <c r="H70">
        <f>VLOOKUP(A1,Data!$A$1:$DZU$1000000,1182,FALSE)</f>
        <v>0</v>
      </c>
      <c r="I70">
        <f>VLOOKUP(A1,Data!$A$1:$DZU$1000000,1183,FALSE)</f>
        <v>0</v>
      </c>
      <c r="J70">
        <f>VLOOKUP(A1,Data!$A$1:$DZU$1000000,1184,FALSE)</f>
        <v>0</v>
      </c>
      <c r="K70">
        <f>VLOOKUP(A1,Data!$A$1:$DZU$1000000,1185,FALSE)</f>
        <v>0</v>
      </c>
      <c r="L70">
        <f>VLOOKUP(A1,Data!$A$1:$DZU$1000000,1186,FALSE)</f>
        <v>0</v>
      </c>
      <c r="M70">
        <f>VLOOKUP(A1,Data!$A$1:$DZU$1000000,1187,FALSE)</f>
        <v>0</v>
      </c>
      <c r="N70">
        <f>VLOOKUP(A1,Data!$A$1:$DZU$1000000,1188,FALSE)</f>
        <v>0</v>
      </c>
      <c r="O70">
        <f>VLOOKUP(A1,Data!$A$1:$DZU$1000000,1189,FALSE)</f>
        <v>0</v>
      </c>
      <c r="P70">
        <f>VLOOKUP(A1,Data!$A$1:$DZU$1000000,1190,FALSE)</f>
        <v>0</v>
      </c>
      <c r="Q70">
        <f>VLOOKUP(A1,Data!$A$1:$DZU$1000000,1191,FALSE)</f>
        <v>0</v>
      </c>
    </row>
    <row r="71" spans="1:17" ht="15" customHeight="1" x14ac:dyDescent="0.35">
      <c r="A71">
        <f>VLOOKUP(A1,Data!$A$1:$DZU$1000000,1192,FALSE)</f>
        <v>0</v>
      </c>
      <c r="B71">
        <f>VLOOKUP(A1,Data!$A$1:$DZU$1000000,1193,FALSE)</f>
        <v>0</v>
      </c>
      <c r="C71">
        <f>VLOOKUP(A1,Data!$A$1:$DZU$1000000,1194,FALSE)</f>
        <v>0</v>
      </c>
      <c r="D71">
        <f>VLOOKUP(A1,Data!$A$1:$DZU$1000000,1195,FALSE)</f>
        <v>0</v>
      </c>
      <c r="E71">
        <f>VLOOKUP(A1,Data!$A$1:$DZU$1000000,1196,FALSE)</f>
        <v>0</v>
      </c>
      <c r="F71">
        <f>VLOOKUP(A1,Data!$A$1:$DZU$1000000,1197,FALSE)</f>
        <v>0</v>
      </c>
      <c r="G71">
        <f>VLOOKUP(A1,Data!$A$1:$DZU$1000000,1198,FALSE)</f>
        <v>0</v>
      </c>
      <c r="H71">
        <f>VLOOKUP(A1,Data!$A$1:$DZU$1000000,1199,FALSE)</f>
        <v>0</v>
      </c>
      <c r="I71">
        <f>VLOOKUP(A1,Data!$A$1:$DZU$1000000,1200,FALSE)</f>
        <v>0</v>
      </c>
      <c r="J71">
        <f>VLOOKUP(A1,Data!$A$1:$DZU$1000000,1201,FALSE)</f>
        <v>0</v>
      </c>
      <c r="K71">
        <f>VLOOKUP(A1,Data!$A$1:$DZU$1000000,1202,FALSE)</f>
        <v>0</v>
      </c>
      <c r="L71">
        <f>VLOOKUP(A1,Data!$A$1:$DZU$1000000,1203,FALSE)</f>
        <v>0</v>
      </c>
      <c r="M71">
        <f>VLOOKUP(A1,Data!$A$1:$DZU$1000000,1204,FALSE)</f>
        <v>0</v>
      </c>
      <c r="N71">
        <f>VLOOKUP(A1,Data!$A$1:$DZU$1000000,1205,FALSE)</f>
        <v>0</v>
      </c>
      <c r="O71">
        <f>VLOOKUP(A1,Data!$A$1:$DZU$1000000,1206,FALSE)</f>
        <v>0</v>
      </c>
      <c r="P71">
        <f>VLOOKUP(A1,Data!$A$1:$DZU$1000000,1207,FALSE)</f>
        <v>0</v>
      </c>
      <c r="Q71">
        <f>VLOOKUP(A1,Data!$A$1:$DZU$1000000,1208,FALSE)</f>
        <v>0</v>
      </c>
    </row>
    <row r="72" spans="1:17" ht="15" customHeight="1" x14ac:dyDescent="0.35">
      <c r="A72">
        <f>VLOOKUP(A1,Data!$A$1:$DZU$1000000,1209,FALSE)</f>
        <v>0</v>
      </c>
      <c r="B72">
        <f>VLOOKUP(A1,Data!$A$1:$DZU$1000000,1210,FALSE)</f>
        <v>0</v>
      </c>
      <c r="C72">
        <f>VLOOKUP(A1,Data!$A$1:$DZU$1000000,1211,FALSE)</f>
        <v>0</v>
      </c>
      <c r="D72">
        <f>VLOOKUP(A1,Data!$A$1:$DZU$1000000,1212,FALSE)</f>
        <v>0</v>
      </c>
      <c r="E72">
        <f>VLOOKUP(A1,Data!$A$1:$DZU$1000000,1213,FALSE)</f>
        <v>0</v>
      </c>
      <c r="F72">
        <f>VLOOKUP(A1,Data!$A$1:$DZU$1000000,1214,FALSE)</f>
        <v>0</v>
      </c>
      <c r="G72">
        <f>VLOOKUP(A1,Data!$A$1:$DZU$1000000,1215,FALSE)</f>
        <v>0</v>
      </c>
      <c r="H72">
        <f>VLOOKUP(A1,Data!$A$1:$DZU$1000000,1216,FALSE)</f>
        <v>0</v>
      </c>
      <c r="I72">
        <f>VLOOKUP(A1,Data!$A$1:$DZU$1000000,1217,FALSE)</f>
        <v>0</v>
      </c>
      <c r="J72">
        <f>VLOOKUP(A1,Data!$A$1:$DZU$1000000,1218,FALSE)</f>
        <v>0</v>
      </c>
      <c r="K72">
        <f>VLOOKUP(A1,Data!$A$1:$DZU$1000000,1219,FALSE)</f>
        <v>0</v>
      </c>
      <c r="L72">
        <f>VLOOKUP(A1,Data!$A$1:$DZU$1000000,1220,FALSE)</f>
        <v>0</v>
      </c>
      <c r="M72">
        <f>VLOOKUP(A1,Data!$A$1:$DZU$1000000,1221,FALSE)</f>
        <v>0</v>
      </c>
      <c r="N72">
        <f>VLOOKUP(A1,Data!$A$1:$DZU$1000000,1222,FALSE)</f>
        <v>0</v>
      </c>
      <c r="O72">
        <f>VLOOKUP(A1,Data!$A$1:$DZU$1000000,1223,FALSE)</f>
        <v>0</v>
      </c>
      <c r="P72">
        <f>VLOOKUP(A1,Data!$A$1:$DZU$1000000,1224,FALSE)</f>
        <v>0</v>
      </c>
      <c r="Q72">
        <f>VLOOKUP(A1,Data!$A$1:$DZU$1000000,1225,FALSE)</f>
        <v>0</v>
      </c>
    </row>
    <row r="73" spans="1:17" ht="15" customHeight="1" x14ac:dyDescent="0.35">
      <c r="A73">
        <f>VLOOKUP(A1,Data!$A$1:$DZU$1000000,1226,FALSE)</f>
        <v>0</v>
      </c>
      <c r="B73">
        <f>VLOOKUP(A1,Data!$A$1:$DZU$1000000,1227,FALSE)</f>
        <v>0</v>
      </c>
      <c r="C73">
        <f>VLOOKUP(A1,Data!$A$1:$DZU$1000000,1228,FALSE)</f>
        <v>0</v>
      </c>
      <c r="D73">
        <f>VLOOKUP(A1,Data!$A$1:$DZU$1000000,1229,FALSE)</f>
        <v>0</v>
      </c>
      <c r="E73">
        <f>VLOOKUP(A1,Data!$A$1:$DZU$1000000,1230,FALSE)</f>
        <v>0</v>
      </c>
      <c r="F73">
        <f>VLOOKUP(A1,Data!$A$1:$DZU$1000000,1231,FALSE)</f>
        <v>0</v>
      </c>
      <c r="G73">
        <f>VLOOKUP(A1,Data!$A$1:$DZU$1000000,1232,FALSE)</f>
        <v>0</v>
      </c>
      <c r="H73">
        <f>VLOOKUP(A1,Data!$A$1:$DZU$1000000,1233,FALSE)</f>
        <v>0</v>
      </c>
      <c r="I73">
        <f>VLOOKUP(A1,Data!$A$1:$DZU$1000000,1234,FALSE)</f>
        <v>0</v>
      </c>
      <c r="J73">
        <f>VLOOKUP(A1,Data!$A$1:$DZU$1000000,1235,FALSE)</f>
        <v>0</v>
      </c>
      <c r="K73">
        <f>VLOOKUP(A1,Data!$A$1:$DZU$1000000,1236,FALSE)</f>
        <v>0</v>
      </c>
      <c r="L73">
        <f>VLOOKUP(A1,Data!$A$1:$DZU$1000000,1237,FALSE)</f>
        <v>0</v>
      </c>
      <c r="M73">
        <f>VLOOKUP(A1,Data!$A$1:$DZU$1000000,1238,FALSE)</f>
        <v>0</v>
      </c>
      <c r="N73">
        <f>VLOOKUP(A1,Data!$A$1:$DZU$1000000,1239,FALSE)</f>
        <v>0</v>
      </c>
      <c r="O73">
        <f>VLOOKUP(A1,Data!$A$1:$DZU$1000000,1240,FALSE)</f>
        <v>0</v>
      </c>
      <c r="P73">
        <f>VLOOKUP(A1,Data!$A$1:$DZU$1000000,1241,FALSE)</f>
        <v>0</v>
      </c>
      <c r="Q73">
        <f>VLOOKUP(A1,Data!$A$1:$DZU$1000000,1242,FALSE)</f>
        <v>0</v>
      </c>
    </row>
    <row r="74" spans="1:17" ht="15" customHeight="1" x14ac:dyDescent="0.35">
      <c r="A74">
        <f>VLOOKUP(A1,Data!$A$1:$DZU$1000000,1243,FALSE)</f>
        <v>0</v>
      </c>
      <c r="B74">
        <f>VLOOKUP(A1,Data!$A$1:$DZU$1000000,1244,FALSE)</f>
        <v>0</v>
      </c>
      <c r="C74">
        <f>VLOOKUP(A1,Data!$A$1:$DZU$1000000,1245,FALSE)</f>
        <v>0</v>
      </c>
      <c r="D74">
        <f>VLOOKUP(A1,Data!$A$1:$DZU$1000000,1246,FALSE)</f>
        <v>0</v>
      </c>
      <c r="E74">
        <f>VLOOKUP(A1,Data!$A$1:$DZU$1000000,1247,FALSE)</f>
        <v>0</v>
      </c>
      <c r="F74">
        <f>VLOOKUP(A1,Data!$A$1:$DZU$1000000,1248,FALSE)</f>
        <v>0</v>
      </c>
      <c r="G74">
        <f>VLOOKUP(A1,Data!$A$1:$DZU$1000000,1249,FALSE)</f>
        <v>0</v>
      </c>
      <c r="H74">
        <f>VLOOKUP(A1,Data!$A$1:$DZU$1000000,1250,FALSE)</f>
        <v>0</v>
      </c>
      <c r="I74">
        <f>VLOOKUP(A1,Data!$A$1:$DZU$1000000,1251,FALSE)</f>
        <v>0</v>
      </c>
      <c r="J74">
        <f>VLOOKUP(A1,Data!$A$1:$DZU$1000000,1252,FALSE)</f>
        <v>0</v>
      </c>
      <c r="K74">
        <f>VLOOKUP(A1,Data!$A$1:$DZU$1000000,1253,FALSE)</f>
        <v>0</v>
      </c>
      <c r="L74">
        <f>VLOOKUP(A1,Data!$A$1:$DZU$1000000,1254,FALSE)</f>
        <v>0</v>
      </c>
      <c r="M74">
        <f>VLOOKUP(A1,Data!$A$1:$DZU$1000000,1255,FALSE)</f>
        <v>0</v>
      </c>
      <c r="N74">
        <f>VLOOKUP(A1,Data!$A$1:$DZU$1000000,1256,FALSE)</f>
        <v>0</v>
      </c>
      <c r="O74">
        <f>VLOOKUP(A1,Data!$A$1:$DZU$1000000,1257,FALSE)</f>
        <v>0</v>
      </c>
      <c r="P74">
        <f>VLOOKUP(A1,Data!$A$1:$DZU$1000000,1258,FALSE)</f>
        <v>0</v>
      </c>
      <c r="Q74">
        <f>VLOOKUP(A1,Data!$A$1:$DZU$1000000,1259,FALSE)</f>
        <v>0</v>
      </c>
    </row>
    <row r="75" spans="1:17" ht="15" customHeight="1" x14ac:dyDescent="0.35">
      <c r="A75">
        <f>VLOOKUP(A1,Data!$A$1:$DZU$1000000,1260,FALSE)</f>
        <v>0</v>
      </c>
      <c r="B75">
        <f>VLOOKUP(A1,Data!$A$1:$DZU$1000000,1261,FALSE)</f>
        <v>0</v>
      </c>
      <c r="C75">
        <f>VLOOKUP(A1,Data!$A$1:$DZU$1000000,1262,FALSE)</f>
        <v>0</v>
      </c>
      <c r="D75">
        <f>VLOOKUP(A1,Data!$A$1:$DZU$1000000,1263,FALSE)</f>
        <v>0</v>
      </c>
      <c r="E75">
        <f>VLOOKUP(A1,Data!$A$1:$DZU$1000000,1264,FALSE)</f>
        <v>0</v>
      </c>
      <c r="F75">
        <f>VLOOKUP(A1,Data!$A$1:$DZU$1000000,1265,FALSE)</f>
        <v>0</v>
      </c>
      <c r="G75">
        <f>VLOOKUP(A1,Data!$A$1:$DZU$1000000,1266,FALSE)</f>
        <v>0</v>
      </c>
      <c r="H75">
        <f>VLOOKUP(A1,Data!$A$1:$DZU$1000000,1267,FALSE)</f>
        <v>0</v>
      </c>
      <c r="I75">
        <f>VLOOKUP(A1,Data!$A$1:$DZU$1000000,1268,FALSE)</f>
        <v>0</v>
      </c>
      <c r="J75">
        <f>VLOOKUP(A1,Data!$A$1:$DZU$1000000,1269,FALSE)</f>
        <v>0</v>
      </c>
      <c r="K75">
        <f>VLOOKUP(A1,Data!$A$1:$DZU$1000000,1270,FALSE)</f>
        <v>0</v>
      </c>
      <c r="L75">
        <f>VLOOKUP(A1,Data!$A$1:$DZU$1000000,1271,FALSE)</f>
        <v>0</v>
      </c>
      <c r="M75">
        <f>VLOOKUP(A1,Data!$A$1:$DZU$1000000,1272,FALSE)</f>
        <v>0</v>
      </c>
      <c r="N75">
        <f>VLOOKUP(A1,Data!$A$1:$DZU$1000000,1273,FALSE)</f>
        <v>0</v>
      </c>
      <c r="O75">
        <f>VLOOKUP(A1,Data!$A$1:$DZU$1000000,1274,FALSE)</f>
        <v>0</v>
      </c>
      <c r="P75">
        <f>VLOOKUP(A1,Data!$A$1:$DZU$1000000,1275,FALSE)</f>
        <v>0</v>
      </c>
      <c r="Q75">
        <f>VLOOKUP(A1,Data!$A$1:$DZU$1000000,1276,FALSE)</f>
        <v>0</v>
      </c>
    </row>
    <row r="76" spans="1:17" ht="15" customHeight="1" x14ac:dyDescent="0.35">
      <c r="A76">
        <f>VLOOKUP(A1,Data!$A$1:$DZU$1000000,1277,FALSE)</f>
        <v>0</v>
      </c>
      <c r="B76">
        <f>VLOOKUP(A1,Data!$A$1:$DZU$1000000,1278,FALSE)</f>
        <v>0</v>
      </c>
      <c r="C76">
        <f>VLOOKUP(A1,Data!$A$1:$DZU$1000000,1279,FALSE)</f>
        <v>0</v>
      </c>
      <c r="D76">
        <f>VLOOKUP(A1,Data!$A$1:$DZU$1000000,1280,FALSE)</f>
        <v>0</v>
      </c>
      <c r="E76">
        <f>VLOOKUP(A1,Data!$A$1:$DZU$1000000,1281,FALSE)</f>
        <v>0</v>
      </c>
      <c r="F76">
        <f>VLOOKUP(A1,Data!$A$1:$DZU$1000000,1282,FALSE)</f>
        <v>0</v>
      </c>
      <c r="G76">
        <f>VLOOKUP(A1,Data!$A$1:$DZU$1000000,1283,FALSE)</f>
        <v>0</v>
      </c>
      <c r="H76">
        <f>VLOOKUP(A1,Data!$A$1:$DZU$1000000,1284,FALSE)</f>
        <v>0</v>
      </c>
      <c r="I76">
        <f>VLOOKUP(A1,Data!$A$1:$DZU$1000000,1285,FALSE)</f>
        <v>0</v>
      </c>
      <c r="J76">
        <f>VLOOKUP(A1,Data!$A$1:$DZU$1000000,1286,FALSE)</f>
        <v>0</v>
      </c>
      <c r="K76">
        <f>VLOOKUP(A1,Data!$A$1:$DZU$1000000,1287,FALSE)</f>
        <v>0</v>
      </c>
      <c r="L76">
        <f>VLOOKUP(A1,Data!$A$1:$DZU$1000000,1288,FALSE)</f>
        <v>0</v>
      </c>
      <c r="M76">
        <f>VLOOKUP(A1,Data!$A$1:$DZU$1000000,1289,FALSE)</f>
        <v>0</v>
      </c>
      <c r="N76">
        <f>VLOOKUP(A1,Data!$A$1:$DZU$1000000,1290,FALSE)</f>
        <v>0</v>
      </c>
      <c r="O76">
        <f>VLOOKUP(A1,Data!$A$1:$DZU$1000000,1291,FALSE)</f>
        <v>0</v>
      </c>
      <c r="P76">
        <f>VLOOKUP(A1,Data!$A$1:$DZU$1000000,1292,FALSE)</f>
        <v>0</v>
      </c>
      <c r="Q76">
        <f>VLOOKUP(A1,Data!$A$1:$DZU$1000000,1293,FALSE)</f>
        <v>0</v>
      </c>
    </row>
    <row r="77" spans="1:17" ht="15" customHeight="1" x14ac:dyDescent="0.35">
      <c r="A77">
        <f>VLOOKUP(A1,Data!$A$1:$DZU$1000000,1294,FALSE)</f>
        <v>0</v>
      </c>
      <c r="B77">
        <f>VLOOKUP(A1,Data!$A$1:$DZU$1000000,1295,FALSE)</f>
        <v>0</v>
      </c>
      <c r="C77">
        <f>VLOOKUP(A1,Data!$A$1:$DZU$1000000,1296,FALSE)</f>
        <v>0</v>
      </c>
      <c r="D77">
        <f>VLOOKUP(A1,Data!$A$1:$DZU$1000000,1297,FALSE)</f>
        <v>0</v>
      </c>
      <c r="E77">
        <f>VLOOKUP(A1,Data!$A$1:$DZU$1000000,1298,FALSE)</f>
        <v>0</v>
      </c>
      <c r="F77">
        <f>VLOOKUP(A1,Data!$A$1:$DZU$1000000,1299,FALSE)</f>
        <v>0</v>
      </c>
      <c r="G77">
        <f>VLOOKUP(A1,Data!$A$1:$DZU$1000000,1300,FALSE)</f>
        <v>0</v>
      </c>
      <c r="H77">
        <f>VLOOKUP(A1,Data!$A$1:$DZU$1000000,1301,FALSE)</f>
        <v>0</v>
      </c>
      <c r="I77">
        <f>VLOOKUP(A1,Data!$A$1:$DZU$1000000,1302,FALSE)</f>
        <v>0</v>
      </c>
      <c r="J77">
        <f>VLOOKUP(A1,Data!$A$1:$DZU$1000000,1303,FALSE)</f>
        <v>0</v>
      </c>
      <c r="K77">
        <f>VLOOKUP(A1,Data!$A$1:$DZU$1000000,1304,FALSE)</f>
        <v>0</v>
      </c>
      <c r="L77">
        <f>VLOOKUP(A1,Data!$A$1:$DZU$1000000,1305,FALSE)</f>
        <v>0</v>
      </c>
      <c r="M77">
        <f>VLOOKUP(A1,Data!$A$1:$DZU$1000000,1306,FALSE)</f>
        <v>0</v>
      </c>
      <c r="N77">
        <f>VLOOKUP(A1,Data!$A$1:$DZU$1000000,1307,FALSE)</f>
        <v>0</v>
      </c>
      <c r="O77">
        <f>VLOOKUP(A1,Data!$A$1:$DZU$1000000,1308,FALSE)</f>
        <v>0</v>
      </c>
      <c r="P77">
        <f>VLOOKUP(A1,Data!$A$1:$DZU$1000000,1309,FALSE)</f>
        <v>0</v>
      </c>
      <c r="Q77">
        <f>VLOOKUP(A1,Data!$A$1:$DZU$1000000,1310,FALSE)</f>
        <v>0</v>
      </c>
    </row>
    <row r="78" spans="1:17" ht="15" customHeight="1" x14ac:dyDescent="0.35">
      <c r="A78">
        <f>VLOOKUP(A1,Data!$A$1:$DZU$1000000,1311,FALSE)</f>
        <v>0</v>
      </c>
      <c r="B78">
        <f>VLOOKUP(A1,Data!$A$1:$DZU$1000000,1312,FALSE)</f>
        <v>0</v>
      </c>
      <c r="C78">
        <f>VLOOKUP(A1,Data!$A$1:$DZU$1000000,1313,FALSE)</f>
        <v>0</v>
      </c>
      <c r="D78">
        <f>VLOOKUP(A1,Data!$A$1:$DZU$1000000,1314,FALSE)</f>
        <v>0</v>
      </c>
      <c r="E78">
        <f>VLOOKUP(A1,Data!$A$1:$DZU$1000000,1315,FALSE)</f>
        <v>0</v>
      </c>
      <c r="F78">
        <f>VLOOKUP(A1,Data!$A$1:$DZU$1000000,1316,FALSE)</f>
        <v>0</v>
      </c>
      <c r="G78">
        <f>VLOOKUP(A1,Data!$A$1:$DZU$1000000,1317,FALSE)</f>
        <v>0</v>
      </c>
      <c r="H78">
        <f>VLOOKUP(A1,Data!$A$1:$DZU$1000000,1318,FALSE)</f>
        <v>0</v>
      </c>
      <c r="I78">
        <f>VLOOKUP(A1,Data!$A$1:$DZU$1000000,1319,FALSE)</f>
        <v>0</v>
      </c>
      <c r="J78">
        <f>VLOOKUP(A1,Data!$A$1:$DZU$1000000,1320,FALSE)</f>
        <v>0</v>
      </c>
      <c r="K78">
        <f>VLOOKUP(A1,Data!$A$1:$DZU$1000000,1321,FALSE)</f>
        <v>0</v>
      </c>
      <c r="L78">
        <f>VLOOKUP(A1,Data!$A$1:$DZU$1000000,1322,FALSE)</f>
        <v>0</v>
      </c>
      <c r="M78">
        <f>VLOOKUP(A1,Data!$A$1:$DZU$1000000,1323,FALSE)</f>
        <v>0</v>
      </c>
      <c r="N78">
        <f>VLOOKUP(A1,Data!$A$1:$DZU$1000000,1324,FALSE)</f>
        <v>0</v>
      </c>
      <c r="O78">
        <f>VLOOKUP(A1,Data!$A$1:$DZU$1000000,1325,FALSE)</f>
        <v>0</v>
      </c>
      <c r="P78">
        <f>VLOOKUP(A1,Data!$A$1:$DZU$1000000,1326,FALSE)</f>
        <v>0</v>
      </c>
      <c r="Q78">
        <f>VLOOKUP(A1,Data!$A$1:$DZU$1000000,1327,FALSE)</f>
        <v>0</v>
      </c>
    </row>
    <row r="79" spans="1:17" ht="15" customHeight="1" x14ac:dyDescent="0.35">
      <c r="A79">
        <f>VLOOKUP(A1,Data!$A$1:$DZU$1000000,1328,FALSE)</f>
        <v>0</v>
      </c>
      <c r="B79">
        <f>VLOOKUP(A1,Data!$A$1:$DZU$1000000,1329,FALSE)</f>
        <v>0</v>
      </c>
      <c r="C79">
        <f>VLOOKUP(A1,Data!$A$1:$DZU$1000000,1330,FALSE)</f>
        <v>0</v>
      </c>
      <c r="D79">
        <f>VLOOKUP(A1,Data!$A$1:$DZU$1000000,1331,FALSE)</f>
        <v>0</v>
      </c>
      <c r="E79">
        <f>VLOOKUP(A1,Data!$A$1:$DZU$1000000,1332,FALSE)</f>
        <v>0</v>
      </c>
      <c r="F79">
        <f>VLOOKUP(A1,Data!$A$1:$DZU$1000000,1333,FALSE)</f>
        <v>0</v>
      </c>
      <c r="G79">
        <f>VLOOKUP(A1,Data!$A$1:$DZU$1000000,1334,FALSE)</f>
        <v>0</v>
      </c>
      <c r="H79">
        <f>VLOOKUP(A1,Data!$A$1:$DZU$1000000,1335,FALSE)</f>
        <v>0</v>
      </c>
      <c r="I79">
        <f>VLOOKUP(A1,Data!$A$1:$DZU$1000000,1336,FALSE)</f>
        <v>0</v>
      </c>
      <c r="J79">
        <f>VLOOKUP(A1,Data!$A$1:$DZU$1000000,1337,FALSE)</f>
        <v>0</v>
      </c>
      <c r="K79">
        <f>VLOOKUP(A1,Data!$A$1:$DZU$1000000,1338,FALSE)</f>
        <v>0</v>
      </c>
      <c r="L79">
        <f>VLOOKUP(A1,Data!$A$1:$DZU$1000000,1339,FALSE)</f>
        <v>0</v>
      </c>
      <c r="M79">
        <f>VLOOKUP(A1,Data!$A$1:$DZU$1000000,1340,FALSE)</f>
        <v>0</v>
      </c>
      <c r="N79">
        <f>VLOOKUP(A1,Data!$A$1:$DZU$1000000,1341,FALSE)</f>
        <v>0</v>
      </c>
      <c r="O79">
        <f>VLOOKUP(A1,Data!$A$1:$DZU$1000000,1342,FALSE)</f>
        <v>0</v>
      </c>
      <c r="P79">
        <f>VLOOKUP(A1,Data!$A$1:$DZU$1000000,1343,FALSE)</f>
        <v>0</v>
      </c>
      <c r="Q79">
        <f>VLOOKUP(A1,Data!$A$1:$DZU$1000000,1344,FALSE)</f>
        <v>0</v>
      </c>
    </row>
    <row r="80" spans="1:17" ht="15" customHeight="1" x14ac:dyDescent="0.35">
      <c r="A80">
        <f>VLOOKUP(A1,Data!$A$1:$DZU$1000000,1345,FALSE)</f>
        <v>0</v>
      </c>
      <c r="B80">
        <f>VLOOKUP(A1,Data!$A$1:$DZU$1000000,1346,FALSE)</f>
        <v>0</v>
      </c>
      <c r="C80">
        <f>VLOOKUP(A1,Data!$A$1:$DZU$1000000,1347,FALSE)</f>
        <v>0</v>
      </c>
      <c r="D80">
        <f>VLOOKUP(A1,Data!$A$1:$DZU$1000000,1348,FALSE)</f>
        <v>0</v>
      </c>
      <c r="E80">
        <f>VLOOKUP(A1,Data!$A$1:$DZU$1000000,1349,FALSE)</f>
        <v>0</v>
      </c>
      <c r="F80">
        <f>VLOOKUP(A1,Data!$A$1:$DZU$1000000,1350,FALSE)</f>
        <v>0</v>
      </c>
      <c r="G80">
        <f>VLOOKUP(A1,Data!$A$1:$DZU$1000000,1351,FALSE)</f>
        <v>0</v>
      </c>
      <c r="H80">
        <f>VLOOKUP(A1,Data!$A$1:$DZU$1000000,1352,FALSE)</f>
        <v>0</v>
      </c>
      <c r="I80">
        <f>VLOOKUP(A1,Data!$A$1:$DZU$1000000,1353,FALSE)</f>
        <v>0</v>
      </c>
      <c r="J80">
        <f>VLOOKUP(A1,Data!$A$1:$DZU$1000000,1354,FALSE)</f>
        <v>0</v>
      </c>
      <c r="K80">
        <f>VLOOKUP(A1,Data!$A$1:$DZU$1000000,1355,FALSE)</f>
        <v>0</v>
      </c>
      <c r="L80">
        <f>VLOOKUP(A1,Data!$A$1:$DZU$1000000,1356,FALSE)</f>
        <v>0</v>
      </c>
      <c r="M80">
        <f>VLOOKUP(A1,Data!$A$1:$DZU$1000000,1357,FALSE)</f>
        <v>0</v>
      </c>
      <c r="N80">
        <f>VLOOKUP(A1,Data!$A$1:$DZU$1000000,1358,FALSE)</f>
        <v>0</v>
      </c>
      <c r="O80">
        <f>VLOOKUP(A1,Data!$A$1:$DZU$1000000,1359,FALSE)</f>
        <v>0</v>
      </c>
      <c r="P80">
        <f>VLOOKUP(A1,Data!$A$1:$DZU$1000000,1360,FALSE)</f>
        <v>0</v>
      </c>
      <c r="Q80">
        <f>VLOOKUP(A1,Data!$A$1:$DZU$1000000,1361,FALSE)</f>
        <v>0</v>
      </c>
    </row>
    <row r="81" spans="1:17" ht="15" customHeight="1" x14ac:dyDescent="0.35">
      <c r="A81">
        <f>VLOOKUP(A1,Data!$A$1:$DZU$1000000,1362,FALSE)</f>
        <v>0</v>
      </c>
      <c r="B81">
        <f>VLOOKUP(A1,Data!$A$1:$DZU$1000000,1363,FALSE)</f>
        <v>0</v>
      </c>
      <c r="C81">
        <f>VLOOKUP(A1,Data!$A$1:$DZU$1000000,1364,FALSE)</f>
        <v>0</v>
      </c>
      <c r="D81">
        <f>VLOOKUP(A1,Data!$A$1:$DZU$1000000,1365,FALSE)</f>
        <v>0</v>
      </c>
      <c r="E81">
        <f>VLOOKUP(A1,Data!$A$1:$DZU$1000000,1366,FALSE)</f>
        <v>0</v>
      </c>
      <c r="F81">
        <f>VLOOKUP(A1,Data!$A$1:$DZU$1000000,1367,FALSE)</f>
        <v>0</v>
      </c>
      <c r="G81">
        <f>VLOOKUP(A1,Data!$A$1:$DZU$1000000,1368,FALSE)</f>
        <v>0</v>
      </c>
      <c r="H81">
        <f>VLOOKUP(A1,Data!$A$1:$DZU$1000000,1369,FALSE)</f>
        <v>0</v>
      </c>
      <c r="I81">
        <f>VLOOKUP(A1,Data!$A$1:$DZU$1000000,1370,FALSE)</f>
        <v>0</v>
      </c>
      <c r="J81">
        <f>VLOOKUP(A1,Data!$A$1:$DZU$1000000,1371,FALSE)</f>
        <v>0</v>
      </c>
      <c r="K81">
        <f>VLOOKUP(A1,Data!$A$1:$DZU$1000000,1372,FALSE)</f>
        <v>0</v>
      </c>
      <c r="L81">
        <f>VLOOKUP(A1,Data!$A$1:$DZU$1000000,1373,FALSE)</f>
        <v>0</v>
      </c>
      <c r="M81">
        <f>VLOOKUP(A1,Data!$A$1:$DZU$1000000,1374,FALSE)</f>
        <v>0</v>
      </c>
      <c r="N81">
        <f>VLOOKUP(A1,Data!$A$1:$DZU$1000000,1375,FALSE)</f>
        <v>0</v>
      </c>
      <c r="O81">
        <f>VLOOKUP(A1,Data!$A$1:$DZU$1000000,1376,FALSE)</f>
        <v>0</v>
      </c>
      <c r="P81">
        <f>VLOOKUP(A1,Data!$A$1:$DZU$1000000,1377,FALSE)</f>
        <v>0</v>
      </c>
      <c r="Q81">
        <f>VLOOKUP(A1,Data!$A$1:$DZU$1000000,1378,FALSE)</f>
        <v>0</v>
      </c>
    </row>
    <row r="82" spans="1:17" ht="15" customHeight="1" x14ac:dyDescent="0.35">
      <c r="A82">
        <f>VLOOKUP(A1,Data!$A$1:$DZU$1000000,1379,FALSE)</f>
        <v>0</v>
      </c>
      <c r="B82">
        <f>VLOOKUP(A1,Data!$A$1:$DZU$1000000,1380,FALSE)</f>
        <v>0</v>
      </c>
      <c r="C82">
        <f>VLOOKUP(A1,Data!$A$1:$DZU$1000000,1381,FALSE)</f>
        <v>0</v>
      </c>
      <c r="D82">
        <f>VLOOKUP(A1,Data!$A$1:$DZU$1000000,1382,FALSE)</f>
        <v>0</v>
      </c>
      <c r="E82">
        <f>VLOOKUP(A1,Data!$A$1:$DZU$1000000,1383,FALSE)</f>
        <v>0</v>
      </c>
      <c r="F82">
        <f>VLOOKUP(A1,Data!$A$1:$DZU$1000000,1384,FALSE)</f>
        <v>0</v>
      </c>
      <c r="G82">
        <f>VLOOKUP(A1,Data!$A$1:$DZU$1000000,1385,FALSE)</f>
        <v>0</v>
      </c>
      <c r="H82">
        <f>VLOOKUP(A1,Data!$A$1:$DZU$1000000,1386,FALSE)</f>
        <v>0</v>
      </c>
      <c r="I82">
        <f>VLOOKUP(A1,Data!$A$1:$DZU$1000000,1387,FALSE)</f>
        <v>0</v>
      </c>
      <c r="J82">
        <f>VLOOKUP(A1,Data!$A$1:$DZU$1000000,1388,FALSE)</f>
        <v>0</v>
      </c>
      <c r="K82">
        <f>VLOOKUP(A1,Data!$A$1:$DZU$1000000,1389,FALSE)</f>
        <v>0</v>
      </c>
      <c r="L82">
        <f>VLOOKUP(A1,Data!$A$1:$DZU$1000000,1390,FALSE)</f>
        <v>0</v>
      </c>
      <c r="M82">
        <f>VLOOKUP(A1,Data!$A$1:$DZU$1000000,1391,FALSE)</f>
        <v>0</v>
      </c>
      <c r="N82">
        <f>VLOOKUP(A1,Data!$A$1:$DZU$1000000,1392,FALSE)</f>
        <v>0</v>
      </c>
      <c r="O82">
        <f>VLOOKUP(A1,Data!$A$1:$DZU$1000000,1393,FALSE)</f>
        <v>0</v>
      </c>
      <c r="P82">
        <f>VLOOKUP(A1,Data!$A$1:$DZU$1000000,1394,FALSE)</f>
        <v>0</v>
      </c>
      <c r="Q82">
        <f>VLOOKUP(A1,Data!$A$1:$DZU$1000000,1395,FALSE)</f>
        <v>0</v>
      </c>
    </row>
    <row r="83" spans="1:17" ht="15" customHeight="1" x14ac:dyDescent="0.35">
      <c r="A83">
        <f>VLOOKUP(A1,Data!$A$1:$DZU$1000000,1396,FALSE)</f>
        <v>0</v>
      </c>
      <c r="B83">
        <f>VLOOKUP(A1,Data!$A$1:$DZU$1000000,1397,FALSE)</f>
        <v>0</v>
      </c>
      <c r="C83">
        <f>VLOOKUP(A1,Data!$A$1:$DZU$1000000,1398,FALSE)</f>
        <v>0</v>
      </c>
      <c r="D83">
        <f>VLOOKUP(A1,Data!$A$1:$DZU$1000000,1399,FALSE)</f>
        <v>0</v>
      </c>
      <c r="E83">
        <f>VLOOKUP(A1,Data!$A$1:$DZU$1000000,1400,FALSE)</f>
        <v>0</v>
      </c>
      <c r="F83">
        <f>VLOOKUP(A1,Data!$A$1:$DZU$1000000,1401,FALSE)</f>
        <v>0</v>
      </c>
      <c r="G83">
        <f>VLOOKUP(A1,Data!$A$1:$DZU$1000000,1402,FALSE)</f>
        <v>0</v>
      </c>
      <c r="H83">
        <f>VLOOKUP(A1,Data!$A$1:$DZU$1000000,1403,FALSE)</f>
        <v>0</v>
      </c>
      <c r="I83">
        <f>VLOOKUP(A1,Data!$A$1:$DZU$1000000,1404,FALSE)</f>
        <v>0</v>
      </c>
      <c r="J83">
        <f>VLOOKUP(A1,Data!$A$1:$DZU$1000000,1405,FALSE)</f>
        <v>0</v>
      </c>
      <c r="K83">
        <f>VLOOKUP(A1,Data!$A$1:$DZU$1000000,1406,FALSE)</f>
        <v>0</v>
      </c>
      <c r="L83">
        <f>VLOOKUP(A1,Data!$A$1:$DZU$1000000,1407,FALSE)</f>
        <v>0</v>
      </c>
      <c r="M83">
        <f>VLOOKUP(A1,Data!$A$1:$DZU$1000000,1408,FALSE)</f>
        <v>0</v>
      </c>
      <c r="N83">
        <f>VLOOKUP(A1,Data!$A$1:$DZU$1000000,1409,FALSE)</f>
        <v>0</v>
      </c>
      <c r="O83">
        <f>VLOOKUP(A1,Data!$A$1:$DZU$1000000,1410,FALSE)</f>
        <v>0</v>
      </c>
      <c r="P83">
        <f>VLOOKUP(A1,Data!$A$1:$DZU$1000000,1411,FALSE)</f>
        <v>0</v>
      </c>
      <c r="Q83">
        <f>VLOOKUP(A1,Data!$A$1:$DZU$1000000,1412,FALSE)</f>
        <v>0</v>
      </c>
    </row>
    <row r="84" spans="1:17" ht="15" customHeight="1" x14ac:dyDescent="0.35">
      <c r="A84">
        <f>VLOOKUP(A1,Data!$A$1:$DZU$1000000,1413,FALSE)</f>
        <v>0</v>
      </c>
      <c r="B84">
        <f>VLOOKUP(A1,Data!$A$1:$DZU$1000000,1414,FALSE)</f>
        <v>0</v>
      </c>
      <c r="C84">
        <f>VLOOKUP(A1,Data!$A$1:$DZU$1000000,1415,FALSE)</f>
        <v>0</v>
      </c>
      <c r="D84">
        <f>VLOOKUP(A1,Data!$A$1:$DZU$1000000,1416,FALSE)</f>
        <v>0</v>
      </c>
      <c r="E84">
        <f>VLOOKUP(A1,Data!$A$1:$DZU$1000000,1417,FALSE)</f>
        <v>0</v>
      </c>
      <c r="F84">
        <f>VLOOKUP(A1,Data!$A$1:$DZU$1000000,1418,FALSE)</f>
        <v>0</v>
      </c>
      <c r="G84">
        <f>VLOOKUP(A1,Data!$A$1:$DZU$1000000,1419,FALSE)</f>
        <v>0</v>
      </c>
      <c r="H84">
        <f>VLOOKUP(A1,Data!$A$1:$DZU$1000000,1420,FALSE)</f>
        <v>0</v>
      </c>
      <c r="I84">
        <f>VLOOKUP(A1,Data!$A$1:$DZU$1000000,1421,FALSE)</f>
        <v>0</v>
      </c>
      <c r="J84">
        <f>VLOOKUP(A1,Data!$A$1:$DZU$1000000,1422,FALSE)</f>
        <v>0</v>
      </c>
      <c r="K84">
        <f>VLOOKUP(A1,Data!$A$1:$DZU$1000000,1423,FALSE)</f>
        <v>0</v>
      </c>
      <c r="L84">
        <f>VLOOKUP(A1,Data!$A$1:$DZU$1000000,1424,FALSE)</f>
        <v>0</v>
      </c>
      <c r="M84">
        <f>VLOOKUP(A1,Data!$A$1:$DZU$1000000,1425,FALSE)</f>
        <v>0</v>
      </c>
      <c r="N84">
        <f>VLOOKUP(A1,Data!$A$1:$DZU$1000000,1426,FALSE)</f>
        <v>0</v>
      </c>
      <c r="O84">
        <f>VLOOKUP(A1,Data!$A$1:$DZU$1000000,1427,FALSE)</f>
        <v>0</v>
      </c>
      <c r="P84">
        <f>VLOOKUP(A1,Data!$A$1:$DZU$1000000,1428,FALSE)</f>
        <v>0</v>
      </c>
      <c r="Q84">
        <f>VLOOKUP(A1,Data!$A$1:$DZU$1000000,1429,FALSE)</f>
        <v>0</v>
      </c>
    </row>
    <row r="85" spans="1:17" ht="15" customHeight="1" x14ac:dyDescent="0.35">
      <c r="A85">
        <f>VLOOKUP(A1,Data!$A$1:$DZU$1000000,1430,FALSE)</f>
        <v>0</v>
      </c>
      <c r="B85">
        <f>VLOOKUP(A1,Data!$A$1:$DZU$1000000,1431,FALSE)</f>
        <v>0</v>
      </c>
      <c r="C85">
        <f>VLOOKUP(A1,Data!$A$1:$DZU$1000000,1432,FALSE)</f>
        <v>0</v>
      </c>
      <c r="D85">
        <f>VLOOKUP(A1,Data!$A$1:$DZU$1000000,1433,FALSE)</f>
        <v>0</v>
      </c>
      <c r="E85">
        <f>VLOOKUP(A1,Data!$A$1:$DZU$1000000,1434,FALSE)</f>
        <v>0</v>
      </c>
      <c r="F85">
        <f>VLOOKUP(A1,Data!$A$1:$DZU$1000000,1435,FALSE)</f>
        <v>0</v>
      </c>
      <c r="G85">
        <f>VLOOKUP(A1,Data!$A$1:$DZU$1000000,1436,FALSE)</f>
        <v>0</v>
      </c>
      <c r="H85">
        <f>VLOOKUP(A1,Data!$A$1:$DZU$1000000,1437,FALSE)</f>
        <v>0</v>
      </c>
      <c r="I85">
        <f>VLOOKUP(A1,Data!$A$1:$DZU$1000000,1438,FALSE)</f>
        <v>0</v>
      </c>
      <c r="J85">
        <f>VLOOKUP(A1,Data!$A$1:$DZU$1000000,1439,FALSE)</f>
        <v>0</v>
      </c>
      <c r="K85">
        <f>VLOOKUP(A1,Data!$A$1:$DZU$1000000,1440,FALSE)</f>
        <v>0</v>
      </c>
      <c r="L85">
        <f>VLOOKUP(A1,Data!$A$1:$DZU$1000000,1441,FALSE)</f>
        <v>0</v>
      </c>
      <c r="M85">
        <f>VLOOKUP(A1,Data!$A$1:$DZU$1000000,1442,FALSE)</f>
        <v>0</v>
      </c>
      <c r="N85">
        <f>VLOOKUP(A1,Data!$A$1:$DZU$1000000,1443,FALSE)</f>
        <v>0</v>
      </c>
      <c r="O85">
        <f>VLOOKUP(A1,Data!$A$1:$DZU$1000000,1444,FALSE)</f>
        <v>0</v>
      </c>
      <c r="P85">
        <f>VLOOKUP(A1,Data!$A$1:$DZU$1000000,1445,FALSE)</f>
        <v>0</v>
      </c>
      <c r="Q85">
        <f>VLOOKUP(A1,Data!$A$1:$DZU$1000000,1446,FALSE)</f>
        <v>0</v>
      </c>
    </row>
    <row r="86" spans="1:17" ht="15" customHeight="1" x14ac:dyDescent="0.35">
      <c r="A86">
        <f>VLOOKUP(A1,Data!$A$1:$DZU$1000000,1447,FALSE)</f>
        <v>0</v>
      </c>
      <c r="B86">
        <f>VLOOKUP(A1,Data!$A$1:$DZU$1000000,1448,FALSE)</f>
        <v>0</v>
      </c>
      <c r="C86">
        <f>VLOOKUP(A1,Data!$A$1:$DZU$1000000,1449,FALSE)</f>
        <v>0</v>
      </c>
      <c r="D86">
        <f>VLOOKUP(A1,Data!$A$1:$DZU$1000000,1450,FALSE)</f>
        <v>0</v>
      </c>
      <c r="E86">
        <f>VLOOKUP(A1,Data!$A$1:$DZU$1000000,1451,FALSE)</f>
        <v>0</v>
      </c>
      <c r="F86">
        <f>VLOOKUP(A1,Data!$A$1:$DZU$1000000,1452,FALSE)</f>
        <v>0</v>
      </c>
      <c r="G86">
        <f>VLOOKUP(A1,Data!$A$1:$DZU$1000000,1453,FALSE)</f>
        <v>0</v>
      </c>
      <c r="H86">
        <f>VLOOKUP(A1,Data!$A$1:$DZU$1000000,1454,FALSE)</f>
        <v>0</v>
      </c>
      <c r="I86">
        <f>VLOOKUP(A1,Data!$A$1:$DZU$1000000,1455,FALSE)</f>
        <v>0</v>
      </c>
      <c r="J86">
        <f>VLOOKUP(A1,Data!$A$1:$DZU$1000000,1456,FALSE)</f>
        <v>0</v>
      </c>
      <c r="K86">
        <f>VLOOKUP(A1,Data!$A$1:$DZU$1000000,1457,FALSE)</f>
        <v>0</v>
      </c>
      <c r="L86">
        <f>VLOOKUP(A1,Data!$A$1:$DZU$1000000,1458,FALSE)</f>
        <v>0</v>
      </c>
      <c r="M86">
        <f>VLOOKUP(A1,Data!$A$1:$DZU$1000000,1459,FALSE)</f>
        <v>0</v>
      </c>
      <c r="N86">
        <f>VLOOKUP(A1,Data!$A$1:$DZU$1000000,1460,FALSE)</f>
        <v>0</v>
      </c>
      <c r="O86">
        <f>VLOOKUP(A1,Data!$A$1:$DZU$1000000,1461,FALSE)</f>
        <v>0</v>
      </c>
      <c r="P86">
        <f>VLOOKUP(A1,Data!$A$1:$DZU$1000000,1462,FALSE)</f>
        <v>0</v>
      </c>
      <c r="Q86">
        <f>VLOOKUP(A1,Data!$A$1:$DZU$1000000,1463,FALSE)</f>
        <v>0</v>
      </c>
    </row>
    <row r="87" spans="1:17" ht="15" customHeight="1" x14ac:dyDescent="0.35">
      <c r="A87">
        <f>VLOOKUP(A1,Data!$A$1:$DZU$1000000,1464,FALSE)</f>
        <v>0</v>
      </c>
      <c r="B87">
        <f>VLOOKUP(A1,Data!$A$1:$DZU$1000000,1465,FALSE)</f>
        <v>0</v>
      </c>
      <c r="C87">
        <f>VLOOKUP(A1,Data!$A$1:$DZU$1000000,1466,FALSE)</f>
        <v>0</v>
      </c>
      <c r="D87">
        <f>VLOOKUP(A1,Data!$A$1:$DZU$1000000,1467,FALSE)</f>
        <v>0</v>
      </c>
      <c r="E87">
        <f>VLOOKUP(A1,Data!$A$1:$DZU$1000000,1468,FALSE)</f>
        <v>0</v>
      </c>
      <c r="F87">
        <f>VLOOKUP(A1,Data!$A$1:$DZU$1000000,1469,FALSE)</f>
        <v>0</v>
      </c>
      <c r="G87">
        <f>VLOOKUP(A1,Data!$A$1:$DZU$1000000,1470,FALSE)</f>
        <v>0</v>
      </c>
      <c r="H87">
        <f>VLOOKUP(A1,Data!$A$1:$DZU$1000000,1471,FALSE)</f>
        <v>0</v>
      </c>
      <c r="I87">
        <f>VLOOKUP(A1,Data!$A$1:$DZU$1000000,1472,FALSE)</f>
        <v>0</v>
      </c>
      <c r="J87">
        <f>VLOOKUP(A1,Data!$A$1:$DZU$1000000,1473,FALSE)</f>
        <v>0</v>
      </c>
      <c r="K87">
        <f>VLOOKUP(A1,Data!$A$1:$DZU$1000000,1474,FALSE)</f>
        <v>0</v>
      </c>
      <c r="L87">
        <f>VLOOKUP(A1,Data!$A$1:$DZU$1000000,1475,FALSE)</f>
        <v>0</v>
      </c>
      <c r="M87">
        <f>VLOOKUP(A1,Data!$A$1:$DZU$1000000,1476,FALSE)</f>
        <v>0</v>
      </c>
      <c r="N87">
        <f>VLOOKUP(A1,Data!$A$1:$DZU$1000000,1477,FALSE)</f>
        <v>0</v>
      </c>
      <c r="O87">
        <f>VLOOKUP(A1,Data!$A$1:$DZU$1000000,1478,FALSE)</f>
        <v>0</v>
      </c>
      <c r="P87">
        <f>VLOOKUP(A1,Data!$A$1:$DZU$1000000,1479,FALSE)</f>
        <v>0</v>
      </c>
      <c r="Q87">
        <f>VLOOKUP(A1,Data!$A$1:$DZU$1000000,1480,FALSE)</f>
        <v>0</v>
      </c>
    </row>
    <row r="88" spans="1:17" ht="15" customHeight="1" x14ac:dyDescent="0.35">
      <c r="A88">
        <f>VLOOKUP(A1,Data!$A$1:$DZU$1000000,1481,FALSE)</f>
        <v>0</v>
      </c>
      <c r="B88">
        <f>VLOOKUP(A1,Data!$A$1:$DZU$1000000,1482,FALSE)</f>
        <v>0</v>
      </c>
      <c r="C88">
        <f>VLOOKUP(A1,Data!$A$1:$DZU$1000000,1483,FALSE)</f>
        <v>0</v>
      </c>
      <c r="D88">
        <f>VLOOKUP(A1,Data!$A$1:$DZU$1000000,1484,FALSE)</f>
        <v>0</v>
      </c>
      <c r="E88">
        <f>VLOOKUP(A1,Data!$A$1:$DZU$1000000,1485,FALSE)</f>
        <v>0</v>
      </c>
      <c r="F88">
        <f>VLOOKUP(A1,Data!$A$1:$DZU$1000000,1486,FALSE)</f>
        <v>0</v>
      </c>
      <c r="G88">
        <f>VLOOKUP(A1,Data!$A$1:$DZU$1000000,1487,FALSE)</f>
        <v>0</v>
      </c>
      <c r="H88">
        <f>VLOOKUP(A1,Data!$A$1:$DZU$1000000,1488,FALSE)</f>
        <v>0</v>
      </c>
      <c r="I88">
        <f>VLOOKUP(A1,Data!$A$1:$DZU$1000000,1489,FALSE)</f>
        <v>0</v>
      </c>
      <c r="J88">
        <f>VLOOKUP(A1,Data!$A$1:$DZU$1000000,1490,FALSE)</f>
        <v>0</v>
      </c>
      <c r="K88">
        <f>VLOOKUP(A1,Data!$A$1:$DZU$1000000,1491,FALSE)</f>
        <v>0</v>
      </c>
      <c r="L88">
        <f>VLOOKUP(A1,Data!$A$1:$DZU$1000000,1492,FALSE)</f>
        <v>0</v>
      </c>
      <c r="M88">
        <f>VLOOKUP(A1,Data!$A$1:$DZU$1000000,1493,FALSE)</f>
        <v>0</v>
      </c>
      <c r="N88">
        <f>VLOOKUP(A1,Data!$A$1:$DZU$1000000,1494,FALSE)</f>
        <v>0</v>
      </c>
      <c r="O88">
        <f>VLOOKUP(A1,Data!$A$1:$DZU$1000000,1495,FALSE)</f>
        <v>0</v>
      </c>
      <c r="P88">
        <f>VLOOKUP(A1,Data!$A$1:$DZU$1000000,1496,FALSE)</f>
        <v>0</v>
      </c>
      <c r="Q88">
        <f>VLOOKUP(A1,Data!$A$1:$DZU$1000000,1497,FALSE)</f>
        <v>0</v>
      </c>
    </row>
    <row r="89" spans="1:17" ht="15" customHeight="1" x14ac:dyDescent="0.35">
      <c r="A89">
        <f>VLOOKUP(A1,Data!$A$1:$DZU$1000000,1498,FALSE)</f>
        <v>0</v>
      </c>
      <c r="B89">
        <f>VLOOKUP(A1,Data!$A$1:$DZU$1000000,1499,FALSE)</f>
        <v>0</v>
      </c>
      <c r="C89">
        <f>VLOOKUP(A1,Data!$A$1:$DZU$1000000,1500,FALSE)</f>
        <v>0</v>
      </c>
      <c r="D89">
        <f>VLOOKUP(A1,Data!$A$1:$DZU$1000000,1501,FALSE)</f>
        <v>0</v>
      </c>
      <c r="E89">
        <f>VLOOKUP(A1,Data!$A$1:$DZU$1000000,1502,FALSE)</f>
        <v>0</v>
      </c>
      <c r="F89">
        <f>VLOOKUP(A1,Data!$A$1:$DZU$1000000,1503,FALSE)</f>
        <v>0</v>
      </c>
      <c r="G89">
        <f>VLOOKUP(A1,Data!$A$1:$DZU$1000000,1504,FALSE)</f>
        <v>0</v>
      </c>
      <c r="H89">
        <f>VLOOKUP(A1,Data!$A$1:$DZU$1000000,1505,FALSE)</f>
        <v>0</v>
      </c>
      <c r="I89">
        <f>VLOOKUP(A1,Data!$A$1:$DZU$1000000,1506,FALSE)</f>
        <v>0</v>
      </c>
      <c r="J89">
        <f>VLOOKUP(A1,Data!$A$1:$DZU$1000000,1507,FALSE)</f>
        <v>0</v>
      </c>
      <c r="K89">
        <f>VLOOKUP(A1,Data!$A$1:$DZU$1000000,1508,FALSE)</f>
        <v>0</v>
      </c>
      <c r="L89">
        <f>VLOOKUP(A1,Data!$A$1:$DZU$1000000,1509,FALSE)</f>
        <v>0</v>
      </c>
      <c r="M89">
        <f>VLOOKUP(A1,Data!$A$1:$DZU$1000000,1510,FALSE)</f>
        <v>0</v>
      </c>
      <c r="N89">
        <f>VLOOKUP(A1,Data!$A$1:$DZU$1000000,1511,FALSE)</f>
        <v>0</v>
      </c>
      <c r="O89">
        <f>VLOOKUP(A1,Data!$A$1:$DZU$1000000,1512,FALSE)</f>
        <v>0</v>
      </c>
      <c r="P89">
        <f>VLOOKUP(A1,Data!$A$1:$DZU$1000000,1513,FALSE)</f>
        <v>0</v>
      </c>
      <c r="Q89">
        <f>VLOOKUP(A1,Data!$A$1:$DZU$1000000,1514,FALSE)</f>
        <v>0</v>
      </c>
    </row>
    <row r="90" spans="1:17" ht="15" customHeight="1" x14ac:dyDescent="0.35">
      <c r="A90">
        <f>VLOOKUP(A1,Data!$A$1:$DZU$1000000,1515,FALSE)</f>
        <v>0</v>
      </c>
      <c r="B90">
        <f>VLOOKUP(A1,Data!$A$1:$DZU$1000000,1516,FALSE)</f>
        <v>0</v>
      </c>
      <c r="C90">
        <f>VLOOKUP(A1,Data!$A$1:$DZU$1000000,1517,FALSE)</f>
        <v>0</v>
      </c>
      <c r="D90">
        <f>VLOOKUP(A1,Data!$A$1:$DZU$1000000,1518,FALSE)</f>
        <v>0</v>
      </c>
      <c r="E90">
        <f>VLOOKUP(A1,Data!$A$1:$DZU$1000000,1519,FALSE)</f>
        <v>0</v>
      </c>
      <c r="F90">
        <f>VLOOKUP(A1,Data!$A$1:$DZU$1000000,1520,FALSE)</f>
        <v>0</v>
      </c>
      <c r="G90">
        <f>VLOOKUP(A1,Data!$A$1:$DZU$1000000,1521,FALSE)</f>
        <v>0</v>
      </c>
      <c r="H90">
        <f>VLOOKUP(A1,Data!$A$1:$DZU$1000000,1522,FALSE)</f>
        <v>0</v>
      </c>
      <c r="I90">
        <f>VLOOKUP(A1,Data!$A$1:$DZU$1000000,1523,FALSE)</f>
        <v>0</v>
      </c>
      <c r="J90">
        <f>VLOOKUP(A1,Data!$A$1:$DZU$1000000,1524,FALSE)</f>
        <v>0</v>
      </c>
      <c r="K90">
        <f>VLOOKUP(A1,Data!$A$1:$DZU$1000000,1525,FALSE)</f>
        <v>0</v>
      </c>
      <c r="L90">
        <f>VLOOKUP(A1,Data!$A$1:$DZU$1000000,1526,FALSE)</f>
        <v>0</v>
      </c>
      <c r="M90">
        <f>VLOOKUP(A1,Data!$A$1:$DZU$1000000,1527,FALSE)</f>
        <v>0</v>
      </c>
      <c r="N90">
        <f>VLOOKUP(A1,Data!$A$1:$DZU$1000000,1528,FALSE)</f>
        <v>0</v>
      </c>
      <c r="O90">
        <f>VLOOKUP(A1,Data!$A$1:$DZU$1000000,1529,FALSE)</f>
        <v>0</v>
      </c>
      <c r="P90">
        <f>VLOOKUP(A1,Data!$A$1:$DZU$1000000,1530,FALSE)</f>
        <v>0</v>
      </c>
      <c r="Q90">
        <f>VLOOKUP(A1,Data!$A$1:$DZU$1000000,1531,FALSE)</f>
        <v>0</v>
      </c>
    </row>
    <row r="91" spans="1:17" ht="15" customHeight="1" x14ac:dyDescent="0.35">
      <c r="A91">
        <f>VLOOKUP(A1,Data!$A$1:$DZU$1000000,1532,FALSE)</f>
        <v>0</v>
      </c>
      <c r="B91">
        <f>VLOOKUP(A1,Data!$A$1:$DZU$1000000,1533,FALSE)</f>
        <v>0</v>
      </c>
      <c r="C91">
        <f>VLOOKUP(A1,Data!$A$1:$DZU$1000000,1534,FALSE)</f>
        <v>0</v>
      </c>
      <c r="D91">
        <f>VLOOKUP(A1,Data!$A$1:$DZU$1000000,1535,FALSE)</f>
        <v>0</v>
      </c>
      <c r="E91">
        <f>VLOOKUP(A1,Data!$A$1:$DZU$1000000,1536,FALSE)</f>
        <v>0</v>
      </c>
      <c r="F91">
        <f>VLOOKUP(A1,Data!$A$1:$DZU$1000000,1537,FALSE)</f>
        <v>0</v>
      </c>
      <c r="G91">
        <f>VLOOKUP(A1,Data!$A$1:$DZU$1000000,1538,FALSE)</f>
        <v>0</v>
      </c>
      <c r="H91">
        <f>VLOOKUP(A1,Data!$A$1:$DZU$1000000,1539,FALSE)</f>
        <v>0</v>
      </c>
      <c r="I91">
        <f>VLOOKUP(A1,Data!$A$1:$DZU$1000000,1540,FALSE)</f>
        <v>0</v>
      </c>
      <c r="J91">
        <f>VLOOKUP(A1,Data!$A$1:$DZU$1000000,1541,FALSE)</f>
        <v>0</v>
      </c>
      <c r="K91">
        <f>VLOOKUP(A1,Data!$A$1:$DZU$1000000,1542,FALSE)</f>
        <v>0</v>
      </c>
      <c r="L91">
        <f>VLOOKUP(A1,Data!$A$1:$DZU$1000000,1543,FALSE)</f>
        <v>0</v>
      </c>
      <c r="M91">
        <f>VLOOKUP(A1,Data!$A$1:$DZU$1000000,1544,FALSE)</f>
        <v>0</v>
      </c>
      <c r="N91">
        <f>VLOOKUP(A1,Data!$A$1:$DZU$1000000,1545,FALSE)</f>
        <v>0</v>
      </c>
      <c r="O91">
        <f>VLOOKUP(A1,Data!$A$1:$DZU$1000000,1546,FALSE)</f>
        <v>0</v>
      </c>
      <c r="P91">
        <f>VLOOKUP(A1,Data!$A$1:$DZU$1000000,1547,FALSE)</f>
        <v>0</v>
      </c>
      <c r="Q91">
        <f>VLOOKUP(A1,Data!$A$1:$DZU$1000000,1548,FALSE)</f>
        <v>0</v>
      </c>
    </row>
    <row r="92" spans="1:17" ht="15" customHeight="1" x14ac:dyDescent="0.35">
      <c r="A92">
        <f>VLOOKUP(A1,Data!$A$1:$DZU$1000000,1549,FALSE)</f>
        <v>0</v>
      </c>
      <c r="B92">
        <f>VLOOKUP(A1,Data!$A$1:$DZU$1000000,1550,FALSE)</f>
        <v>0</v>
      </c>
      <c r="C92">
        <f>VLOOKUP(A1,Data!$A$1:$DZU$1000000,1551,FALSE)</f>
        <v>0</v>
      </c>
      <c r="D92">
        <f>VLOOKUP(A1,Data!$A$1:$DZU$1000000,1552,FALSE)</f>
        <v>0</v>
      </c>
      <c r="E92">
        <f>VLOOKUP(A1,Data!$A$1:$DZU$1000000,1553,FALSE)</f>
        <v>0</v>
      </c>
      <c r="F92">
        <f>VLOOKUP(A1,Data!$A$1:$DZU$1000000,1554,FALSE)</f>
        <v>0</v>
      </c>
      <c r="G92">
        <f>VLOOKUP(A1,Data!$A$1:$DZU$1000000,1555,FALSE)</f>
        <v>0</v>
      </c>
      <c r="H92">
        <f>VLOOKUP(A1,Data!$A$1:$DZU$1000000,1556,FALSE)</f>
        <v>0</v>
      </c>
      <c r="I92">
        <f>VLOOKUP(A1,Data!$A$1:$DZU$1000000,1557,FALSE)</f>
        <v>0</v>
      </c>
      <c r="J92">
        <f>VLOOKUP(A1,Data!$A$1:$DZU$1000000,1558,FALSE)</f>
        <v>0</v>
      </c>
      <c r="K92">
        <f>VLOOKUP(A1,Data!$A$1:$DZU$1000000,1559,FALSE)</f>
        <v>0</v>
      </c>
      <c r="L92">
        <f>VLOOKUP(A1,Data!$A$1:$DZU$1000000,1560,FALSE)</f>
        <v>0</v>
      </c>
      <c r="M92">
        <f>VLOOKUP(A1,Data!$A$1:$DZU$1000000,1561,FALSE)</f>
        <v>0</v>
      </c>
      <c r="N92">
        <f>VLOOKUP(A1,Data!$A$1:$DZU$1000000,1562,FALSE)</f>
        <v>0</v>
      </c>
      <c r="O92">
        <f>VLOOKUP(A1,Data!$A$1:$DZU$1000000,1563,FALSE)</f>
        <v>0</v>
      </c>
      <c r="P92">
        <f>VLOOKUP(A1,Data!$A$1:$DZU$1000000,1564,FALSE)</f>
        <v>0</v>
      </c>
      <c r="Q92">
        <f>VLOOKUP(A1,Data!$A$1:$DZU$1000000,1565,FALSE)</f>
        <v>0</v>
      </c>
    </row>
    <row r="93" spans="1:17" ht="15" customHeight="1" x14ac:dyDescent="0.35">
      <c r="A93">
        <f>VLOOKUP(A1,Data!$A$1:$DZU$1000000,1566,FALSE)</f>
        <v>0</v>
      </c>
      <c r="B93">
        <f>VLOOKUP(A1,Data!$A$1:$DZU$1000000,1567,FALSE)</f>
        <v>0</v>
      </c>
      <c r="C93">
        <f>VLOOKUP(A1,Data!$A$1:$DZU$1000000,1568,FALSE)</f>
        <v>0</v>
      </c>
      <c r="D93">
        <f>VLOOKUP(A1,Data!$A$1:$DZU$1000000,1569,FALSE)</f>
        <v>0</v>
      </c>
      <c r="E93">
        <f>VLOOKUP(A1,Data!$A$1:$DZU$1000000,1570,FALSE)</f>
        <v>0</v>
      </c>
      <c r="F93">
        <f>VLOOKUP(A1,Data!$A$1:$DZU$1000000,1571,FALSE)</f>
        <v>0</v>
      </c>
      <c r="G93">
        <f>VLOOKUP(A1,Data!$A$1:$DZU$1000000,1572,FALSE)</f>
        <v>0</v>
      </c>
      <c r="H93">
        <f>VLOOKUP(A1,Data!$A$1:$DZU$1000000,1573,FALSE)</f>
        <v>0</v>
      </c>
      <c r="I93">
        <f>VLOOKUP(A1,Data!$A$1:$DZU$1000000,1574,FALSE)</f>
        <v>0</v>
      </c>
      <c r="J93">
        <f>VLOOKUP(A1,Data!$A$1:$DZU$1000000,1575,FALSE)</f>
        <v>0</v>
      </c>
      <c r="K93">
        <f>VLOOKUP(A1,Data!$A$1:$DZU$1000000,1576,FALSE)</f>
        <v>0</v>
      </c>
      <c r="L93">
        <f>VLOOKUP(A1,Data!$A$1:$DZU$1000000,1577,FALSE)</f>
        <v>0</v>
      </c>
      <c r="M93">
        <f>VLOOKUP(A1,Data!$A$1:$DZU$1000000,1578,FALSE)</f>
        <v>0</v>
      </c>
      <c r="N93">
        <f>VLOOKUP(A1,Data!$A$1:$DZU$1000000,1579,FALSE)</f>
        <v>0</v>
      </c>
      <c r="O93">
        <f>VLOOKUP(A1,Data!$A$1:$DZU$1000000,1580,FALSE)</f>
        <v>0</v>
      </c>
      <c r="P93">
        <f>VLOOKUP(A1,Data!$A$1:$DZU$1000000,1581,FALSE)</f>
        <v>0</v>
      </c>
      <c r="Q93">
        <f>VLOOKUP(A1,Data!$A$1:$DZU$1000000,1582,FALSE)</f>
        <v>0</v>
      </c>
    </row>
    <row r="94" spans="1:17" ht="15" customHeight="1" x14ac:dyDescent="0.35">
      <c r="A94">
        <f>VLOOKUP(A1,Data!$A$1:$DZU$1000000,1583,FALSE)</f>
        <v>0</v>
      </c>
      <c r="B94">
        <f>VLOOKUP(A1,Data!$A$1:$DZU$1000000,1584,FALSE)</f>
        <v>0</v>
      </c>
      <c r="C94">
        <f>VLOOKUP(A1,Data!$A$1:$DZU$1000000,1585,FALSE)</f>
        <v>0</v>
      </c>
      <c r="D94">
        <f>VLOOKUP(A1,Data!$A$1:$DZU$1000000,1586,FALSE)</f>
        <v>0</v>
      </c>
      <c r="E94">
        <f>VLOOKUP(A1,Data!$A$1:$DZU$1000000,1587,FALSE)</f>
        <v>0</v>
      </c>
      <c r="F94">
        <f>VLOOKUP(A1,Data!$A$1:$DZU$1000000,1588,FALSE)</f>
        <v>0</v>
      </c>
      <c r="G94">
        <f>VLOOKUP(A1,Data!$A$1:$DZU$1000000,1589,FALSE)</f>
        <v>0</v>
      </c>
      <c r="H94">
        <f>VLOOKUP(A1,Data!$A$1:$DZU$1000000,1590,FALSE)</f>
        <v>0</v>
      </c>
      <c r="I94">
        <f>VLOOKUP(A1,Data!$A$1:$DZU$1000000,1591,FALSE)</f>
        <v>0</v>
      </c>
      <c r="J94">
        <f>VLOOKUP(A1,Data!$A$1:$DZU$1000000,1592,FALSE)</f>
        <v>0</v>
      </c>
      <c r="K94">
        <f>VLOOKUP(A1,Data!$A$1:$DZU$1000000,1593,FALSE)</f>
        <v>0</v>
      </c>
      <c r="L94">
        <f>VLOOKUP(A1,Data!$A$1:$DZU$1000000,1594,FALSE)</f>
        <v>0</v>
      </c>
      <c r="M94">
        <f>VLOOKUP(A1,Data!$A$1:$DZU$1000000,1595,FALSE)</f>
        <v>0</v>
      </c>
      <c r="N94">
        <f>VLOOKUP(A1,Data!$A$1:$DZU$1000000,1596,FALSE)</f>
        <v>0</v>
      </c>
      <c r="O94">
        <f>VLOOKUP(A1,Data!$A$1:$DZU$1000000,1597,FALSE)</f>
        <v>0</v>
      </c>
      <c r="P94">
        <f>VLOOKUP(A1,Data!$A$1:$DZU$1000000,1598,FALSE)</f>
        <v>0</v>
      </c>
      <c r="Q94">
        <f>VLOOKUP(A1,Data!$A$1:$DZU$1000000,1599,FALSE)</f>
        <v>0</v>
      </c>
    </row>
    <row r="95" spans="1:17" ht="15" customHeight="1" x14ac:dyDescent="0.35">
      <c r="A95">
        <f>VLOOKUP(A1,Data!$A$1:$DZU$1000000,1600,FALSE)</f>
        <v>0</v>
      </c>
      <c r="B95">
        <f>VLOOKUP(A1,Data!$A$1:$DZU$1000000,1601,FALSE)</f>
        <v>0</v>
      </c>
      <c r="C95">
        <f>VLOOKUP(A1,Data!$A$1:$DZU$1000000,1602,FALSE)</f>
        <v>0</v>
      </c>
      <c r="D95">
        <f>VLOOKUP(A1,Data!$A$1:$DZU$1000000,1603,FALSE)</f>
        <v>0</v>
      </c>
      <c r="E95">
        <f>VLOOKUP(A1,Data!$A$1:$DZU$1000000,1604,FALSE)</f>
        <v>0</v>
      </c>
      <c r="F95">
        <f>VLOOKUP(A1,Data!$A$1:$DZU$1000000,1605,FALSE)</f>
        <v>0</v>
      </c>
      <c r="G95">
        <f>VLOOKUP(A1,Data!$A$1:$DZU$1000000,1606,FALSE)</f>
        <v>0</v>
      </c>
      <c r="H95">
        <f>VLOOKUP(A1,Data!$A$1:$DZU$1000000,1607,FALSE)</f>
        <v>0</v>
      </c>
      <c r="I95">
        <f>VLOOKUP(A1,Data!$A$1:$DZU$1000000,1608,FALSE)</f>
        <v>0</v>
      </c>
      <c r="J95">
        <f>VLOOKUP(A1,Data!$A$1:$DZU$1000000,1609,FALSE)</f>
        <v>0</v>
      </c>
      <c r="K95">
        <f>VLOOKUP(A1,Data!$A$1:$DZU$1000000,1610,FALSE)</f>
        <v>0</v>
      </c>
      <c r="L95">
        <f>VLOOKUP(A1,Data!$A$1:$DZU$1000000,1611,FALSE)</f>
        <v>0</v>
      </c>
      <c r="M95">
        <f>VLOOKUP(A1,Data!$A$1:$DZU$1000000,1612,FALSE)</f>
        <v>0</v>
      </c>
      <c r="N95">
        <f>VLOOKUP(A1,Data!$A$1:$DZU$1000000,1613,FALSE)</f>
        <v>0</v>
      </c>
      <c r="O95">
        <f>VLOOKUP(A1,Data!$A$1:$DZU$1000000,1614,FALSE)</f>
        <v>0</v>
      </c>
      <c r="P95">
        <f>VLOOKUP(A1,Data!$A$1:$DZU$1000000,1615,FALSE)</f>
        <v>0</v>
      </c>
      <c r="Q95">
        <f>VLOOKUP(A1,Data!$A$1:$DZU$1000000,1616,FALSE)</f>
        <v>0</v>
      </c>
    </row>
    <row r="96" spans="1:17" ht="15" customHeight="1" x14ac:dyDescent="0.35">
      <c r="A96">
        <f>VLOOKUP(A1,Data!$A$1:$DZU$1000000,1617,FALSE)</f>
        <v>0</v>
      </c>
      <c r="B96">
        <f>VLOOKUP(A1,Data!$A$1:$DZU$1000000,1618,FALSE)</f>
        <v>0</v>
      </c>
      <c r="C96">
        <f>VLOOKUP(A1,Data!$A$1:$DZU$1000000,1619,FALSE)</f>
        <v>0</v>
      </c>
      <c r="D96">
        <f>VLOOKUP(A1,Data!$A$1:$DZU$1000000,1620,FALSE)</f>
        <v>0</v>
      </c>
      <c r="E96">
        <f>VLOOKUP(A1,Data!$A$1:$DZU$1000000,1621,FALSE)</f>
        <v>0</v>
      </c>
      <c r="F96">
        <f>VLOOKUP(A1,Data!$A$1:$DZU$1000000,1622,FALSE)</f>
        <v>0</v>
      </c>
      <c r="G96">
        <f>VLOOKUP(A1,Data!$A$1:$DZU$1000000,1623,FALSE)</f>
        <v>0</v>
      </c>
      <c r="H96">
        <f>VLOOKUP(A1,Data!$A$1:$DZU$1000000,1624,FALSE)</f>
        <v>0</v>
      </c>
      <c r="I96">
        <f>VLOOKUP(A1,Data!$A$1:$DZU$1000000,1625,FALSE)</f>
        <v>0</v>
      </c>
      <c r="J96">
        <f>VLOOKUP(A1,Data!$A$1:$DZU$1000000,1626,FALSE)</f>
        <v>0</v>
      </c>
      <c r="K96">
        <f>VLOOKUP(A1,Data!$A$1:$DZU$1000000,1627,FALSE)</f>
        <v>0</v>
      </c>
      <c r="L96">
        <f>VLOOKUP(A1,Data!$A$1:$DZU$1000000,1628,FALSE)</f>
        <v>0</v>
      </c>
      <c r="M96">
        <f>VLOOKUP(A1,Data!$A$1:$DZU$1000000,1629,FALSE)</f>
        <v>0</v>
      </c>
      <c r="N96">
        <f>VLOOKUP(A1,Data!$A$1:$DZU$1000000,1630,FALSE)</f>
        <v>0</v>
      </c>
      <c r="O96">
        <f>VLOOKUP(A1,Data!$A$1:$DZU$1000000,1631,FALSE)</f>
        <v>0</v>
      </c>
      <c r="P96">
        <f>VLOOKUP(A1,Data!$A$1:$DZU$1000000,1632,FALSE)</f>
        <v>0</v>
      </c>
      <c r="Q96">
        <f>VLOOKUP(A1,Data!$A$1:$DZU$1000000,1633,FALSE)</f>
        <v>0</v>
      </c>
    </row>
    <row r="97" spans="1:17" ht="15" customHeight="1" x14ac:dyDescent="0.35">
      <c r="A97">
        <f>VLOOKUP(A1,Data!$A$1:$DZU$1000000,1634,FALSE)</f>
        <v>0</v>
      </c>
      <c r="B97">
        <f>VLOOKUP(A1,Data!$A$1:$DZU$1000000,1635,FALSE)</f>
        <v>0</v>
      </c>
      <c r="C97">
        <f>VLOOKUP(A1,Data!$A$1:$DZU$1000000,1636,FALSE)</f>
        <v>0</v>
      </c>
      <c r="D97">
        <f>VLOOKUP(A1,Data!$A$1:$DZU$1000000,1637,FALSE)</f>
        <v>0</v>
      </c>
      <c r="E97">
        <f>VLOOKUP(A1,Data!$A$1:$DZU$1000000,1638,FALSE)</f>
        <v>0</v>
      </c>
      <c r="F97">
        <f>VLOOKUP(A1,Data!$A$1:$DZU$1000000,1639,FALSE)</f>
        <v>0</v>
      </c>
      <c r="G97">
        <f>VLOOKUP(A1,Data!$A$1:$DZU$1000000,1640,FALSE)</f>
        <v>0</v>
      </c>
      <c r="H97">
        <f>VLOOKUP(A1,Data!$A$1:$DZU$1000000,1641,FALSE)</f>
        <v>0</v>
      </c>
      <c r="I97">
        <f>VLOOKUP(A1,Data!$A$1:$DZU$1000000,1642,FALSE)</f>
        <v>0</v>
      </c>
      <c r="J97">
        <f>VLOOKUP(A1,Data!$A$1:$DZU$1000000,1643,FALSE)</f>
        <v>0</v>
      </c>
      <c r="K97">
        <f>VLOOKUP(A1,Data!$A$1:$DZU$1000000,1644,FALSE)</f>
        <v>0</v>
      </c>
      <c r="L97">
        <f>VLOOKUP(A1,Data!$A$1:$DZU$1000000,1645,FALSE)</f>
        <v>0</v>
      </c>
      <c r="M97">
        <f>VLOOKUP(A1,Data!$A$1:$DZU$1000000,1646,FALSE)</f>
        <v>0</v>
      </c>
      <c r="N97">
        <f>VLOOKUP(A1,Data!$A$1:$DZU$1000000,1647,FALSE)</f>
        <v>0</v>
      </c>
      <c r="O97">
        <f>VLOOKUP(A1,Data!$A$1:$DZU$1000000,1648,FALSE)</f>
        <v>0</v>
      </c>
      <c r="P97">
        <f>VLOOKUP(A1,Data!$A$1:$DZU$1000000,1649,FALSE)</f>
        <v>0</v>
      </c>
      <c r="Q97">
        <f>VLOOKUP(A1,Data!$A$1:$DZU$1000000,1650,FALSE)</f>
        <v>0</v>
      </c>
    </row>
    <row r="98" spans="1:17" ht="15" customHeight="1" x14ac:dyDescent="0.35">
      <c r="A98">
        <f>VLOOKUP(A1,Data!$A$1:$DZU$1000000,1651,FALSE)</f>
        <v>0</v>
      </c>
      <c r="B98">
        <f>VLOOKUP(A1,Data!$A$1:$DZU$1000000,1652,FALSE)</f>
        <v>0</v>
      </c>
      <c r="C98">
        <f>VLOOKUP(A1,Data!$A$1:$DZU$1000000,1653,FALSE)</f>
        <v>0</v>
      </c>
      <c r="D98">
        <f>VLOOKUP(A1,Data!$A$1:$DZU$1000000,1654,FALSE)</f>
        <v>0</v>
      </c>
      <c r="E98">
        <f>VLOOKUP(A1,Data!$A$1:$DZU$1000000,1655,FALSE)</f>
        <v>0</v>
      </c>
      <c r="F98">
        <f>VLOOKUP(A1,Data!$A$1:$DZU$1000000,1656,FALSE)</f>
        <v>0</v>
      </c>
      <c r="G98">
        <f>VLOOKUP(A1,Data!$A$1:$DZU$1000000,1657,FALSE)</f>
        <v>0</v>
      </c>
      <c r="H98">
        <f>VLOOKUP(A1,Data!$A$1:$DZU$1000000,1658,FALSE)</f>
        <v>0</v>
      </c>
      <c r="I98">
        <f>VLOOKUP(A1,Data!$A$1:$DZU$1000000,1659,FALSE)</f>
        <v>0</v>
      </c>
      <c r="J98">
        <f>VLOOKUP(A1,Data!$A$1:$DZU$1000000,1660,FALSE)</f>
        <v>0</v>
      </c>
      <c r="K98">
        <f>VLOOKUP(A1,Data!$A$1:$DZU$1000000,1661,FALSE)</f>
        <v>0</v>
      </c>
      <c r="L98">
        <f>VLOOKUP(A1,Data!$A$1:$DZU$1000000,1662,FALSE)</f>
        <v>0</v>
      </c>
      <c r="M98">
        <f>VLOOKUP(A1,Data!$A$1:$DZU$1000000,1663,FALSE)</f>
        <v>0</v>
      </c>
      <c r="N98">
        <f>VLOOKUP(A1,Data!$A$1:$DZU$1000000,1664,FALSE)</f>
        <v>0</v>
      </c>
      <c r="O98">
        <f>VLOOKUP(A1,Data!$A$1:$DZU$1000000,1665,FALSE)</f>
        <v>0</v>
      </c>
      <c r="P98">
        <f>VLOOKUP(A1,Data!$A$1:$DZU$1000000,1666,FALSE)</f>
        <v>0</v>
      </c>
      <c r="Q98">
        <f>VLOOKUP(A1,Data!$A$1:$DZU$1000000,1667,FALSE)</f>
        <v>0</v>
      </c>
    </row>
    <row r="99" spans="1:17" ht="15" customHeight="1" x14ac:dyDescent="0.35">
      <c r="A99">
        <f>VLOOKUP(A1,Data!$A$1:$DZU$1000000,1668,FALSE)</f>
        <v>0</v>
      </c>
      <c r="B99">
        <f>VLOOKUP(A1,Data!$A$1:$DZU$1000000,1669,FALSE)</f>
        <v>0</v>
      </c>
      <c r="C99">
        <f>VLOOKUP(A1,Data!$A$1:$DZU$1000000,1670,FALSE)</f>
        <v>0</v>
      </c>
      <c r="D99">
        <f>VLOOKUP(A1,Data!$A$1:$DZU$1000000,1671,FALSE)</f>
        <v>0</v>
      </c>
      <c r="E99">
        <f>VLOOKUP(A1,Data!$A$1:$DZU$1000000,1672,FALSE)</f>
        <v>0</v>
      </c>
      <c r="F99">
        <f>VLOOKUP(A1,Data!$A$1:$DZU$1000000,1673,FALSE)</f>
        <v>0</v>
      </c>
      <c r="G99">
        <f>VLOOKUP(A1,Data!$A$1:$DZU$1000000,1674,FALSE)</f>
        <v>0</v>
      </c>
      <c r="H99">
        <f>VLOOKUP(A1,Data!$A$1:$DZU$1000000,1675,FALSE)</f>
        <v>0</v>
      </c>
      <c r="I99">
        <f>VLOOKUP(A1,Data!$A$1:$DZU$1000000,1676,FALSE)</f>
        <v>0</v>
      </c>
      <c r="J99">
        <f>VLOOKUP(A1,Data!$A$1:$DZU$1000000,1677,FALSE)</f>
        <v>0</v>
      </c>
      <c r="K99">
        <f>VLOOKUP(A1,Data!$A$1:$DZU$1000000,1678,FALSE)</f>
        <v>0</v>
      </c>
      <c r="L99">
        <f>VLOOKUP(A1,Data!$A$1:$DZU$1000000,1679,FALSE)</f>
        <v>0</v>
      </c>
      <c r="M99">
        <f>VLOOKUP(A1,Data!$A$1:$DZU$1000000,1680,FALSE)</f>
        <v>0</v>
      </c>
      <c r="N99">
        <f>VLOOKUP(A1,Data!$A$1:$DZU$1000000,1681,FALSE)</f>
        <v>0</v>
      </c>
      <c r="O99">
        <f>VLOOKUP(A1,Data!$A$1:$DZU$1000000,1682,FALSE)</f>
        <v>0</v>
      </c>
      <c r="P99">
        <f>VLOOKUP(A1,Data!$A$1:$DZU$1000000,1683,FALSE)</f>
        <v>0</v>
      </c>
      <c r="Q99">
        <f>VLOOKUP(A1,Data!$A$1:$DZU$1000000,1684,FALSE)</f>
        <v>0</v>
      </c>
    </row>
    <row r="100" spans="1:17" ht="15" customHeight="1" x14ac:dyDescent="0.35">
      <c r="A100">
        <f>VLOOKUP(A1,Data!$A$1:$DZU$1000000,1685,FALSE)</f>
        <v>0</v>
      </c>
      <c r="B100">
        <f>VLOOKUP(A1,Data!$A$1:$DZU$1000000,1686,FALSE)</f>
        <v>0</v>
      </c>
      <c r="C100">
        <f>VLOOKUP(A1,Data!$A$1:$DZU$1000000,1687,FALSE)</f>
        <v>0</v>
      </c>
      <c r="D100">
        <f>VLOOKUP(A1,Data!$A$1:$DZU$1000000,1688,FALSE)</f>
        <v>0</v>
      </c>
      <c r="E100">
        <f>VLOOKUP(A1,Data!$A$1:$DZU$1000000,1689,FALSE)</f>
        <v>0</v>
      </c>
      <c r="F100">
        <f>VLOOKUP(A1,Data!$A$1:$DZU$1000000,1690,FALSE)</f>
        <v>0</v>
      </c>
      <c r="G100">
        <f>VLOOKUP(A1,Data!$A$1:$DZU$1000000,1691,FALSE)</f>
        <v>0</v>
      </c>
      <c r="H100">
        <f>VLOOKUP(A1,Data!$A$1:$DZU$1000000,1692,FALSE)</f>
        <v>0</v>
      </c>
      <c r="I100">
        <f>VLOOKUP(A1,Data!$A$1:$DZU$1000000,1693,FALSE)</f>
        <v>0</v>
      </c>
      <c r="J100">
        <f>VLOOKUP(A1,Data!$A$1:$DZU$1000000,1694,FALSE)</f>
        <v>0</v>
      </c>
      <c r="K100">
        <f>VLOOKUP(A1,Data!$A$1:$DZU$1000000,1695,FALSE)</f>
        <v>0</v>
      </c>
      <c r="L100">
        <f>VLOOKUP(A1,Data!$A$1:$DZU$1000000,1696,FALSE)</f>
        <v>0</v>
      </c>
      <c r="M100">
        <f>VLOOKUP(A1,Data!$A$1:$DZU$1000000,1697,FALSE)</f>
        <v>0</v>
      </c>
      <c r="N100">
        <f>VLOOKUP(A1,Data!$A$1:$DZU$1000000,1698,FALSE)</f>
        <v>0</v>
      </c>
      <c r="O100">
        <f>VLOOKUP(A1,Data!$A$1:$DZU$1000000,1699,FALSE)</f>
        <v>0</v>
      </c>
      <c r="P100">
        <f>VLOOKUP(A1,Data!$A$1:$DZU$1000000,1700,FALSE)</f>
        <v>0</v>
      </c>
      <c r="Q100">
        <f>VLOOKUP(A1,Data!$A$1:$DZU$1000000,1701,FALSE)</f>
        <v>0</v>
      </c>
    </row>
    <row r="101" spans="1:17" ht="15" customHeight="1" x14ac:dyDescent="0.35">
      <c r="A101">
        <f>VLOOKUP(A1,Data!$A$1:$DZU$1000000,1702,FALSE)</f>
        <v>0</v>
      </c>
      <c r="B101">
        <f>VLOOKUP(A1,Data!$A$1:$DZU$1000000,1703,FALSE)</f>
        <v>0</v>
      </c>
      <c r="C101">
        <f>VLOOKUP(A1,Data!$A$1:$DZU$1000000,1704,FALSE)</f>
        <v>0</v>
      </c>
      <c r="D101">
        <f>VLOOKUP(A1,Data!$A$1:$DZU$1000000,1705,FALSE)</f>
        <v>0</v>
      </c>
      <c r="E101">
        <f>VLOOKUP(A1,Data!$A$1:$DZU$1000000,1706,FALSE)</f>
        <v>0</v>
      </c>
      <c r="F101">
        <f>VLOOKUP(A1,Data!$A$1:$DZU$1000000,1707,FALSE)</f>
        <v>0</v>
      </c>
      <c r="G101">
        <f>VLOOKUP(A1,Data!$A$1:$DZU$1000000,1708,FALSE)</f>
        <v>0</v>
      </c>
      <c r="H101">
        <f>VLOOKUP(A1,Data!$A$1:$DZU$1000000,1709,FALSE)</f>
        <v>0</v>
      </c>
      <c r="I101">
        <f>VLOOKUP(A1,Data!$A$1:$DZU$1000000,1710,FALSE)</f>
        <v>0</v>
      </c>
      <c r="J101">
        <f>VLOOKUP(A1,Data!$A$1:$DZU$1000000,1711,FALSE)</f>
        <v>0</v>
      </c>
      <c r="K101">
        <f>VLOOKUP(A1,Data!$A$1:$DZU$1000000,1712,FALSE)</f>
        <v>0</v>
      </c>
      <c r="L101">
        <f>VLOOKUP(A1,Data!$A$1:$DZU$1000000,1713,FALSE)</f>
        <v>0</v>
      </c>
      <c r="M101">
        <f>VLOOKUP(A1,Data!$A$1:$DZU$1000000,1714,FALSE)</f>
        <v>0</v>
      </c>
      <c r="N101">
        <f>VLOOKUP(A1,Data!$A$1:$DZU$1000000,1715,FALSE)</f>
        <v>0</v>
      </c>
      <c r="O101">
        <f>VLOOKUP(A1,Data!$A$1:$DZU$1000000,1716,FALSE)</f>
        <v>0</v>
      </c>
      <c r="P101">
        <f>VLOOKUP(A1,Data!$A$1:$DZU$1000000,1717,FALSE)</f>
        <v>0</v>
      </c>
      <c r="Q101">
        <f>VLOOKUP(A1,Data!$A$1:$DZU$1000000,1718,FALSE)</f>
        <v>0</v>
      </c>
    </row>
    <row r="102" spans="1:17" ht="15" customHeight="1" x14ac:dyDescent="0.35">
      <c r="A102">
        <f>VLOOKUP(A1,Data!$A$1:$DZU$1000000,1719,FALSE)</f>
        <v>0</v>
      </c>
      <c r="B102">
        <f>VLOOKUP(A1,Data!$A$1:$DZU$1000000,1720,FALSE)</f>
        <v>0</v>
      </c>
      <c r="C102">
        <f>VLOOKUP(A1,Data!$A$1:$DZU$1000000,1721,FALSE)</f>
        <v>0</v>
      </c>
      <c r="D102">
        <f>VLOOKUP(A1,Data!$A$1:$DZU$1000000,1722,FALSE)</f>
        <v>0</v>
      </c>
      <c r="E102">
        <f>VLOOKUP(A1,Data!$A$1:$DZU$1000000,1723,FALSE)</f>
        <v>0</v>
      </c>
      <c r="F102">
        <f>VLOOKUP(A1,Data!$A$1:$DZU$1000000,1724,FALSE)</f>
        <v>0</v>
      </c>
      <c r="G102">
        <f>VLOOKUP(A1,Data!$A$1:$DZU$1000000,1725,FALSE)</f>
        <v>0</v>
      </c>
      <c r="H102">
        <f>VLOOKUP(A1,Data!$A$1:$DZU$1000000,1726,FALSE)</f>
        <v>0</v>
      </c>
      <c r="I102">
        <f>VLOOKUP(A1,Data!$A$1:$DZU$1000000,1727,FALSE)</f>
        <v>0</v>
      </c>
      <c r="J102">
        <f>VLOOKUP(A1,Data!$A$1:$DZU$1000000,1728,FALSE)</f>
        <v>0</v>
      </c>
      <c r="K102">
        <f>VLOOKUP(A1,Data!$A$1:$DZU$1000000,1729,FALSE)</f>
        <v>0</v>
      </c>
      <c r="L102">
        <f>VLOOKUP(A1,Data!$A$1:$DZU$1000000,1730,FALSE)</f>
        <v>0</v>
      </c>
      <c r="M102">
        <f>VLOOKUP(A1,Data!$A$1:$DZU$1000000,1731,FALSE)</f>
        <v>0</v>
      </c>
      <c r="N102">
        <f>VLOOKUP(A1,Data!$A$1:$DZU$1000000,1732,FALSE)</f>
        <v>0</v>
      </c>
      <c r="O102">
        <f>VLOOKUP(A1,Data!$A$1:$DZU$1000000,1733,FALSE)</f>
        <v>0</v>
      </c>
      <c r="P102">
        <f>VLOOKUP(A1,Data!$A$1:$DZU$1000000,1734,FALSE)</f>
        <v>0</v>
      </c>
      <c r="Q102">
        <f>VLOOKUP(A1,Data!$A$1:$DZU$1000000,1735,FALSE)</f>
        <v>0</v>
      </c>
    </row>
    <row r="103" spans="1:17" ht="15" customHeight="1" x14ac:dyDescent="0.35">
      <c r="A103">
        <f>VLOOKUP(A1,Data!$A$1:$DZU$1000000,1736,FALSE)</f>
        <v>0</v>
      </c>
      <c r="B103">
        <f>VLOOKUP(A1,Data!$A$1:$DZU$1000000,1737,FALSE)</f>
        <v>0</v>
      </c>
      <c r="C103">
        <f>VLOOKUP(A1,Data!$A$1:$DZU$1000000,1738,FALSE)</f>
        <v>0</v>
      </c>
      <c r="D103">
        <f>VLOOKUP(A1,Data!$A$1:$DZU$1000000,1739,FALSE)</f>
        <v>0</v>
      </c>
      <c r="E103">
        <f>VLOOKUP(A1,Data!$A$1:$DZU$1000000,1740,FALSE)</f>
        <v>0</v>
      </c>
      <c r="F103">
        <f>VLOOKUP(A1,Data!$A$1:$DZU$1000000,1741,FALSE)</f>
        <v>0</v>
      </c>
      <c r="G103">
        <f>VLOOKUP(A1,Data!$A$1:$DZU$1000000,1742,FALSE)</f>
        <v>0</v>
      </c>
      <c r="H103">
        <f>VLOOKUP(A1,Data!$A$1:$DZU$1000000,1743,FALSE)</f>
        <v>0</v>
      </c>
      <c r="I103">
        <f>VLOOKUP(A1,Data!$A$1:$DZU$1000000,1744,FALSE)</f>
        <v>0</v>
      </c>
      <c r="J103">
        <f>VLOOKUP(A1,Data!$A$1:$DZU$1000000,1745,FALSE)</f>
        <v>0</v>
      </c>
      <c r="K103">
        <f>VLOOKUP(A1,Data!$A$1:$DZU$1000000,1746,FALSE)</f>
        <v>0</v>
      </c>
      <c r="L103">
        <f>VLOOKUP(A1,Data!$A$1:$DZU$1000000,1747,FALSE)</f>
        <v>0</v>
      </c>
      <c r="M103">
        <f>VLOOKUP(A1,Data!$A$1:$DZU$1000000,1748,FALSE)</f>
        <v>0</v>
      </c>
      <c r="N103">
        <f>VLOOKUP(A1,Data!$A$1:$DZU$1000000,1749,FALSE)</f>
        <v>0</v>
      </c>
      <c r="O103">
        <f>VLOOKUP(A1,Data!$A$1:$DZU$1000000,1750,FALSE)</f>
        <v>0</v>
      </c>
      <c r="P103">
        <f>VLOOKUP(A1,Data!$A$1:$DZU$1000000,1751,FALSE)</f>
        <v>0</v>
      </c>
      <c r="Q103">
        <f>VLOOKUP(A1,Data!$A$1:$DZU$1000000,1752,FALSE)</f>
        <v>0</v>
      </c>
    </row>
    <row r="104" spans="1:17" ht="15" customHeight="1" x14ac:dyDescent="0.35">
      <c r="A104">
        <f>VLOOKUP(A1,Data!$A$1:$DZU$1000000,1753,FALSE)</f>
        <v>0</v>
      </c>
      <c r="B104">
        <f>VLOOKUP(A1,Data!$A$1:$DZU$1000000,1754,FALSE)</f>
        <v>0</v>
      </c>
      <c r="C104">
        <f>VLOOKUP(A1,Data!$A$1:$DZU$1000000,1755,FALSE)</f>
        <v>0</v>
      </c>
      <c r="D104">
        <f>VLOOKUP(A1,Data!$A$1:$DZU$1000000,1756,FALSE)</f>
        <v>0</v>
      </c>
      <c r="E104">
        <f>VLOOKUP(A1,Data!$A$1:$DZU$1000000,1757,FALSE)</f>
        <v>0</v>
      </c>
      <c r="F104">
        <f>VLOOKUP(A1,Data!$A$1:$DZU$1000000,1758,FALSE)</f>
        <v>0</v>
      </c>
      <c r="G104">
        <f>VLOOKUP(A1,Data!$A$1:$DZU$1000000,1759,FALSE)</f>
        <v>0</v>
      </c>
      <c r="H104">
        <f>VLOOKUP(A1,Data!$A$1:$DZU$1000000,1760,FALSE)</f>
        <v>0</v>
      </c>
      <c r="I104">
        <f>VLOOKUP(A1,Data!$A$1:$DZU$1000000,1761,FALSE)</f>
        <v>0</v>
      </c>
      <c r="J104">
        <f>VLOOKUP(A1,Data!$A$1:$DZU$1000000,1762,FALSE)</f>
        <v>0</v>
      </c>
      <c r="K104">
        <f>VLOOKUP(A1,Data!$A$1:$DZU$1000000,1763,FALSE)</f>
        <v>0</v>
      </c>
      <c r="L104">
        <f>VLOOKUP(A1,Data!$A$1:$DZU$1000000,1764,FALSE)</f>
        <v>0</v>
      </c>
      <c r="M104">
        <f>VLOOKUP(A1,Data!$A$1:$DZU$1000000,1765,FALSE)</f>
        <v>0</v>
      </c>
      <c r="N104">
        <f>VLOOKUP(A1,Data!$A$1:$DZU$1000000,1766,FALSE)</f>
        <v>0</v>
      </c>
      <c r="O104">
        <f>VLOOKUP(A1,Data!$A$1:$DZU$1000000,1767,FALSE)</f>
        <v>0</v>
      </c>
      <c r="P104">
        <f>VLOOKUP(A1,Data!$A$1:$DZU$1000000,1768,FALSE)</f>
        <v>0</v>
      </c>
      <c r="Q104">
        <f>VLOOKUP(A1,Data!$A$1:$DZU$1000000,1769,FALSE)</f>
        <v>0</v>
      </c>
    </row>
    <row r="105" spans="1:17" ht="15" customHeight="1" x14ac:dyDescent="0.35">
      <c r="A105">
        <f>VLOOKUP(A1,Data!$A$1:$DZU$1000000,1770,FALSE)</f>
        <v>0</v>
      </c>
      <c r="B105">
        <f>VLOOKUP(A1,Data!$A$1:$DZU$1000000,1771,FALSE)</f>
        <v>0</v>
      </c>
      <c r="C105">
        <f>VLOOKUP(A1,Data!$A$1:$DZU$1000000,1772,FALSE)</f>
        <v>0</v>
      </c>
      <c r="D105">
        <f>VLOOKUP(A1,Data!$A$1:$DZU$1000000,1773,FALSE)</f>
        <v>0</v>
      </c>
      <c r="E105">
        <f>VLOOKUP(A1,Data!$A$1:$DZU$1000000,1774,FALSE)</f>
        <v>0</v>
      </c>
      <c r="F105">
        <f>VLOOKUP(A1,Data!$A$1:$DZU$1000000,1775,FALSE)</f>
        <v>0</v>
      </c>
      <c r="G105">
        <f>VLOOKUP(A1,Data!$A$1:$DZU$1000000,1776,FALSE)</f>
        <v>0</v>
      </c>
      <c r="H105">
        <f>VLOOKUP(A1,Data!$A$1:$DZU$1000000,1777,FALSE)</f>
        <v>0</v>
      </c>
      <c r="I105">
        <f>VLOOKUP(A1,Data!$A$1:$DZU$1000000,1778,FALSE)</f>
        <v>0</v>
      </c>
      <c r="J105">
        <f>VLOOKUP(A1,Data!$A$1:$DZU$1000000,1779,FALSE)</f>
        <v>0</v>
      </c>
      <c r="K105">
        <f>VLOOKUP(A1,Data!$A$1:$DZU$1000000,1780,FALSE)</f>
        <v>0</v>
      </c>
      <c r="L105">
        <f>VLOOKUP(A1,Data!$A$1:$DZU$1000000,1781,FALSE)</f>
        <v>0</v>
      </c>
      <c r="M105">
        <f>VLOOKUP(A1,Data!$A$1:$DZU$1000000,1782,FALSE)</f>
        <v>0</v>
      </c>
      <c r="N105">
        <f>VLOOKUP(A1,Data!$A$1:$DZU$1000000,1783,FALSE)</f>
        <v>0</v>
      </c>
      <c r="O105">
        <f>VLOOKUP(A1,Data!$A$1:$DZU$1000000,1784,FALSE)</f>
        <v>0</v>
      </c>
      <c r="P105">
        <f>VLOOKUP(A1,Data!$A$1:$DZU$1000000,1785,FALSE)</f>
        <v>0</v>
      </c>
      <c r="Q105">
        <f>VLOOKUP(A1,Data!$A$1:$DZU$1000000,1786,FALSE)</f>
        <v>0</v>
      </c>
    </row>
    <row r="106" spans="1:17" ht="15" customHeight="1" x14ac:dyDescent="0.35">
      <c r="A106">
        <f>VLOOKUP(A1,Data!$A$1:$DZU$1000000,1787,FALSE)</f>
        <v>0</v>
      </c>
      <c r="B106">
        <f>VLOOKUP(A1,Data!$A$1:$DZU$1000000,1788,FALSE)</f>
        <v>0</v>
      </c>
      <c r="C106">
        <f>VLOOKUP(A1,Data!$A$1:$DZU$1000000,1789,FALSE)</f>
        <v>0</v>
      </c>
      <c r="D106">
        <f>VLOOKUP(A1,Data!$A$1:$DZU$1000000,1790,FALSE)</f>
        <v>0</v>
      </c>
      <c r="E106">
        <f>VLOOKUP(A1,Data!$A$1:$DZU$1000000,1791,FALSE)</f>
        <v>0</v>
      </c>
      <c r="F106">
        <f>VLOOKUP(A1,Data!$A$1:$DZU$1000000,1792,FALSE)</f>
        <v>0</v>
      </c>
      <c r="G106">
        <f>VLOOKUP(A1,Data!$A$1:$DZU$1000000,1793,FALSE)</f>
        <v>0</v>
      </c>
      <c r="H106">
        <f>VLOOKUP(A1,Data!$A$1:$DZU$1000000,1794,FALSE)</f>
        <v>0</v>
      </c>
      <c r="I106">
        <f>VLOOKUP(A1,Data!$A$1:$DZU$1000000,1795,FALSE)</f>
        <v>0</v>
      </c>
      <c r="J106">
        <f>VLOOKUP(A1,Data!$A$1:$DZU$1000000,1796,FALSE)</f>
        <v>0</v>
      </c>
      <c r="K106">
        <f>VLOOKUP(A1,Data!$A$1:$DZU$1000000,1797,FALSE)</f>
        <v>0</v>
      </c>
      <c r="L106">
        <f>VLOOKUP(A1,Data!$A$1:$DZU$1000000,1798,FALSE)</f>
        <v>0</v>
      </c>
      <c r="M106">
        <f>VLOOKUP(A1,Data!$A$1:$DZU$1000000,1799,FALSE)</f>
        <v>0</v>
      </c>
      <c r="N106">
        <f>VLOOKUP(A1,Data!$A$1:$DZU$1000000,1800,FALSE)</f>
        <v>0</v>
      </c>
      <c r="O106">
        <f>VLOOKUP(A1,Data!$A$1:$DZU$1000000,1801,FALSE)</f>
        <v>0</v>
      </c>
      <c r="P106">
        <f>VLOOKUP(A1,Data!$A$1:$DZU$1000000,1802,FALSE)</f>
        <v>0</v>
      </c>
      <c r="Q106">
        <f>VLOOKUP(A1,Data!$A$1:$DZU$1000000,1803,FALSE)</f>
        <v>0</v>
      </c>
    </row>
    <row r="107" spans="1:17" ht="15" customHeight="1" x14ac:dyDescent="0.35">
      <c r="A107">
        <f>VLOOKUP(A1,Data!$A$1:$DZU$1000000,1804,FALSE)</f>
        <v>0</v>
      </c>
      <c r="B107">
        <f>VLOOKUP(A1,Data!$A$1:$DZU$1000000,1805,FALSE)</f>
        <v>0</v>
      </c>
      <c r="C107">
        <f>VLOOKUP(A1,Data!$A$1:$DZU$1000000,1806,FALSE)</f>
        <v>0</v>
      </c>
      <c r="D107">
        <f>VLOOKUP(A1,Data!$A$1:$DZU$1000000,1807,FALSE)</f>
        <v>0</v>
      </c>
      <c r="E107">
        <f>VLOOKUP(A1,Data!$A$1:$DZU$1000000,1808,FALSE)</f>
        <v>0</v>
      </c>
      <c r="F107">
        <f>VLOOKUP(A1,Data!$A$1:$DZU$1000000,1809,FALSE)</f>
        <v>0</v>
      </c>
      <c r="G107">
        <f>VLOOKUP(A1,Data!$A$1:$DZU$1000000,1810,FALSE)</f>
        <v>0</v>
      </c>
      <c r="H107">
        <f>VLOOKUP(A1,Data!$A$1:$DZU$1000000,1811,FALSE)</f>
        <v>0</v>
      </c>
      <c r="I107">
        <f>VLOOKUP(A1,Data!$A$1:$DZU$1000000,1812,FALSE)</f>
        <v>0</v>
      </c>
      <c r="J107">
        <f>VLOOKUP(A1,Data!$A$1:$DZU$1000000,1813,FALSE)</f>
        <v>0</v>
      </c>
      <c r="K107">
        <f>VLOOKUP(A1,Data!$A$1:$DZU$1000000,1814,FALSE)</f>
        <v>0</v>
      </c>
      <c r="L107">
        <f>VLOOKUP(A1,Data!$A$1:$DZU$1000000,1815,FALSE)</f>
        <v>0</v>
      </c>
      <c r="M107">
        <f>VLOOKUP(A1,Data!$A$1:$DZU$1000000,1816,FALSE)</f>
        <v>0</v>
      </c>
      <c r="N107">
        <f>VLOOKUP(A1,Data!$A$1:$DZU$1000000,1817,FALSE)</f>
        <v>0</v>
      </c>
      <c r="O107">
        <f>VLOOKUP(A1,Data!$A$1:$DZU$1000000,1818,FALSE)</f>
        <v>0</v>
      </c>
      <c r="P107">
        <f>VLOOKUP(A1,Data!$A$1:$DZU$1000000,1819,FALSE)</f>
        <v>0</v>
      </c>
      <c r="Q107">
        <f>VLOOKUP(A1,Data!$A$1:$DZU$1000000,1820,FALSE)</f>
        <v>0</v>
      </c>
    </row>
    <row r="108" spans="1:17" ht="15" customHeight="1" x14ac:dyDescent="0.35">
      <c r="A108">
        <f>VLOOKUP(A1,Data!$A$1:$DZU$1000000,1821,FALSE)</f>
        <v>0</v>
      </c>
      <c r="B108">
        <f>VLOOKUP(A1,Data!$A$1:$DZU$1000000,1822,FALSE)</f>
        <v>0</v>
      </c>
      <c r="C108">
        <f>VLOOKUP(A1,Data!$A$1:$DZU$1000000,1823,FALSE)</f>
        <v>0</v>
      </c>
      <c r="D108">
        <f>VLOOKUP(A1,Data!$A$1:$DZU$1000000,1824,FALSE)</f>
        <v>0</v>
      </c>
      <c r="E108">
        <f>VLOOKUP(A1,Data!$A$1:$DZU$1000000,1825,FALSE)</f>
        <v>0</v>
      </c>
      <c r="F108">
        <f>VLOOKUP(A1,Data!$A$1:$DZU$1000000,1826,FALSE)</f>
        <v>0</v>
      </c>
      <c r="G108">
        <f>VLOOKUP(A1,Data!$A$1:$DZU$1000000,1827,FALSE)</f>
        <v>0</v>
      </c>
      <c r="H108">
        <f>VLOOKUP(A1,Data!$A$1:$DZU$1000000,1828,FALSE)</f>
        <v>0</v>
      </c>
      <c r="I108">
        <f>VLOOKUP(A1,Data!$A$1:$DZU$1000000,1829,FALSE)</f>
        <v>0</v>
      </c>
      <c r="J108">
        <f>VLOOKUP(A1,Data!$A$1:$DZU$1000000,1830,FALSE)</f>
        <v>0</v>
      </c>
      <c r="K108">
        <f>VLOOKUP(A1,Data!$A$1:$DZU$1000000,1831,FALSE)</f>
        <v>0</v>
      </c>
      <c r="L108">
        <f>VLOOKUP(A1,Data!$A$1:$DZU$1000000,1832,FALSE)</f>
        <v>0</v>
      </c>
      <c r="M108">
        <f>VLOOKUP(A1,Data!$A$1:$DZU$1000000,1833,FALSE)</f>
        <v>0</v>
      </c>
      <c r="N108">
        <f>VLOOKUP(A1,Data!$A$1:$DZU$1000000,1834,FALSE)</f>
        <v>0</v>
      </c>
      <c r="O108">
        <f>VLOOKUP(A1,Data!$A$1:$DZU$1000000,1835,FALSE)</f>
        <v>0</v>
      </c>
      <c r="P108">
        <f>VLOOKUP(A1,Data!$A$1:$DZU$1000000,1836,FALSE)</f>
        <v>0</v>
      </c>
      <c r="Q108">
        <f>VLOOKUP(A1,Data!$A$1:$DZU$1000000,1837,FALSE)</f>
        <v>0</v>
      </c>
    </row>
    <row r="109" spans="1:17" ht="15" customHeight="1" x14ac:dyDescent="0.35">
      <c r="A109">
        <f>VLOOKUP(A1,Data!$A$1:$DZU$1000000,1838,FALSE)</f>
        <v>0</v>
      </c>
      <c r="B109">
        <f>VLOOKUP(A1,Data!$A$1:$DZU$1000000,1839,FALSE)</f>
        <v>0</v>
      </c>
      <c r="C109">
        <f>VLOOKUP(A1,Data!$A$1:$DZU$1000000,1840,FALSE)</f>
        <v>0</v>
      </c>
      <c r="D109">
        <f>VLOOKUP(A1,Data!$A$1:$DZU$1000000,1841,FALSE)</f>
        <v>0</v>
      </c>
      <c r="E109">
        <f>VLOOKUP(A1,Data!$A$1:$DZU$1000000,1842,FALSE)</f>
        <v>0</v>
      </c>
      <c r="F109">
        <f>VLOOKUP(A1,Data!$A$1:$DZU$1000000,1843,FALSE)</f>
        <v>0</v>
      </c>
      <c r="G109">
        <f>VLOOKUP(A1,Data!$A$1:$DZU$1000000,1844,FALSE)</f>
        <v>0</v>
      </c>
      <c r="H109">
        <f>VLOOKUP(A1,Data!$A$1:$DZU$1000000,1845,FALSE)</f>
        <v>0</v>
      </c>
      <c r="I109">
        <f>VLOOKUP(A1,Data!$A$1:$DZU$1000000,1846,FALSE)</f>
        <v>0</v>
      </c>
      <c r="J109">
        <f>VLOOKUP(A1,Data!$A$1:$DZU$1000000,1847,FALSE)</f>
        <v>0</v>
      </c>
      <c r="K109">
        <f>VLOOKUP(A1,Data!$A$1:$DZU$1000000,1848,FALSE)</f>
        <v>0</v>
      </c>
      <c r="L109">
        <f>VLOOKUP(A1,Data!$A$1:$DZU$1000000,1849,FALSE)</f>
        <v>0</v>
      </c>
      <c r="M109">
        <f>VLOOKUP(A1,Data!$A$1:$DZU$1000000,1850,FALSE)</f>
        <v>0</v>
      </c>
      <c r="N109">
        <f>VLOOKUP(A1,Data!$A$1:$DZU$1000000,1851,FALSE)</f>
        <v>0</v>
      </c>
      <c r="O109">
        <f>VLOOKUP(A1,Data!$A$1:$DZU$1000000,1852,FALSE)</f>
        <v>0</v>
      </c>
      <c r="P109">
        <f>VLOOKUP(A1,Data!$A$1:$DZU$1000000,1853,FALSE)</f>
        <v>0</v>
      </c>
      <c r="Q109">
        <f>VLOOKUP(A1,Data!$A$1:$DZU$1000000,1854,FALSE)</f>
        <v>0</v>
      </c>
    </row>
    <row r="110" spans="1:17" ht="15" customHeight="1" x14ac:dyDescent="0.35">
      <c r="A110">
        <f>VLOOKUP(A1,Data!$A$1:$DZU$1000000,1855,FALSE)</f>
        <v>0</v>
      </c>
      <c r="B110">
        <f>VLOOKUP(A1,Data!$A$1:$DZU$1000000,1856,FALSE)</f>
        <v>0</v>
      </c>
      <c r="C110">
        <f>VLOOKUP(A1,Data!$A$1:$DZU$1000000,1857,FALSE)</f>
        <v>0</v>
      </c>
      <c r="D110">
        <f>VLOOKUP(A1,Data!$A$1:$DZU$1000000,1858,FALSE)</f>
        <v>0</v>
      </c>
      <c r="E110">
        <f>VLOOKUP(A1,Data!$A$1:$DZU$1000000,1859,FALSE)</f>
        <v>0</v>
      </c>
      <c r="F110">
        <f>VLOOKUP(A1,Data!$A$1:$DZU$1000000,1860,FALSE)</f>
        <v>0</v>
      </c>
      <c r="G110">
        <f>VLOOKUP(A1,Data!$A$1:$DZU$1000000,1861,FALSE)</f>
        <v>0</v>
      </c>
      <c r="H110">
        <f>VLOOKUP(A1,Data!$A$1:$DZU$1000000,1862,FALSE)</f>
        <v>0</v>
      </c>
      <c r="I110">
        <f>VLOOKUP(A1,Data!$A$1:$DZU$1000000,1863,FALSE)</f>
        <v>0</v>
      </c>
      <c r="J110">
        <f>VLOOKUP(A1,Data!$A$1:$DZU$1000000,1864,FALSE)</f>
        <v>0</v>
      </c>
      <c r="K110">
        <f>VLOOKUP(A1,Data!$A$1:$DZU$1000000,1865,FALSE)</f>
        <v>0</v>
      </c>
      <c r="L110">
        <f>VLOOKUP(A1,Data!$A$1:$DZU$1000000,1866,FALSE)</f>
        <v>0</v>
      </c>
      <c r="M110">
        <f>VLOOKUP(A1,Data!$A$1:$DZU$1000000,1867,FALSE)</f>
        <v>0</v>
      </c>
      <c r="N110">
        <f>VLOOKUP(A1,Data!$A$1:$DZU$1000000,1868,FALSE)</f>
        <v>0</v>
      </c>
      <c r="O110">
        <f>VLOOKUP(A1,Data!$A$1:$DZU$1000000,1869,FALSE)</f>
        <v>0</v>
      </c>
      <c r="P110">
        <f>VLOOKUP(A1,Data!$A$1:$DZU$1000000,1870,FALSE)</f>
        <v>0</v>
      </c>
      <c r="Q110">
        <f>VLOOKUP(A1,Data!$A$1:$DZU$1000000,1871,FALSE)</f>
        <v>0</v>
      </c>
    </row>
    <row r="111" spans="1:17" ht="15" customHeight="1" x14ac:dyDescent="0.35">
      <c r="A111">
        <f>VLOOKUP(A1,Data!$A$1:$DZU$1000000,1872,FALSE)</f>
        <v>0</v>
      </c>
      <c r="B111">
        <f>VLOOKUP(A1,Data!$A$1:$DZU$1000000,1873,FALSE)</f>
        <v>0</v>
      </c>
      <c r="C111">
        <f>VLOOKUP(A1,Data!$A$1:$DZU$1000000,1874,FALSE)</f>
        <v>0</v>
      </c>
      <c r="D111">
        <f>VLOOKUP(A1,Data!$A$1:$DZU$1000000,1875,FALSE)</f>
        <v>0</v>
      </c>
      <c r="E111">
        <f>VLOOKUP(A1,Data!$A$1:$DZU$1000000,1876,FALSE)</f>
        <v>0</v>
      </c>
      <c r="F111">
        <f>VLOOKUP(A1,Data!$A$1:$DZU$1000000,1877,FALSE)</f>
        <v>0</v>
      </c>
      <c r="G111">
        <f>VLOOKUP(A1,Data!$A$1:$DZU$1000000,1878,FALSE)</f>
        <v>0</v>
      </c>
      <c r="H111">
        <f>VLOOKUP(A1,Data!$A$1:$DZU$1000000,1879,FALSE)</f>
        <v>0</v>
      </c>
      <c r="I111">
        <f>VLOOKUP(A1,Data!$A$1:$DZU$1000000,1880,FALSE)</f>
        <v>0</v>
      </c>
      <c r="J111">
        <f>VLOOKUP(A1,Data!$A$1:$DZU$1000000,1881,FALSE)</f>
        <v>0</v>
      </c>
      <c r="K111">
        <f>VLOOKUP(A1,Data!$A$1:$DZU$1000000,1882,FALSE)</f>
        <v>0</v>
      </c>
      <c r="L111">
        <f>VLOOKUP(A1,Data!$A$1:$DZU$1000000,1883,FALSE)</f>
        <v>0</v>
      </c>
      <c r="M111">
        <f>VLOOKUP(A1,Data!$A$1:$DZU$1000000,1884,FALSE)</f>
        <v>0</v>
      </c>
      <c r="N111">
        <f>VLOOKUP(A1,Data!$A$1:$DZU$1000000,1885,FALSE)</f>
        <v>0</v>
      </c>
      <c r="O111">
        <f>VLOOKUP(A1,Data!$A$1:$DZU$1000000,1886,FALSE)</f>
        <v>0</v>
      </c>
      <c r="P111">
        <f>VLOOKUP(A1,Data!$A$1:$DZU$1000000,1887,FALSE)</f>
        <v>0</v>
      </c>
      <c r="Q111">
        <f>VLOOKUP(A1,Data!$A$1:$DZU$1000000,1888,FALSE)</f>
        <v>0</v>
      </c>
    </row>
    <row r="112" spans="1:17" ht="15" customHeight="1" x14ac:dyDescent="0.35">
      <c r="A112">
        <f>VLOOKUP(A1,Data!$A$1:$DZU$1000000,1889,FALSE)</f>
        <v>0</v>
      </c>
      <c r="B112">
        <f>VLOOKUP(A1,Data!$A$1:$DZU$1000000,1890,FALSE)</f>
        <v>0</v>
      </c>
      <c r="C112">
        <f>VLOOKUP(A1,Data!$A$1:$DZU$1000000,1891,FALSE)</f>
        <v>0</v>
      </c>
      <c r="D112">
        <f>VLOOKUP(A1,Data!$A$1:$DZU$1000000,1892,FALSE)</f>
        <v>0</v>
      </c>
      <c r="E112">
        <f>VLOOKUP(A1,Data!$A$1:$DZU$1000000,1893,FALSE)</f>
        <v>0</v>
      </c>
      <c r="F112">
        <f>VLOOKUP(A1,Data!$A$1:$DZU$1000000,1894,FALSE)</f>
        <v>0</v>
      </c>
      <c r="G112">
        <f>VLOOKUP(A1,Data!$A$1:$DZU$1000000,1895,FALSE)</f>
        <v>0</v>
      </c>
      <c r="H112">
        <f>VLOOKUP(A1,Data!$A$1:$DZU$1000000,1896,FALSE)</f>
        <v>0</v>
      </c>
      <c r="I112">
        <f>VLOOKUP(A1,Data!$A$1:$DZU$1000000,1897,FALSE)</f>
        <v>0</v>
      </c>
      <c r="J112">
        <f>VLOOKUP(A1,Data!$A$1:$DZU$1000000,1898,FALSE)</f>
        <v>0</v>
      </c>
      <c r="K112">
        <f>VLOOKUP(A1,Data!$A$1:$DZU$1000000,1899,FALSE)</f>
        <v>0</v>
      </c>
      <c r="L112">
        <f>VLOOKUP(A1,Data!$A$1:$DZU$1000000,1900,FALSE)</f>
        <v>0</v>
      </c>
      <c r="M112">
        <f>VLOOKUP(A1,Data!$A$1:$DZU$1000000,1901,FALSE)</f>
        <v>0</v>
      </c>
      <c r="N112">
        <f>VLOOKUP(A1,Data!$A$1:$DZU$1000000,1902,FALSE)</f>
        <v>0</v>
      </c>
      <c r="O112">
        <f>VLOOKUP(A1,Data!$A$1:$DZU$1000000,1903,FALSE)</f>
        <v>0</v>
      </c>
      <c r="P112">
        <f>VLOOKUP(A1,Data!$A$1:$DZU$1000000,1904,FALSE)</f>
        <v>0</v>
      </c>
      <c r="Q112">
        <f>VLOOKUP(A1,Data!$A$1:$DZU$1000000,1905,FALSE)</f>
        <v>0</v>
      </c>
    </row>
    <row r="113" spans="1:17" ht="15" customHeight="1" x14ac:dyDescent="0.35">
      <c r="A113">
        <f>VLOOKUP(A1,Data!$A$1:$DZU$1000000,1906,FALSE)</f>
        <v>0</v>
      </c>
      <c r="B113">
        <f>VLOOKUP(A1,Data!$A$1:$DZU$1000000,1907,FALSE)</f>
        <v>0</v>
      </c>
      <c r="C113">
        <f>VLOOKUP(A1,Data!$A$1:$DZU$1000000,1908,FALSE)</f>
        <v>0</v>
      </c>
      <c r="D113">
        <f>VLOOKUP(A1,Data!$A$1:$DZU$1000000,1909,FALSE)</f>
        <v>0</v>
      </c>
      <c r="E113">
        <f>VLOOKUP(A1,Data!$A$1:$DZU$1000000,1910,FALSE)</f>
        <v>0</v>
      </c>
      <c r="F113">
        <f>VLOOKUP(A1,Data!$A$1:$DZU$1000000,1911,FALSE)</f>
        <v>0</v>
      </c>
      <c r="G113">
        <f>VLOOKUP(A1,Data!$A$1:$DZU$1000000,1912,FALSE)</f>
        <v>0</v>
      </c>
      <c r="H113">
        <f>VLOOKUP(A1,Data!$A$1:$DZU$1000000,1913,FALSE)</f>
        <v>0</v>
      </c>
      <c r="I113">
        <f>VLOOKUP(A1,Data!$A$1:$DZU$1000000,1914,FALSE)</f>
        <v>0</v>
      </c>
      <c r="J113">
        <f>VLOOKUP(A1,Data!$A$1:$DZU$1000000,1915,FALSE)</f>
        <v>0</v>
      </c>
      <c r="K113">
        <f>VLOOKUP(A1,Data!$A$1:$DZU$1000000,1916,FALSE)</f>
        <v>0</v>
      </c>
      <c r="L113">
        <f>VLOOKUP(A1,Data!$A$1:$DZU$1000000,1917,FALSE)</f>
        <v>0</v>
      </c>
      <c r="M113">
        <f>VLOOKUP(A1,Data!$A$1:$DZU$1000000,1918,FALSE)</f>
        <v>0</v>
      </c>
      <c r="N113">
        <f>VLOOKUP(A1,Data!$A$1:$DZU$1000000,1919,FALSE)</f>
        <v>0</v>
      </c>
      <c r="O113">
        <f>VLOOKUP(A1,Data!$A$1:$DZU$1000000,1920,FALSE)</f>
        <v>0</v>
      </c>
      <c r="P113">
        <f>VLOOKUP(A1,Data!$A$1:$DZU$1000000,1921,FALSE)</f>
        <v>0</v>
      </c>
      <c r="Q113">
        <f>VLOOKUP(A1,Data!$A$1:$DZU$1000000,1922,FALSE)</f>
        <v>0</v>
      </c>
    </row>
    <row r="114" spans="1:17" ht="15" customHeight="1" x14ac:dyDescent="0.35">
      <c r="A114">
        <f>VLOOKUP(A1,Data!$A$1:$DZU$1000000,1923,FALSE)</f>
        <v>0</v>
      </c>
      <c r="B114">
        <f>VLOOKUP(A1,Data!$A$1:$DZU$1000000,1924,FALSE)</f>
        <v>0</v>
      </c>
      <c r="C114">
        <f>VLOOKUP(A1,Data!$A$1:$DZU$1000000,1925,FALSE)</f>
        <v>0</v>
      </c>
      <c r="D114">
        <f>VLOOKUP(A1,Data!$A$1:$DZU$1000000,1926,FALSE)</f>
        <v>0</v>
      </c>
      <c r="E114">
        <f>VLOOKUP(A1,Data!$A$1:$DZU$1000000,1927,FALSE)</f>
        <v>0</v>
      </c>
      <c r="F114">
        <f>VLOOKUP(A1,Data!$A$1:$DZU$1000000,1928,FALSE)</f>
        <v>0</v>
      </c>
      <c r="G114">
        <f>VLOOKUP(A1,Data!$A$1:$DZU$1000000,1929,FALSE)</f>
        <v>0</v>
      </c>
      <c r="H114">
        <f>VLOOKUP(A1,Data!$A$1:$DZU$1000000,1930,FALSE)</f>
        <v>0</v>
      </c>
      <c r="I114">
        <f>VLOOKUP(A1,Data!$A$1:$DZU$1000000,1931,FALSE)</f>
        <v>0</v>
      </c>
      <c r="J114">
        <f>VLOOKUP(A1,Data!$A$1:$DZU$1000000,1932,FALSE)</f>
        <v>0</v>
      </c>
      <c r="K114">
        <f>VLOOKUP(A1,Data!$A$1:$DZU$1000000,1933,FALSE)</f>
        <v>0</v>
      </c>
      <c r="L114">
        <f>VLOOKUP(A1,Data!$A$1:$DZU$1000000,1934,FALSE)</f>
        <v>0</v>
      </c>
      <c r="M114">
        <f>VLOOKUP(A1,Data!$A$1:$DZU$1000000,1935,FALSE)</f>
        <v>0</v>
      </c>
      <c r="N114">
        <f>VLOOKUP(A1,Data!$A$1:$DZU$1000000,1936,FALSE)</f>
        <v>0</v>
      </c>
      <c r="O114">
        <f>VLOOKUP(A1,Data!$A$1:$DZU$1000000,1937,FALSE)</f>
        <v>0</v>
      </c>
      <c r="P114">
        <f>VLOOKUP(A1,Data!$A$1:$DZU$1000000,1938,FALSE)</f>
        <v>0</v>
      </c>
      <c r="Q114">
        <f>VLOOKUP(A1,Data!$A$1:$DZU$1000000,1939,FALSE)</f>
        <v>0</v>
      </c>
    </row>
    <row r="115" spans="1:17" ht="15" customHeight="1" x14ac:dyDescent="0.35">
      <c r="A115">
        <f>VLOOKUP(A1,Data!$A$1:$DZU$1000000,1940,FALSE)</f>
        <v>0</v>
      </c>
      <c r="B115">
        <f>VLOOKUP(A1,Data!$A$1:$DZU$1000000,1941,FALSE)</f>
        <v>0</v>
      </c>
      <c r="C115">
        <f>VLOOKUP(A1,Data!$A$1:$DZU$1000000,1942,FALSE)</f>
        <v>0</v>
      </c>
      <c r="D115">
        <f>VLOOKUP(A1,Data!$A$1:$DZU$1000000,1943,FALSE)</f>
        <v>0</v>
      </c>
      <c r="E115">
        <f>VLOOKUP(A1,Data!$A$1:$DZU$1000000,1944,FALSE)</f>
        <v>0</v>
      </c>
      <c r="F115">
        <f>VLOOKUP(A1,Data!$A$1:$DZU$1000000,1945,FALSE)</f>
        <v>0</v>
      </c>
      <c r="G115">
        <f>VLOOKUP(A1,Data!$A$1:$DZU$1000000,1946,FALSE)</f>
        <v>0</v>
      </c>
      <c r="H115">
        <f>VLOOKUP(A1,Data!$A$1:$DZU$1000000,1947,FALSE)</f>
        <v>0</v>
      </c>
      <c r="I115">
        <f>VLOOKUP(A1,Data!$A$1:$DZU$1000000,1948,FALSE)</f>
        <v>0</v>
      </c>
      <c r="J115">
        <f>VLOOKUP(A1,Data!$A$1:$DZU$1000000,1949,FALSE)</f>
        <v>0</v>
      </c>
      <c r="K115">
        <f>VLOOKUP(A1,Data!$A$1:$DZU$1000000,1950,FALSE)</f>
        <v>0</v>
      </c>
      <c r="L115">
        <f>VLOOKUP(A1,Data!$A$1:$DZU$1000000,1951,FALSE)</f>
        <v>0</v>
      </c>
      <c r="M115">
        <f>VLOOKUP(A1,Data!$A$1:$DZU$1000000,1952,FALSE)</f>
        <v>0</v>
      </c>
      <c r="N115">
        <f>VLOOKUP(A1,Data!$A$1:$DZU$1000000,1953,FALSE)</f>
        <v>0</v>
      </c>
      <c r="O115">
        <f>VLOOKUP(A1,Data!$A$1:$DZU$1000000,1954,FALSE)</f>
        <v>0</v>
      </c>
      <c r="P115">
        <f>VLOOKUP(A1,Data!$A$1:$DZU$1000000,1955,FALSE)</f>
        <v>0</v>
      </c>
      <c r="Q115">
        <f>VLOOKUP(A1,Data!$A$1:$DZU$1000000,1956,FALSE)</f>
        <v>0</v>
      </c>
    </row>
    <row r="116" spans="1:17" ht="15" customHeight="1" x14ac:dyDescent="0.35">
      <c r="A116">
        <f>VLOOKUP(A1,Data!$A$1:$DZU$1000000,1957,FALSE)</f>
        <v>0</v>
      </c>
      <c r="B116">
        <f>VLOOKUP(A1,Data!$A$1:$DZU$1000000,1958,FALSE)</f>
        <v>0</v>
      </c>
      <c r="C116">
        <f>VLOOKUP(A1,Data!$A$1:$DZU$1000000,1959,FALSE)</f>
        <v>0</v>
      </c>
      <c r="D116">
        <f>VLOOKUP(A1,Data!$A$1:$DZU$1000000,1960,FALSE)</f>
        <v>0</v>
      </c>
      <c r="E116">
        <f>VLOOKUP(A1,Data!$A$1:$DZU$1000000,1961,FALSE)</f>
        <v>0</v>
      </c>
      <c r="F116">
        <f>VLOOKUP(A1,Data!$A$1:$DZU$1000000,1962,FALSE)</f>
        <v>0</v>
      </c>
      <c r="G116">
        <f>VLOOKUP(A1,Data!$A$1:$DZU$1000000,1963,FALSE)</f>
        <v>0</v>
      </c>
      <c r="H116">
        <f>VLOOKUP(A1,Data!$A$1:$DZU$1000000,1964,FALSE)</f>
        <v>0</v>
      </c>
      <c r="I116">
        <f>VLOOKUP(A1,Data!$A$1:$DZU$1000000,1965,FALSE)</f>
        <v>0</v>
      </c>
      <c r="J116">
        <f>VLOOKUP(A1,Data!$A$1:$DZU$1000000,1966,FALSE)</f>
        <v>0</v>
      </c>
      <c r="K116">
        <f>VLOOKUP(A1,Data!$A$1:$DZU$1000000,1967,FALSE)</f>
        <v>0</v>
      </c>
      <c r="L116">
        <f>VLOOKUP(A1,Data!$A$1:$DZU$1000000,1968,FALSE)</f>
        <v>0</v>
      </c>
      <c r="M116">
        <f>VLOOKUP(A1,Data!$A$1:$DZU$1000000,1969,FALSE)</f>
        <v>0</v>
      </c>
      <c r="N116">
        <f>VLOOKUP(A1,Data!$A$1:$DZU$1000000,1970,FALSE)</f>
        <v>0</v>
      </c>
      <c r="O116">
        <f>VLOOKUP(A1,Data!$A$1:$DZU$1000000,1971,FALSE)</f>
        <v>0</v>
      </c>
      <c r="P116">
        <f>VLOOKUP(A1,Data!$A$1:$DZU$1000000,1972,FALSE)</f>
        <v>0</v>
      </c>
      <c r="Q116">
        <f>VLOOKUP(A1,Data!$A$1:$DZU$1000000,1973,FALSE)</f>
        <v>0</v>
      </c>
    </row>
    <row r="117" spans="1:17" ht="15" customHeight="1" x14ac:dyDescent="0.35">
      <c r="A117">
        <f>VLOOKUP(A1,Data!$A$1:$DZU$1000000,1974,FALSE)</f>
        <v>0</v>
      </c>
      <c r="B117">
        <f>VLOOKUP(A1,Data!$A$1:$DZU$1000000,1975,FALSE)</f>
        <v>0</v>
      </c>
      <c r="C117">
        <f>VLOOKUP(A1,Data!$A$1:$DZU$1000000,1976,FALSE)</f>
        <v>0</v>
      </c>
      <c r="D117">
        <f>VLOOKUP(A1,Data!$A$1:$DZU$1000000,1977,FALSE)</f>
        <v>0</v>
      </c>
      <c r="E117">
        <f>VLOOKUP(A1,Data!$A$1:$DZU$1000000,1978,FALSE)</f>
        <v>0</v>
      </c>
      <c r="F117">
        <f>VLOOKUP(A1,Data!$A$1:$DZU$1000000,1979,FALSE)</f>
        <v>0</v>
      </c>
      <c r="G117">
        <f>VLOOKUP(A1,Data!$A$1:$DZU$1000000,1980,FALSE)</f>
        <v>0</v>
      </c>
      <c r="H117">
        <f>VLOOKUP(A1,Data!$A$1:$DZU$1000000,1981,FALSE)</f>
        <v>0</v>
      </c>
      <c r="I117">
        <f>VLOOKUP(A1,Data!$A$1:$DZU$1000000,1982,FALSE)</f>
        <v>0</v>
      </c>
      <c r="J117">
        <f>VLOOKUP(A1,Data!$A$1:$DZU$1000000,1983,FALSE)</f>
        <v>0</v>
      </c>
      <c r="K117">
        <f>VLOOKUP(A1,Data!$A$1:$DZU$1000000,1984,FALSE)</f>
        <v>0</v>
      </c>
      <c r="L117">
        <f>VLOOKUP(A1,Data!$A$1:$DZU$1000000,1985,FALSE)</f>
        <v>0</v>
      </c>
      <c r="M117">
        <f>VLOOKUP(A1,Data!$A$1:$DZU$1000000,1986,FALSE)</f>
        <v>0</v>
      </c>
      <c r="N117">
        <f>VLOOKUP(A1,Data!$A$1:$DZU$1000000,1987,FALSE)</f>
        <v>0</v>
      </c>
      <c r="O117">
        <f>VLOOKUP(A1,Data!$A$1:$DZU$1000000,1988,FALSE)</f>
        <v>0</v>
      </c>
      <c r="P117">
        <f>VLOOKUP(A1,Data!$A$1:$DZU$1000000,1989,FALSE)</f>
        <v>0</v>
      </c>
      <c r="Q117">
        <f>VLOOKUP(A1,Data!$A$1:$DZU$1000000,1990,FALSE)</f>
        <v>0</v>
      </c>
    </row>
    <row r="118" spans="1:17" ht="15" customHeight="1" x14ac:dyDescent="0.35">
      <c r="A118">
        <f>VLOOKUP(A1,Data!$A$1:$DZU$1000000,1991,FALSE)</f>
        <v>0</v>
      </c>
      <c r="B118">
        <f>VLOOKUP(A1,Data!$A$1:$DZU$1000000,1992,FALSE)</f>
        <v>0</v>
      </c>
      <c r="C118">
        <f>VLOOKUP(A1,Data!$A$1:$DZU$1000000,1993,FALSE)</f>
        <v>0</v>
      </c>
      <c r="D118">
        <f>VLOOKUP(A1,Data!$A$1:$DZU$1000000,1994,FALSE)</f>
        <v>0</v>
      </c>
      <c r="E118">
        <f>VLOOKUP(A1,Data!$A$1:$DZU$1000000,1995,FALSE)</f>
        <v>0</v>
      </c>
      <c r="F118">
        <f>VLOOKUP(A1,Data!$A$1:$DZU$1000000,1996,FALSE)</f>
        <v>0</v>
      </c>
      <c r="G118">
        <f>VLOOKUP(A1,Data!$A$1:$DZU$1000000,1997,FALSE)</f>
        <v>0</v>
      </c>
      <c r="H118">
        <f>VLOOKUP(A1,Data!$A$1:$DZU$1000000,1998,FALSE)</f>
        <v>0</v>
      </c>
      <c r="I118">
        <f>VLOOKUP(A1,Data!$A$1:$DZU$1000000,1999,FALSE)</f>
        <v>0</v>
      </c>
      <c r="J118">
        <f>VLOOKUP(A1,Data!$A$1:$DZU$1000000,2000,FALSE)</f>
        <v>0</v>
      </c>
      <c r="K118">
        <f>VLOOKUP(A1,Data!$A$1:$DZU$1000000,2001,FALSE)</f>
        <v>0</v>
      </c>
      <c r="L118">
        <f>VLOOKUP(A1,Data!$A$1:$DZU$1000000,2002,FALSE)</f>
        <v>0</v>
      </c>
      <c r="M118">
        <f>VLOOKUP(A1,Data!$A$1:$DZU$1000000,2003,FALSE)</f>
        <v>0</v>
      </c>
      <c r="N118">
        <f>VLOOKUP(A1,Data!$A$1:$DZU$1000000,2004,FALSE)</f>
        <v>0</v>
      </c>
      <c r="O118">
        <f>VLOOKUP(A1,Data!$A$1:$DZU$1000000,2005,FALSE)</f>
        <v>0</v>
      </c>
      <c r="P118">
        <f>VLOOKUP(A1,Data!$A$1:$DZU$1000000,2006,FALSE)</f>
        <v>0</v>
      </c>
      <c r="Q118">
        <f>VLOOKUP(A1,Data!$A$1:$DZU$1000000,2007,FALSE)</f>
        <v>0</v>
      </c>
    </row>
    <row r="119" spans="1:17" ht="15" customHeight="1" x14ac:dyDescent="0.35">
      <c r="A119">
        <f>VLOOKUP(A1,Data!$A$1:$DZU$1000000,2008,FALSE)</f>
        <v>0</v>
      </c>
      <c r="B119">
        <f>VLOOKUP(A1,Data!$A$1:$DZU$1000000,2009,FALSE)</f>
        <v>0</v>
      </c>
      <c r="C119">
        <f>VLOOKUP(A1,Data!$A$1:$DZU$1000000,2010,FALSE)</f>
        <v>0</v>
      </c>
      <c r="D119">
        <f>VLOOKUP(A1,Data!$A$1:$DZU$1000000,2011,FALSE)</f>
        <v>0</v>
      </c>
      <c r="E119">
        <f>VLOOKUP(A1,Data!$A$1:$DZU$1000000,2012,FALSE)</f>
        <v>0</v>
      </c>
      <c r="F119">
        <f>VLOOKUP(A1,Data!$A$1:$DZU$1000000,2013,FALSE)</f>
        <v>0</v>
      </c>
      <c r="G119">
        <f>VLOOKUP(A1,Data!$A$1:$DZU$1000000,2014,FALSE)</f>
        <v>0</v>
      </c>
      <c r="H119">
        <f>VLOOKUP(A1,Data!$A$1:$DZU$1000000,2015,FALSE)</f>
        <v>0</v>
      </c>
      <c r="I119">
        <f>VLOOKUP(A1,Data!$A$1:$DZU$1000000,2016,FALSE)</f>
        <v>0</v>
      </c>
      <c r="J119">
        <f>VLOOKUP(A1,Data!$A$1:$DZU$1000000,2017,FALSE)</f>
        <v>0</v>
      </c>
      <c r="K119">
        <f>VLOOKUP(A1,Data!$A$1:$DZU$1000000,2018,FALSE)</f>
        <v>0</v>
      </c>
      <c r="L119">
        <f>VLOOKUP(A1,Data!$A$1:$DZU$1000000,2019,FALSE)</f>
        <v>0</v>
      </c>
      <c r="M119">
        <f>VLOOKUP(A1,Data!$A$1:$DZU$1000000,2020,FALSE)</f>
        <v>0</v>
      </c>
      <c r="N119">
        <f>VLOOKUP(A1,Data!$A$1:$DZU$1000000,2021,FALSE)</f>
        <v>0</v>
      </c>
      <c r="O119">
        <f>VLOOKUP(A1,Data!$A$1:$DZU$1000000,2022,FALSE)</f>
        <v>0</v>
      </c>
      <c r="P119">
        <f>VLOOKUP(A1,Data!$A$1:$DZU$1000000,2023,FALSE)</f>
        <v>0</v>
      </c>
      <c r="Q119">
        <f>VLOOKUP(A1,Data!$A$1:$DZU$1000000,2024,FALSE)</f>
        <v>0</v>
      </c>
    </row>
    <row r="120" spans="1:17" ht="15" customHeight="1" x14ac:dyDescent="0.35">
      <c r="A120">
        <f>VLOOKUP(A1,Data!$A$1:$DZU$1000000,2025,FALSE)</f>
        <v>0</v>
      </c>
      <c r="B120">
        <f>VLOOKUP(A1,Data!$A$1:$DZU$1000000,2026,FALSE)</f>
        <v>0</v>
      </c>
      <c r="C120">
        <f>VLOOKUP(A1,Data!$A$1:$DZU$1000000,2027,FALSE)</f>
        <v>0</v>
      </c>
      <c r="D120">
        <f>VLOOKUP(A1,Data!$A$1:$DZU$1000000,2028,FALSE)</f>
        <v>0</v>
      </c>
      <c r="E120">
        <f>VLOOKUP(A1,Data!$A$1:$DZU$1000000,2029,FALSE)</f>
        <v>0</v>
      </c>
      <c r="F120">
        <f>VLOOKUP(A1,Data!$A$1:$DZU$1000000,2030,FALSE)</f>
        <v>0</v>
      </c>
      <c r="G120">
        <f>VLOOKUP(A1,Data!$A$1:$DZU$1000000,2031,FALSE)</f>
        <v>0</v>
      </c>
      <c r="H120">
        <f>VLOOKUP(A1,Data!$A$1:$DZU$1000000,2032,FALSE)</f>
        <v>0</v>
      </c>
      <c r="I120">
        <f>VLOOKUP(A1,Data!$A$1:$DZU$1000000,2033,FALSE)</f>
        <v>0</v>
      </c>
      <c r="J120">
        <f>VLOOKUP(A1,Data!$A$1:$DZU$1000000,2034,FALSE)</f>
        <v>0</v>
      </c>
      <c r="K120">
        <f>VLOOKUP(A1,Data!$A$1:$DZU$1000000,2035,FALSE)</f>
        <v>0</v>
      </c>
      <c r="L120">
        <f>VLOOKUP(A1,Data!$A$1:$DZU$1000000,2036,FALSE)</f>
        <v>0</v>
      </c>
      <c r="M120">
        <f>VLOOKUP(A1,Data!$A$1:$DZU$1000000,2037,FALSE)</f>
        <v>0</v>
      </c>
      <c r="N120">
        <f>VLOOKUP(A1,Data!$A$1:$DZU$1000000,2038,FALSE)</f>
        <v>0</v>
      </c>
      <c r="O120">
        <f>VLOOKUP(A1,Data!$A$1:$DZU$1000000,2039,FALSE)</f>
        <v>0</v>
      </c>
      <c r="P120">
        <f>VLOOKUP(A1,Data!$A$1:$DZU$1000000,2040,FALSE)</f>
        <v>0</v>
      </c>
      <c r="Q120">
        <f>VLOOKUP(A1,Data!$A$1:$DZU$1000000,2041,FALSE)</f>
        <v>0</v>
      </c>
    </row>
    <row r="121" spans="1:17" ht="15" customHeight="1" x14ac:dyDescent="0.35">
      <c r="A121">
        <f>VLOOKUP(A1,Data!$A$1:$DZU$1000000,2042,FALSE)</f>
        <v>0</v>
      </c>
      <c r="B121">
        <f>VLOOKUP(A1,Data!$A$1:$DZU$1000000,2043,FALSE)</f>
        <v>0</v>
      </c>
      <c r="C121">
        <f>VLOOKUP(A1,Data!$A$1:$DZU$1000000,2044,FALSE)</f>
        <v>0</v>
      </c>
      <c r="D121">
        <f>VLOOKUP(A1,Data!$A$1:$DZU$1000000,2045,FALSE)</f>
        <v>0</v>
      </c>
      <c r="E121">
        <f>VLOOKUP(A1,Data!$A$1:$DZU$1000000,2046,FALSE)</f>
        <v>0</v>
      </c>
      <c r="F121">
        <f>VLOOKUP(A1,Data!$A$1:$DZU$1000000,2047,FALSE)</f>
        <v>0</v>
      </c>
      <c r="G121">
        <f>VLOOKUP(A1,Data!$A$1:$DZU$1000000,2048,FALSE)</f>
        <v>0</v>
      </c>
      <c r="H121">
        <f>VLOOKUP(A1,Data!$A$1:$DZU$1000000,2049,FALSE)</f>
        <v>0</v>
      </c>
      <c r="I121">
        <f>VLOOKUP(A1,Data!$A$1:$DZU$1000000,2050,FALSE)</f>
        <v>0</v>
      </c>
      <c r="J121">
        <f>VLOOKUP(A1,Data!$A$1:$DZU$1000000,2051,FALSE)</f>
        <v>0</v>
      </c>
      <c r="K121">
        <f>VLOOKUP(A1,Data!$A$1:$DZU$1000000,2052,FALSE)</f>
        <v>0</v>
      </c>
      <c r="L121">
        <f>VLOOKUP(A1,Data!$A$1:$DZU$1000000,2053,FALSE)</f>
        <v>0</v>
      </c>
      <c r="M121">
        <f>VLOOKUP(A1,Data!$A$1:$DZU$1000000,2054,FALSE)</f>
        <v>0</v>
      </c>
      <c r="N121">
        <f>VLOOKUP(A1,Data!$A$1:$DZU$1000000,2055,FALSE)</f>
        <v>0</v>
      </c>
      <c r="O121">
        <f>VLOOKUP(A1,Data!$A$1:$DZU$1000000,2056,FALSE)</f>
        <v>0</v>
      </c>
      <c r="P121">
        <f>VLOOKUP(A1,Data!$A$1:$DZU$1000000,2057,FALSE)</f>
        <v>0</v>
      </c>
      <c r="Q121">
        <f>VLOOKUP(A1,Data!$A$1:$DZU$1000000,2058,FALSE)</f>
        <v>0</v>
      </c>
    </row>
    <row r="122" spans="1:17" ht="15" customHeight="1" x14ac:dyDescent="0.35">
      <c r="A122">
        <f>VLOOKUP(A1,Data!$A$1:$DZU$1000000,2059,FALSE)</f>
        <v>0</v>
      </c>
      <c r="B122">
        <f>VLOOKUP(A1,Data!$A$1:$DZU$1000000,2060,FALSE)</f>
        <v>0</v>
      </c>
      <c r="C122">
        <f>VLOOKUP(A1,Data!$A$1:$DZU$1000000,2061,FALSE)</f>
        <v>0</v>
      </c>
      <c r="D122">
        <f>VLOOKUP(A1,Data!$A$1:$DZU$1000000,2062,FALSE)</f>
        <v>0</v>
      </c>
      <c r="E122">
        <f>VLOOKUP(A1,Data!$A$1:$DZU$1000000,2063,FALSE)</f>
        <v>0</v>
      </c>
      <c r="F122">
        <f>VLOOKUP(A1,Data!$A$1:$DZU$1000000,2064,FALSE)</f>
        <v>0</v>
      </c>
      <c r="G122">
        <f>VLOOKUP(A1,Data!$A$1:$DZU$1000000,2065,FALSE)</f>
        <v>0</v>
      </c>
      <c r="H122">
        <f>VLOOKUP(A1,Data!$A$1:$DZU$1000000,2066,FALSE)</f>
        <v>0</v>
      </c>
      <c r="I122">
        <f>VLOOKUP(A1,Data!$A$1:$DZU$1000000,2067,FALSE)</f>
        <v>0</v>
      </c>
      <c r="J122">
        <f>VLOOKUP(A1,Data!$A$1:$DZU$1000000,2068,FALSE)</f>
        <v>0</v>
      </c>
      <c r="K122">
        <f>VLOOKUP(A1,Data!$A$1:$DZU$1000000,2069,FALSE)</f>
        <v>0</v>
      </c>
      <c r="L122">
        <f>VLOOKUP(A1,Data!$A$1:$DZU$1000000,2070,FALSE)</f>
        <v>0</v>
      </c>
      <c r="M122">
        <f>VLOOKUP(A1,Data!$A$1:$DZU$1000000,2071,FALSE)</f>
        <v>0</v>
      </c>
      <c r="N122">
        <f>VLOOKUP(A1,Data!$A$1:$DZU$1000000,2072,FALSE)</f>
        <v>0</v>
      </c>
      <c r="O122">
        <f>VLOOKUP(A1,Data!$A$1:$DZU$1000000,2073,FALSE)</f>
        <v>0</v>
      </c>
      <c r="P122">
        <f>VLOOKUP(A1,Data!$A$1:$DZU$1000000,2074,FALSE)</f>
        <v>0</v>
      </c>
      <c r="Q122">
        <f>VLOOKUP(A1,Data!$A$1:$DZU$1000000,2075,FALSE)</f>
        <v>0</v>
      </c>
    </row>
    <row r="123" spans="1:17" ht="15" customHeight="1" x14ac:dyDescent="0.35">
      <c r="A123">
        <f>VLOOKUP(A1,Data!$A$1:$DZU$1000000,2076,FALSE)</f>
        <v>0</v>
      </c>
      <c r="B123">
        <f>VLOOKUP(A1,Data!$A$1:$DZU$1000000,2077,FALSE)</f>
        <v>0</v>
      </c>
      <c r="C123">
        <f>VLOOKUP(A1,Data!$A$1:$DZU$1000000,2078,FALSE)</f>
        <v>0</v>
      </c>
      <c r="D123">
        <f>VLOOKUP(A1,Data!$A$1:$DZU$1000000,2079,FALSE)</f>
        <v>0</v>
      </c>
      <c r="E123">
        <f>VLOOKUP(A1,Data!$A$1:$DZU$1000000,2080,FALSE)</f>
        <v>0</v>
      </c>
      <c r="F123">
        <f>VLOOKUP(A1,Data!$A$1:$DZU$1000000,2081,FALSE)</f>
        <v>0</v>
      </c>
      <c r="G123">
        <f>VLOOKUP(A1,Data!$A$1:$DZU$1000000,2082,FALSE)</f>
        <v>0</v>
      </c>
      <c r="H123">
        <f>VLOOKUP(A1,Data!$A$1:$DZU$1000000,2083,FALSE)</f>
        <v>0</v>
      </c>
      <c r="I123">
        <f>VLOOKUP(A1,Data!$A$1:$DZU$1000000,2084,FALSE)</f>
        <v>0</v>
      </c>
      <c r="J123">
        <f>VLOOKUP(A1,Data!$A$1:$DZU$1000000,2085,FALSE)</f>
        <v>0</v>
      </c>
      <c r="K123">
        <f>VLOOKUP(A1,Data!$A$1:$DZU$1000000,2086,FALSE)</f>
        <v>0</v>
      </c>
      <c r="L123">
        <f>VLOOKUP(A1,Data!$A$1:$DZU$1000000,2087,FALSE)</f>
        <v>0</v>
      </c>
      <c r="M123">
        <f>VLOOKUP(A1,Data!$A$1:$DZU$1000000,2088,FALSE)</f>
        <v>0</v>
      </c>
      <c r="N123">
        <f>VLOOKUP(A1,Data!$A$1:$DZU$1000000,2089,FALSE)</f>
        <v>0</v>
      </c>
      <c r="O123">
        <f>VLOOKUP(A1,Data!$A$1:$DZU$1000000,2090,FALSE)</f>
        <v>0</v>
      </c>
      <c r="P123">
        <f>VLOOKUP(A1,Data!$A$1:$DZU$1000000,2091,FALSE)</f>
        <v>0</v>
      </c>
      <c r="Q123">
        <f>VLOOKUP(A1,Data!$A$1:$DZU$1000000,2092,FALSE)</f>
        <v>0</v>
      </c>
    </row>
    <row r="124" spans="1:17" ht="15" customHeight="1" x14ac:dyDescent="0.35">
      <c r="A124">
        <f>VLOOKUP(A1,Data!$A$1:$DZU$1000000,2093,FALSE)</f>
        <v>0</v>
      </c>
      <c r="B124">
        <f>VLOOKUP(A1,Data!$A$1:$DZU$1000000,2094,FALSE)</f>
        <v>0</v>
      </c>
      <c r="C124">
        <f>VLOOKUP(A1,Data!$A$1:$DZU$1000000,2095,FALSE)</f>
        <v>0</v>
      </c>
      <c r="D124">
        <f>VLOOKUP(A1,Data!$A$1:$DZU$1000000,2096,FALSE)</f>
        <v>0</v>
      </c>
      <c r="E124">
        <f>VLOOKUP(A1,Data!$A$1:$DZU$1000000,2097,FALSE)</f>
        <v>0</v>
      </c>
      <c r="F124">
        <f>VLOOKUP(A1,Data!$A$1:$DZU$1000000,2098,FALSE)</f>
        <v>0</v>
      </c>
      <c r="G124">
        <f>VLOOKUP(A1,Data!$A$1:$DZU$1000000,2099,FALSE)</f>
        <v>0</v>
      </c>
      <c r="H124">
        <f>VLOOKUP(A1,Data!$A$1:$DZU$1000000,2100,FALSE)</f>
        <v>0</v>
      </c>
      <c r="I124">
        <f>VLOOKUP(A1,Data!$A$1:$DZU$1000000,2101,FALSE)</f>
        <v>0</v>
      </c>
      <c r="J124">
        <f>VLOOKUP(A1,Data!$A$1:$DZU$1000000,2102,FALSE)</f>
        <v>0</v>
      </c>
      <c r="K124">
        <f>VLOOKUP(A1,Data!$A$1:$DZU$1000000,2103,FALSE)</f>
        <v>0</v>
      </c>
      <c r="L124">
        <f>VLOOKUP(A1,Data!$A$1:$DZU$1000000,2104,FALSE)</f>
        <v>0</v>
      </c>
      <c r="M124">
        <f>VLOOKUP(A1,Data!$A$1:$DZU$1000000,2105,FALSE)</f>
        <v>0</v>
      </c>
      <c r="N124">
        <f>VLOOKUP(A1,Data!$A$1:$DZU$1000000,2106,FALSE)</f>
        <v>0</v>
      </c>
      <c r="O124">
        <f>VLOOKUP(A1,Data!$A$1:$DZU$1000000,2107,FALSE)</f>
        <v>0</v>
      </c>
      <c r="P124">
        <f>VLOOKUP(A1,Data!$A$1:$DZU$1000000,2108,FALSE)</f>
        <v>0</v>
      </c>
      <c r="Q124">
        <f>VLOOKUP(A1,Data!$A$1:$DZU$1000000,2109,FALSE)</f>
        <v>0</v>
      </c>
    </row>
    <row r="125" spans="1:17" ht="15" customHeight="1" x14ac:dyDescent="0.35">
      <c r="A125">
        <f>VLOOKUP(A1,Data!$A$1:$DZU$1000000,2110,FALSE)</f>
        <v>0</v>
      </c>
      <c r="B125">
        <f>VLOOKUP(A1,Data!$A$1:$DZU$1000000,2111,FALSE)</f>
        <v>0</v>
      </c>
      <c r="C125">
        <f>VLOOKUP(A1,Data!$A$1:$DZU$1000000,2112,FALSE)</f>
        <v>0</v>
      </c>
      <c r="D125">
        <f>VLOOKUP(A1,Data!$A$1:$DZU$1000000,2113,FALSE)</f>
        <v>0</v>
      </c>
      <c r="E125">
        <f>VLOOKUP(A1,Data!$A$1:$DZU$1000000,2114,FALSE)</f>
        <v>0</v>
      </c>
      <c r="F125">
        <f>VLOOKUP(A1,Data!$A$1:$DZU$1000000,2115,FALSE)</f>
        <v>0</v>
      </c>
      <c r="G125">
        <f>VLOOKUP(A1,Data!$A$1:$DZU$1000000,2116,FALSE)</f>
        <v>0</v>
      </c>
      <c r="H125">
        <f>VLOOKUP(A1,Data!$A$1:$DZU$1000000,2117,FALSE)</f>
        <v>0</v>
      </c>
      <c r="I125">
        <f>VLOOKUP(A1,Data!$A$1:$DZU$1000000,2118,FALSE)</f>
        <v>0</v>
      </c>
      <c r="J125">
        <f>VLOOKUP(A1,Data!$A$1:$DZU$1000000,2119,FALSE)</f>
        <v>0</v>
      </c>
      <c r="K125">
        <f>VLOOKUP(A1,Data!$A$1:$DZU$1000000,2120,FALSE)</f>
        <v>0</v>
      </c>
      <c r="L125">
        <f>VLOOKUP(A1,Data!$A$1:$DZU$1000000,2121,FALSE)</f>
        <v>0</v>
      </c>
      <c r="M125">
        <f>VLOOKUP(A1,Data!$A$1:$DZU$1000000,2122,FALSE)</f>
        <v>0</v>
      </c>
      <c r="N125">
        <f>VLOOKUP(A1,Data!$A$1:$DZU$1000000,2123,FALSE)</f>
        <v>0</v>
      </c>
      <c r="O125">
        <f>VLOOKUP(A1,Data!$A$1:$DZU$1000000,2124,FALSE)</f>
        <v>0</v>
      </c>
      <c r="P125">
        <f>VLOOKUP(A1,Data!$A$1:$DZU$1000000,2125,FALSE)</f>
        <v>0</v>
      </c>
      <c r="Q125">
        <f>VLOOKUP(A1,Data!$A$1:$DZU$1000000,2126,FALSE)</f>
        <v>0</v>
      </c>
    </row>
    <row r="126" spans="1:17" ht="15" customHeight="1" x14ac:dyDescent="0.35">
      <c r="A126">
        <f>VLOOKUP(A1,Data!$A$1:$DZU$1000000,2127,FALSE)</f>
        <v>0</v>
      </c>
      <c r="B126">
        <f>VLOOKUP(A1,Data!$A$1:$DZU$1000000,2128,FALSE)</f>
        <v>0</v>
      </c>
      <c r="C126">
        <f>VLOOKUP(A1,Data!$A$1:$DZU$1000000,2129,FALSE)</f>
        <v>0</v>
      </c>
      <c r="D126">
        <f>VLOOKUP(A1,Data!$A$1:$DZU$1000000,2130,FALSE)</f>
        <v>0</v>
      </c>
      <c r="E126">
        <f>VLOOKUP(A1,Data!$A$1:$DZU$1000000,2131,FALSE)</f>
        <v>0</v>
      </c>
      <c r="F126">
        <f>VLOOKUP(A1,Data!$A$1:$DZU$1000000,2132,FALSE)</f>
        <v>0</v>
      </c>
      <c r="G126">
        <f>VLOOKUP(A1,Data!$A$1:$DZU$1000000,2133,FALSE)</f>
        <v>0</v>
      </c>
      <c r="H126">
        <f>VLOOKUP(A1,Data!$A$1:$DZU$1000000,2134,FALSE)</f>
        <v>0</v>
      </c>
      <c r="I126">
        <f>VLOOKUP(A1,Data!$A$1:$DZU$1000000,2135,FALSE)</f>
        <v>0</v>
      </c>
      <c r="J126">
        <f>VLOOKUP(A1,Data!$A$1:$DZU$1000000,2136,FALSE)</f>
        <v>0</v>
      </c>
      <c r="K126">
        <f>VLOOKUP(A1,Data!$A$1:$DZU$1000000,2137,FALSE)</f>
        <v>0</v>
      </c>
      <c r="L126">
        <f>VLOOKUP(A1,Data!$A$1:$DZU$1000000,2138,FALSE)</f>
        <v>0</v>
      </c>
      <c r="M126">
        <f>VLOOKUP(A1,Data!$A$1:$DZU$1000000,2139,FALSE)</f>
        <v>0</v>
      </c>
      <c r="N126">
        <f>VLOOKUP(A1,Data!$A$1:$DZU$1000000,2140,FALSE)</f>
        <v>0</v>
      </c>
      <c r="O126">
        <f>VLOOKUP(A1,Data!$A$1:$DZU$1000000,2141,FALSE)</f>
        <v>0</v>
      </c>
      <c r="P126">
        <f>VLOOKUP(A1,Data!$A$1:$DZU$1000000,2142,FALSE)</f>
        <v>0</v>
      </c>
      <c r="Q126">
        <f>VLOOKUP(A1,Data!$A$1:$DZU$1000000,2143,FALSE)</f>
        <v>0</v>
      </c>
    </row>
    <row r="127" spans="1:17" ht="15" customHeight="1" x14ac:dyDescent="0.35">
      <c r="A127">
        <f>VLOOKUP(A1,Data!$A$1:$DZU$1000000,2144,FALSE)</f>
        <v>0</v>
      </c>
      <c r="B127">
        <f>VLOOKUP(A1,Data!$A$1:$DZU$1000000,2145,FALSE)</f>
        <v>0</v>
      </c>
      <c r="C127">
        <f>VLOOKUP(A1,Data!$A$1:$DZU$1000000,2146,FALSE)</f>
        <v>0</v>
      </c>
      <c r="D127">
        <f>VLOOKUP(A1,Data!$A$1:$DZU$1000000,2147,FALSE)</f>
        <v>0</v>
      </c>
      <c r="E127">
        <f>VLOOKUP(A1,Data!$A$1:$DZU$1000000,2148,FALSE)</f>
        <v>0</v>
      </c>
      <c r="F127">
        <f>VLOOKUP(A1,Data!$A$1:$DZU$1000000,2149,FALSE)</f>
        <v>0</v>
      </c>
      <c r="G127">
        <f>VLOOKUP(A1,Data!$A$1:$DZU$1000000,2150,FALSE)</f>
        <v>0</v>
      </c>
      <c r="H127">
        <f>VLOOKUP(A1,Data!$A$1:$DZU$1000000,2151,FALSE)</f>
        <v>0</v>
      </c>
      <c r="I127">
        <f>VLOOKUP(A1,Data!$A$1:$DZU$1000000,2152,FALSE)</f>
        <v>0</v>
      </c>
      <c r="J127">
        <f>VLOOKUP(A1,Data!$A$1:$DZU$1000000,2153,FALSE)</f>
        <v>0</v>
      </c>
      <c r="K127">
        <f>VLOOKUP(A1,Data!$A$1:$DZU$1000000,2154,FALSE)</f>
        <v>0</v>
      </c>
      <c r="L127">
        <f>VLOOKUP(A1,Data!$A$1:$DZU$1000000,2155,FALSE)</f>
        <v>0</v>
      </c>
      <c r="M127">
        <f>VLOOKUP(A1,Data!$A$1:$DZU$1000000,2156,FALSE)</f>
        <v>0</v>
      </c>
      <c r="N127">
        <f>VLOOKUP(A1,Data!$A$1:$DZU$1000000,2157,FALSE)</f>
        <v>0</v>
      </c>
      <c r="O127">
        <f>VLOOKUP(A1,Data!$A$1:$DZU$1000000,2158,FALSE)</f>
        <v>0</v>
      </c>
      <c r="P127">
        <f>VLOOKUP(A1,Data!$A$1:$DZU$1000000,2159,FALSE)</f>
        <v>0</v>
      </c>
      <c r="Q127">
        <f>VLOOKUP(A1,Data!$A$1:$DZU$1000000,2160,FALSE)</f>
        <v>0</v>
      </c>
    </row>
    <row r="128" spans="1:17" ht="15" customHeight="1" x14ac:dyDescent="0.35">
      <c r="A128">
        <f>VLOOKUP(A1,Data!$A$1:$DZU$1000000,2161,FALSE)</f>
        <v>0</v>
      </c>
      <c r="B128">
        <f>VLOOKUP(A1,Data!$A$1:$DZU$1000000,2162,FALSE)</f>
        <v>0</v>
      </c>
      <c r="C128">
        <f>VLOOKUP(A1,Data!$A$1:$DZU$1000000,2163,FALSE)</f>
        <v>0</v>
      </c>
      <c r="D128">
        <f>VLOOKUP(A1,Data!$A$1:$DZU$1000000,2164,FALSE)</f>
        <v>0</v>
      </c>
      <c r="E128">
        <f>VLOOKUP(A1,Data!$A$1:$DZU$1000000,2165,FALSE)</f>
        <v>0</v>
      </c>
      <c r="F128">
        <f>VLOOKUP(A1,Data!$A$1:$DZU$1000000,2166,FALSE)</f>
        <v>0</v>
      </c>
      <c r="G128">
        <f>VLOOKUP(A1,Data!$A$1:$DZU$1000000,2167,FALSE)</f>
        <v>0</v>
      </c>
      <c r="H128">
        <f>VLOOKUP(A1,Data!$A$1:$DZU$1000000,2168,FALSE)</f>
        <v>0</v>
      </c>
      <c r="I128">
        <f>VLOOKUP(A1,Data!$A$1:$DZU$1000000,2169,FALSE)</f>
        <v>0</v>
      </c>
      <c r="J128">
        <f>VLOOKUP(A1,Data!$A$1:$DZU$1000000,2170,FALSE)</f>
        <v>0</v>
      </c>
      <c r="K128">
        <f>VLOOKUP(A1,Data!$A$1:$DZU$1000000,2171,FALSE)</f>
        <v>0</v>
      </c>
      <c r="L128">
        <f>VLOOKUP(A1,Data!$A$1:$DZU$1000000,2172,FALSE)</f>
        <v>0</v>
      </c>
      <c r="M128">
        <f>VLOOKUP(A1,Data!$A$1:$DZU$1000000,2173,FALSE)</f>
        <v>0</v>
      </c>
      <c r="N128">
        <f>VLOOKUP(A1,Data!$A$1:$DZU$1000000,2174,FALSE)</f>
        <v>0</v>
      </c>
      <c r="O128">
        <f>VLOOKUP(A1,Data!$A$1:$DZU$1000000,2175,FALSE)</f>
        <v>0</v>
      </c>
      <c r="P128">
        <f>VLOOKUP(A1,Data!$A$1:$DZU$1000000,2176,FALSE)</f>
        <v>0</v>
      </c>
      <c r="Q128">
        <f>VLOOKUP(A1,Data!$A$1:$DZU$1000000,2177,FALSE)</f>
        <v>0</v>
      </c>
    </row>
    <row r="129" spans="1:17" ht="15" customHeight="1" x14ac:dyDescent="0.35">
      <c r="A129">
        <f>VLOOKUP(A1,Data!$A$1:$DZU$1000000,2178,FALSE)</f>
        <v>0</v>
      </c>
      <c r="B129">
        <f>VLOOKUP(A1,Data!$A$1:$DZU$1000000,2179,FALSE)</f>
        <v>0</v>
      </c>
      <c r="C129">
        <f>VLOOKUP(A1,Data!$A$1:$DZU$1000000,2180,FALSE)</f>
        <v>0</v>
      </c>
      <c r="D129">
        <f>VLOOKUP(A1,Data!$A$1:$DZU$1000000,2181,FALSE)</f>
        <v>0</v>
      </c>
      <c r="E129">
        <f>VLOOKUP(A1,Data!$A$1:$DZU$1000000,2182,FALSE)</f>
        <v>0</v>
      </c>
      <c r="F129">
        <f>VLOOKUP(A1,Data!$A$1:$DZU$1000000,2183,FALSE)</f>
        <v>0</v>
      </c>
      <c r="G129">
        <f>VLOOKUP(A1,Data!$A$1:$DZU$1000000,2184,FALSE)</f>
        <v>0</v>
      </c>
      <c r="H129">
        <f>VLOOKUP(A1,Data!$A$1:$DZU$1000000,2185,FALSE)</f>
        <v>0</v>
      </c>
      <c r="I129">
        <f>VLOOKUP(A1,Data!$A$1:$DZU$1000000,2186,FALSE)</f>
        <v>0</v>
      </c>
      <c r="J129">
        <f>VLOOKUP(A1,Data!$A$1:$DZU$1000000,2187,FALSE)</f>
        <v>0</v>
      </c>
      <c r="K129">
        <f>VLOOKUP(A1,Data!$A$1:$DZU$1000000,2188,FALSE)</f>
        <v>0</v>
      </c>
      <c r="L129">
        <f>VLOOKUP(A1,Data!$A$1:$DZU$1000000,2189,FALSE)</f>
        <v>0</v>
      </c>
      <c r="M129">
        <f>VLOOKUP(A1,Data!$A$1:$DZU$1000000,2190,FALSE)</f>
        <v>0</v>
      </c>
      <c r="N129">
        <f>VLOOKUP(A1,Data!$A$1:$DZU$1000000,2191,FALSE)</f>
        <v>0</v>
      </c>
      <c r="O129">
        <f>VLOOKUP(A1,Data!$A$1:$DZU$1000000,2192,FALSE)</f>
        <v>0</v>
      </c>
      <c r="P129">
        <f>VLOOKUP(A1,Data!$A$1:$DZU$1000000,2193,FALSE)</f>
        <v>0</v>
      </c>
      <c r="Q129">
        <f>VLOOKUP(A1,Data!$A$1:$DZU$1000000,2194,FALSE)</f>
        <v>0</v>
      </c>
    </row>
    <row r="130" spans="1:17" ht="15" customHeight="1" x14ac:dyDescent="0.35">
      <c r="A130">
        <f>VLOOKUP(A1,Data!$A$1:$DZU$1000000,2195,FALSE)</f>
        <v>0</v>
      </c>
      <c r="B130">
        <f>VLOOKUP(A1,Data!$A$1:$DZU$1000000,2196,FALSE)</f>
        <v>0</v>
      </c>
      <c r="C130">
        <f>VLOOKUP(A1,Data!$A$1:$DZU$1000000,2197,FALSE)</f>
        <v>0</v>
      </c>
      <c r="D130">
        <f>VLOOKUP(A1,Data!$A$1:$DZU$1000000,2198,FALSE)</f>
        <v>0</v>
      </c>
      <c r="E130">
        <f>VLOOKUP(A1,Data!$A$1:$DZU$1000000,2199,FALSE)</f>
        <v>0</v>
      </c>
      <c r="F130">
        <f>VLOOKUP(A1,Data!$A$1:$DZU$1000000,2200,FALSE)</f>
        <v>0</v>
      </c>
      <c r="G130">
        <f>VLOOKUP(A1,Data!$A$1:$DZU$1000000,2201,FALSE)</f>
        <v>0</v>
      </c>
      <c r="H130">
        <f>VLOOKUP(A1,Data!$A$1:$DZU$1000000,2202,FALSE)</f>
        <v>0</v>
      </c>
      <c r="I130">
        <f>VLOOKUP(A1,Data!$A$1:$DZU$1000000,2203,FALSE)</f>
        <v>0</v>
      </c>
      <c r="J130">
        <f>VLOOKUP(A1,Data!$A$1:$DZU$1000000,2204,FALSE)</f>
        <v>0</v>
      </c>
      <c r="K130">
        <f>VLOOKUP(A1,Data!$A$1:$DZU$1000000,2205,FALSE)</f>
        <v>0</v>
      </c>
      <c r="L130">
        <f>VLOOKUP(A1,Data!$A$1:$DZU$1000000,2206,FALSE)</f>
        <v>0</v>
      </c>
      <c r="M130">
        <f>VLOOKUP(A1,Data!$A$1:$DZU$1000000,2207,FALSE)</f>
        <v>0</v>
      </c>
      <c r="N130">
        <f>VLOOKUP(A1,Data!$A$1:$DZU$1000000,2208,FALSE)</f>
        <v>0</v>
      </c>
      <c r="O130">
        <f>VLOOKUP(A1,Data!$A$1:$DZU$1000000,2209,FALSE)</f>
        <v>0</v>
      </c>
      <c r="P130">
        <f>VLOOKUP(A1,Data!$A$1:$DZU$1000000,2210,FALSE)</f>
        <v>0</v>
      </c>
      <c r="Q130">
        <f>VLOOKUP(A1,Data!$A$1:$DZU$1000000,2211,FALSE)</f>
        <v>0</v>
      </c>
    </row>
    <row r="131" spans="1:17" ht="15" customHeight="1" x14ac:dyDescent="0.35">
      <c r="A131">
        <f>VLOOKUP(A1,Data!$A$1:$DZU$1000000,2212,FALSE)</f>
        <v>0</v>
      </c>
      <c r="B131">
        <f>VLOOKUP(A1,Data!$A$1:$DZU$1000000,2213,FALSE)</f>
        <v>0</v>
      </c>
      <c r="C131">
        <f>VLOOKUP(A1,Data!$A$1:$DZU$1000000,2214,FALSE)</f>
        <v>0</v>
      </c>
      <c r="D131">
        <f>VLOOKUP(A1,Data!$A$1:$DZU$1000000,2215,FALSE)</f>
        <v>0</v>
      </c>
      <c r="E131">
        <f>VLOOKUP(A1,Data!$A$1:$DZU$1000000,2216,FALSE)</f>
        <v>0</v>
      </c>
      <c r="F131">
        <f>VLOOKUP(A1,Data!$A$1:$DZU$1000000,2217,FALSE)</f>
        <v>0</v>
      </c>
      <c r="G131">
        <f>VLOOKUP(A1,Data!$A$1:$DZU$1000000,2218,FALSE)</f>
        <v>0</v>
      </c>
      <c r="H131">
        <f>VLOOKUP(A1,Data!$A$1:$DZU$1000000,2219,FALSE)</f>
        <v>0</v>
      </c>
      <c r="I131">
        <f>VLOOKUP(A1,Data!$A$1:$DZU$1000000,2220,FALSE)</f>
        <v>0</v>
      </c>
      <c r="J131">
        <f>VLOOKUP(A1,Data!$A$1:$DZU$1000000,2221,FALSE)</f>
        <v>0</v>
      </c>
      <c r="K131">
        <f>VLOOKUP(A1,Data!$A$1:$DZU$1000000,2222,FALSE)</f>
        <v>0</v>
      </c>
      <c r="L131">
        <f>VLOOKUP(A1,Data!$A$1:$DZU$1000000,2223,FALSE)</f>
        <v>0</v>
      </c>
      <c r="M131">
        <f>VLOOKUP(A1,Data!$A$1:$DZU$1000000,2224,FALSE)</f>
        <v>0</v>
      </c>
      <c r="N131">
        <f>VLOOKUP(A1,Data!$A$1:$DZU$1000000,2225,FALSE)</f>
        <v>0</v>
      </c>
      <c r="O131">
        <f>VLOOKUP(A1,Data!$A$1:$DZU$1000000,2226,FALSE)</f>
        <v>0</v>
      </c>
      <c r="P131">
        <f>VLOOKUP(A1,Data!$A$1:$DZU$1000000,2227,FALSE)</f>
        <v>0</v>
      </c>
      <c r="Q131">
        <f>VLOOKUP(A1,Data!$A$1:$DZU$1000000,2228,FALSE)</f>
        <v>0</v>
      </c>
    </row>
    <row r="132" spans="1:17" ht="15" customHeight="1" x14ac:dyDescent="0.35">
      <c r="A132">
        <f>VLOOKUP(A1,Data!$A$1:$DZU$1000000,2229,FALSE)</f>
        <v>0</v>
      </c>
      <c r="B132">
        <f>VLOOKUP(A1,Data!$A$1:$DZU$1000000,2230,FALSE)</f>
        <v>0</v>
      </c>
      <c r="C132">
        <f>VLOOKUP(A1,Data!$A$1:$DZU$1000000,2231,FALSE)</f>
        <v>0</v>
      </c>
      <c r="D132">
        <f>VLOOKUP(A1,Data!$A$1:$DZU$1000000,2232,FALSE)</f>
        <v>0</v>
      </c>
      <c r="E132">
        <f>VLOOKUP(A1,Data!$A$1:$DZU$1000000,2233,FALSE)</f>
        <v>0</v>
      </c>
      <c r="F132">
        <f>VLOOKUP(A1,Data!$A$1:$DZU$1000000,2234,FALSE)</f>
        <v>0</v>
      </c>
      <c r="G132">
        <f>VLOOKUP(A1,Data!$A$1:$DZU$1000000,2235,FALSE)</f>
        <v>0</v>
      </c>
      <c r="H132">
        <f>VLOOKUP(A1,Data!$A$1:$DZU$1000000,2236,FALSE)</f>
        <v>0</v>
      </c>
      <c r="I132">
        <f>VLOOKUP(A1,Data!$A$1:$DZU$1000000,2237,FALSE)</f>
        <v>0</v>
      </c>
      <c r="J132">
        <f>VLOOKUP(A1,Data!$A$1:$DZU$1000000,2238,FALSE)</f>
        <v>0</v>
      </c>
      <c r="K132">
        <f>VLOOKUP(A1,Data!$A$1:$DZU$1000000,2239,FALSE)</f>
        <v>0</v>
      </c>
      <c r="L132">
        <f>VLOOKUP(A1,Data!$A$1:$DZU$1000000,2240,FALSE)</f>
        <v>0</v>
      </c>
      <c r="M132">
        <f>VLOOKUP(A1,Data!$A$1:$DZU$1000000,2241,FALSE)</f>
        <v>0</v>
      </c>
      <c r="N132">
        <f>VLOOKUP(A1,Data!$A$1:$DZU$1000000,2242,FALSE)</f>
        <v>0</v>
      </c>
      <c r="O132">
        <f>VLOOKUP(A1,Data!$A$1:$DZU$1000000,2243,FALSE)</f>
        <v>0</v>
      </c>
      <c r="P132">
        <f>VLOOKUP(A1,Data!$A$1:$DZU$1000000,2244,FALSE)</f>
        <v>0</v>
      </c>
      <c r="Q132">
        <f>VLOOKUP(A1,Data!$A$1:$DZU$1000000,2245,FALSE)</f>
        <v>0</v>
      </c>
    </row>
    <row r="133" spans="1:17" ht="15" customHeight="1" x14ac:dyDescent="0.35">
      <c r="A133">
        <f>VLOOKUP(A1,Data!$A$1:$DZU$1000000,2246,FALSE)</f>
        <v>0</v>
      </c>
      <c r="B133">
        <f>VLOOKUP(A1,Data!$A$1:$DZU$1000000,2247,FALSE)</f>
        <v>0</v>
      </c>
      <c r="C133">
        <f>VLOOKUP(A1,Data!$A$1:$DZU$1000000,2248,FALSE)</f>
        <v>0</v>
      </c>
      <c r="D133">
        <f>VLOOKUP(A1,Data!$A$1:$DZU$1000000,2249,FALSE)</f>
        <v>0</v>
      </c>
      <c r="E133">
        <f>VLOOKUP(A1,Data!$A$1:$DZU$1000000,2250,FALSE)</f>
        <v>0</v>
      </c>
      <c r="F133">
        <f>VLOOKUP(A1,Data!$A$1:$DZU$1000000,2251,FALSE)</f>
        <v>0</v>
      </c>
      <c r="G133">
        <f>VLOOKUP(A1,Data!$A$1:$DZU$1000000,2252,FALSE)</f>
        <v>0</v>
      </c>
      <c r="H133">
        <f>VLOOKUP(A1,Data!$A$1:$DZU$1000000,2253,FALSE)</f>
        <v>0</v>
      </c>
      <c r="I133">
        <f>VLOOKUP(A1,Data!$A$1:$DZU$1000000,2254,FALSE)</f>
        <v>0</v>
      </c>
      <c r="J133">
        <f>VLOOKUP(A1,Data!$A$1:$DZU$1000000,2255,FALSE)</f>
        <v>0</v>
      </c>
      <c r="K133">
        <f>VLOOKUP(A1,Data!$A$1:$DZU$1000000,2256,FALSE)</f>
        <v>0</v>
      </c>
      <c r="L133">
        <f>VLOOKUP(A1,Data!$A$1:$DZU$1000000,2257,FALSE)</f>
        <v>0</v>
      </c>
      <c r="M133">
        <f>VLOOKUP(A1,Data!$A$1:$DZU$1000000,2258,FALSE)</f>
        <v>0</v>
      </c>
      <c r="N133">
        <f>VLOOKUP(A1,Data!$A$1:$DZU$1000000,2259,FALSE)</f>
        <v>0</v>
      </c>
      <c r="O133">
        <f>VLOOKUP(A1,Data!$A$1:$DZU$1000000,2260,FALSE)</f>
        <v>0</v>
      </c>
      <c r="P133">
        <f>VLOOKUP(A1,Data!$A$1:$DZU$1000000,2261,FALSE)</f>
        <v>0</v>
      </c>
      <c r="Q133">
        <f>VLOOKUP(A1,Data!$A$1:$DZU$1000000,2262,FALSE)</f>
        <v>0</v>
      </c>
    </row>
    <row r="134" spans="1:17" ht="15" customHeight="1" x14ac:dyDescent="0.35">
      <c r="A134">
        <f>VLOOKUP(A1,Data!$A$1:$DZU$1000000,2263,FALSE)</f>
        <v>0</v>
      </c>
      <c r="B134">
        <f>VLOOKUP(A1,Data!$A$1:$DZU$1000000,2264,FALSE)</f>
        <v>0</v>
      </c>
      <c r="C134">
        <f>VLOOKUP(A1,Data!$A$1:$DZU$1000000,2265,FALSE)</f>
        <v>0</v>
      </c>
      <c r="D134">
        <f>VLOOKUP(A1,Data!$A$1:$DZU$1000000,2266,FALSE)</f>
        <v>0</v>
      </c>
      <c r="E134">
        <f>VLOOKUP(A1,Data!$A$1:$DZU$1000000,2267,FALSE)</f>
        <v>0</v>
      </c>
      <c r="F134">
        <f>VLOOKUP(A1,Data!$A$1:$DZU$1000000,2268,FALSE)</f>
        <v>0</v>
      </c>
      <c r="G134">
        <f>VLOOKUP(A1,Data!$A$1:$DZU$1000000,2269,FALSE)</f>
        <v>0</v>
      </c>
      <c r="H134">
        <f>VLOOKUP(A1,Data!$A$1:$DZU$1000000,2270,FALSE)</f>
        <v>0</v>
      </c>
      <c r="I134">
        <f>VLOOKUP(A1,Data!$A$1:$DZU$1000000,2271,FALSE)</f>
        <v>0</v>
      </c>
      <c r="J134">
        <f>VLOOKUP(A1,Data!$A$1:$DZU$1000000,2272,FALSE)</f>
        <v>0</v>
      </c>
      <c r="K134">
        <f>VLOOKUP(A1,Data!$A$1:$DZU$1000000,2273,FALSE)</f>
        <v>0</v>
      </c>
      <c r="L134">
        <f>VLOOKUP(A1,Data!$A$1:$DZU$1000000,2274,FALSE)</f>
        <v>0</v>
      </c>
      <c r="M134">
        <f>VLOOKUP(A1,Data!$A$1:$DZU$1000000,2275,FALSE)</f>
        <v>0</v>
      </c>
      <c r="N134">
        <f>VLOOKUP(A1,Data!$A$1:$DZU$1000000,2276,FALSE)</f>
        <v>0</v>
      </c>
      <c r="O134">
        <f>VLOOKUP(A1,Data!$A$1:$DZU$1000000,2277,FALSE)</f>
        <v>0</v>
      </c>
      <c r="P134">
        <f>VLOOKUP(A1,Data!$A$1:$DZU$1000000,2278,FALSE)</f>
        <v>0</v>
      </c>
      <c r="Q134">
        <f>VLOOKUP(A1,Data!$A$1:$DZU$1000000,2279,FALSE)</f>
        <v>0</v>
      </c>
    </row>
    <row r="135" spans="1:17" ht="15" customHeight="1" x14ac:dyDescent="0.35">
      <c r="A135">
        <f>VLOOKUP(A1,Data!$A$1:$DZU$1000000,2280,FALSE)</f>
        <v>0</v>
      </c>
      <c r="B135">
        <f>VLOOKUP(A1,Data!$A$1:$DZU$1000000,2281,FALSE)</f>
        <v>0</v>
      </c>
      <c r="C135">
        <f>VLOOKUP(A1,Data!$A$1:$DZU$1000000,2282,FALSE)</f>
        <v>0</v>
      </c>
      <c r="D135">
        <f>VLOOKUP(A1,Data!$A$1:$DZU$1000000,2283,FALSE)</f>
        <v>0</v>
      </c>
      <c r="E135">
        <f>VLOOKUP(A1,Data!$A$1:$DZU$1000000,2284,FALSE)</f>
        <v>0</v>
      </c>
      <c r="F135">
        <f>VLOOKUP(A1,Data!$A$1:$DZU$1000000,2285,FALSE)</f>
        <v>0</v>
      </c>
      <c r="G135">
        <f>VLOOKUP(A1,Data!$A$1:$DZU$1000000,2286,FALSE)</f>
        <v>0</v>
      </c>
      <c r="H135">
        <f>VLOOKUP(A1,Data!$A$1:$DZU$1000000,2287,FALSE)</f>
        <v>0</v>
      </c>
      <c r="I135">
        <f>VLOOKUP(A1,Data!$A$1:$DZU$1000000,2288,FALSE)</f>
        <v>0</v>
      </c>
      <c r="J135">
        <f>VLOOKUP(A1,Data!$A$1:$DZU$1000000,2289,FALSE)</f>
        <v>0</v>
      </c>
      <c r="K135">
        <f>VLOOKUP(A1,Data!$A$1:$DZU$1000000,2290,FALSE)</f>
        <v>0</v>
      </c>
      <c r="L135">
        <f>VLOOKUP(A1,Data!$A$1:$DZU$1000000,2291,FALSE)</f>
        <v>0</v>
      </c>
      <c r="M135">
        <f>VLOOKUP(A1,Data!$A$1:$DZU$1000000,2292,FALSE)</f>
        <v>0</v>
      </c>
      <c r="N135">
        <f>VLOOKUP(A1,Data!$A$1:$DZU$1000000,2293,FALSE)</f>
        <v>0</v>
      </c>
      <c r="O135">
        <f>VLOOKUP(A1,Data!$A$1:$DZU$1000000,2294,FALSE)</f>
        <v>0</v>
      </c>
      <c r="P135">
        <f>VLOOKUP(A1,Data!$A$1:$DZU$1000000,2295,FALSE)</f>
        <v>0</v>
      </c>
      <c r="Q135">
        <f>VLOOKUP(A1,Data!$A$1:$DZU$1000000,2296,FALSE)</f>
        <v>0</v>
      </c>
    </row>
    <row r="136" spans="1:17" ht="15" customHeight="1" x14ac:dyDescent="0.35">
      <c r="A136">
        <f>VLOOKUP(A1,Data!$A$1:$DZU$1000000,2297,FALSE)</f>
        <v>0</v>
      </c>
      <c r="B136">
        <f>VLOOKUP(A1,Data!$A$1:$DZU$1000000,2298,FALSE)</f>
        <v>0</v>
      </c>
      <c r="C136">
        <f>VLOOKUP(A1,Data!$A$1:$DZU$1000000,2299,FALSE)</f>
        <v>0</v>
      </c>
      <c r="D136">
        <f>VLOOKUP(A1,Data!$A$1:$DZU$1000000,2300,FALSE)</f>
        <v>0</v>
      </c>
      <c r="E136">
        <f>VLOOKUP(A1,Data!$A$1:$DZU$1000000,2301,FALSE)</f>
        <v>0</v>
      </c>
      <c r="F136">
        <f>VLOOKUP(A1,Data!$A$1:$DZU$1000000,2302,FALSE)</f>
        <v>0</v>
      </c>
      <c r="G136">
        <f>VLOOKUP(A1,Data!$A$1:$DZU$1000000,2303,FALSE)</f>
        <v>0</v>
      </c>
      <c r="H136">
        <f>VLOOKUP(A1,Data!$A$1:$DZU$1000000,2304,FALSE)</f>
        <v>0</v>
      </c>
      <c r="I136">
        <f>VLOOKUP(A1,Data!$A$1:$DZU$1000000,2305,FALSE)</f>
        <v>0</v>
      </c>
      <c r="J136">
        <f>VLOOKUP(A1,Data!$A$1:$DZU$1000000,2306,FALSE)</f>
        <v>0</v>
      </c>
      <c r="K136">
        <f>VLOOKUP(A1,Data!$A$1:$DZU$1000000,2307,FALSE)</f>
        <v>0</v>
      </c>
      <c r="L136">
        <f>VLOOKUP(A1,Data!$A$1:$DZU$1000000,2308,FALSE)</f>
        <v>0</v>
      </c>
      <c r="M136">
        <f>VLOOKUP(A1,Data!$A$1:$DZU$1000000,2309,FALSE)</f>
        <v>0</v>
      </c>
      <c r="N136">
        <f>VLOOKUP(A1,Data!$A$1:$DZU$1000000,2310,FALSE)</f>
        <v>0</v>
      </c>
      <c r="O136">
        <f>VLOOKUP(A1,Data!$A$1:$DZU$1000000,2311,FALSE)</f>
        <v>0</v>
      </c>
      <c r="P136">
        <f>VLOOKUP(A1,Data!$A$1:$DZU$1000000,2312,FALSE)</f>
        <v>0</v>
      </c>
      <c r="Q136">
        <f>VLOOKUP(A1,Data!$A$1:$DZU$1000000,2313,FALSE)</f>
        <v>0</v>
      </c>
    </row>
    <row r="137" spans="1:17" ht="15" customHeight="1" x14ac:dyDescent="0.35">
      <c r="A137">
        <f>VLOOKUP(A1,Data!$A$1:$DZU$1000000,2314,FALSE)</f>
        <v>0</v>
      </c>
      <c r="B137">
        <f>VLOOKUP(A1,Data!$A$1:$DZU$1000000,2315,FALSE)</f>
        <v>0</v>
      </c>
      <c r="C137">
        <f>VLOOKUP(A1,Data!$A$1:$DZU$1000000,2316,FALSE)</f>
        <v>0</v>
      </c>
      <c r="D137">
        <f>VLOOKUP(A1,Data!$A$1:$DZU$1000000,2317,FALSE)</f>
        <v>0</v>
      </c>
      <c r="E137">
        <f>VLOOKUP(A1,Data!$A$1:$DZU$1000000,2318,FALSE)</f>
        <v>0</v>
      </c>
      <c r="F137">
        <f>VLOOKUP(A1,Data!$A$1:$DZU$1000000,2319,FALSE)</f>
        <v>0</v>
      </c>
      <c r="G137">
        <f>VLOOKUP(A1,Data!$A$1:$DZU$1000000,2320,FALSE)</f>
        <v>0</v>
      </c>
      <c r="H137">
        <f>VLOOKUP(A1,Data!$A$1:$DZU$1000000,2321,FALSE)</f>
        <v>0</v>
      </c>
      <c r="I137">
        <f>VLOOKUP(A1,Data!$A$1:$DZU$1000000,2322,FALSE)</f>
        <v>0</v>
      </c>
      <c r="J137">
        <f>VLOOKUP(A1,Data!$A$1:$DZU$1000000,2323,FALSE)</f>
        <v>0</v>
      </c>
      <c r="K137">
        <f>VLOOKUP(A1,Data!$A$1:$DZU$1000000,2324,FALSE)</f>
        <v>0</v>
      </c>
      <c r="L137">
        <f>VLOOKUP(A1,Data!$A$1:$DZU$1000000,2325,FALSE)</f>
        <v>0</v>
      </c>
      <c r="M137">
        <f>VLOOKUP(A1,Data!$A$1:$DZU$1000000,2326,FALSE)</f>
        <v>0</v>
      </c>
      <c r="N137">
        <f>VLOOKUP(A1,Data!$A$1:$DZU$1000000,2327,FALSE)</f>
        <v>0</v>
      </c>
      <c r="O137">
        <f>VLOOKUP(A1,Data!$A$1:$DZU$1000000,2328,FALSE)</f>
        <v>0</v>
      </c>
      <c r="P137">
        <f>VLOOKUP(A1,Data!$A$1:$DZU$1000000,2329,FALSE)</f>
        <v>0</v>
      </c>
      <c r="Q137">
        <f>VLOOKUP(A1,Data!$A$1:$DZU$1000000,2330,FALSE)</f>
        <v>0</v>
      </c>
    </row>
    <row r="138" spans="1:17" ht="15" customHeight="1" x14ac:dyDescent="0.35">
      <c r="A138">
        <f>VLOOKUP(A1,Data!$A$1:$DZU$1000000,2331,FALSE)</f>
        <v>0</v>
      </c>
      <c r="B138">
        <f>VLOOKUP(A1,Data!$A$1:$DZU$1000000,2332,FALSE)</f>
        <v>0</v>
      </c>
      <c r="C138">
        <f>VLOOKUP(A1,Data!$A$1:$DZU$1000000,2333,FALSE)</f>
        <v>0</v>
      </c>
      <c r="D138">
        <f>VLOOKUP(A1,Data!$A$1:$DZU$1000000,2334,FALSE)</f>
        <v>0</v>
      </c>
      <c r="E138">
        <f>VLOOKUP(A1,Data!$A$1:$DZU$1000000,2335,FALSE)</f>
        <v>0</v>
      </c>
      <c r="F138">
        <f>VLOOKUP(A1,Data!$A$1:$DZU$1000000,2336,FALSE)</f>
        <v>0</v>
      </c>
      <c r="G138">
        <f>VLOOKUP(A1,Data!$A$1:$DZU$1000000,2337,FALSE)</f>
        <v>0</v>
      </c>
      <c r="H138">
        <f>VLOOKUP(A1,Data!$A$1:$DZU$1000000,2338,FALSE)</f>
        <v>0</v>
      </c>
      <c r="I138">
        <f>VLOOKUP(A1,Data!$A$1:$DZU$1000000,2339,FALSE)</f>
        <v>0</v>
      </c>
      <c r="J138">
        <f>VLOOKUP(A1,Data!$A$1:$DZU$1000000,2340,FALSE)</f>
        <v>0</v>
      </c>
      <c r="K138">
        <f>VLOOKUP(A1,Data!$A$1:$DZU$1000000,2341,FALSE)</f>
        <v>0</v>
      </c>
      <c r="L138">
        <f>VLOOKUP(A1,Data!$A$1:$DZU$1000000,2342,FALSE)</f>
        <v>0</v>
      </c>
      <c r="M138">
        <f>VLOOKUP(A1,Data!$A$1:$DZU$1000000,2343,FALSE)</f>
        <v>0</v>
      </c>
      <c r="N138">
        <f>VLOOKUP(A1,Data!$A$1:$DZU$1000000,2344,FALSE)</f>
        <v>0</v>
      </c>
      <c r="O138">
        <f>VLOOKUP(A1,Data!$A$1:$DZU$1000000,2345,FALSE)</f>
        <v>0</v>
      </c>
      <c r="P138">
        <f>VLOOKUP(A1,Data!$A$1:$DZU$1000000,2346,FALSE)</f>
        <v>0</v>
      </c>
      <c r="Q138">
        <f>VLOOKUP(A1,Data!$A$1:$DZU$1000000,2347,FALSE)</f>
        <v>0</v>
      </c>
    </row>
    <row r="139" spans="1:17" ht="15" customHeight="1" x14ac:dyDescent="0.35">
      <c r="A139">
        <f>VLOOKUP(A1,Data!$A$1:$DZU$1000000,2348,FALSE)</f>
        <v>0</v>
      </c>
      <c r="B139">
        <f>VLOOKUP(A1,Data!$A$1:$DZU$1000000,2349,FALSE)</f>
        <v>0</v>
      </c>
      <c r="C139">
        <f>VLOOKUP(A1,Data!$A$1:$DZU$1000000,2350,FALSE)</f>
        <v>0</v>
      </c>
      <c r="D139">
        <f>VLOOKUP(A1,Data!$A$1:$DZU$1000000,2351,FALSE)</f>
        <v>0</v>
      </c>
      <c r="E139">
        <f>VLOOKUP(A1,Data!$A$1:$DZU$1000000,2352,FALSE)</f>
        <v>0</v>
      </c>
      <c r="F139">
        <f>VLOOKUP(A1,Data!$A$1:$DZU$1000000,2353,FALSE)</f>
        <v>0</v>
      </c>
      <c r="G139">
        <f>VLOOKUP(A1,Data!$A$1:$DZU$1000000,2354,FALSE)</f>
        <v>0</v>
      </c>
      <c r="H139">
        <f>VLOOKUP(A1,Data!$A$1:$DZU$1000000,2355,FALSE)</f>
        <v>0</v>
      </c>
      <c r="I139">
        <f>VLOOKUP(A1,Data!$A$1:$DZU$1000000,2356,FALSE)</f>
        <v>0</v>
      </c>
      <c r="J139">
        <f>VLOOKUP(A1,Data!$A$1:$DZU$1000000,2357,FALSE)</f>
        <v>0</v>
      </c>
      <c r="K139">
        <f>VLOOKUP(A1,Data!$A$1:$DZU$1000000,2358,FALSE)</f>
        <v>0</v>
      </c>
      <c r="L139">
        <f>VLOOKUP(A1,Data!$A$1:$DZU$1000000,2359,FALSE)</f>
        <v>0</v>
      </c>
      <c r="M139">
        <f>VLOOKUP(A1,Data!$A$1:$DZU$1000000,2360,FALSE)</f>
        <v>0</v>
      </c>
      <c r="N139">
        <f>VLOOKUP(A1,Data!$A$1:$DZU$1000000,2361,FALSE)</f>
        <v>0</v>
      </c>
      <c r="O139">
        <f>VLOOKUP(A1,Data!$A$1:$DZU$1000000,2362,FALSE)</f>
        <v>0</v>
      </c>
      <c r="P139">
        <f>VLOOKUP(A1,Data!$A$1:$DZU$1000000,2363,FALSE)</f>
        <v>0</v>
      </c>
      <c r="Q139">
        <f>VLOOKUP(A1,Data!$A$1:$DZU$1000000,2364,FALSE)</f>
        <v>0</v>
      </c>
    </row>
    <row r="140" spans="1:17" ht="15" customHeight="1" x14ac:dyDescent="0.35">
      <c r="A140">
        <f>VLOOKUP(A1,Data!$A$1:$DZU$1000000,2365,FALSE)</f>
        <v>0</v>
      </c>
      <c r="B140">
        <f>VLOOKUP(A1,Data!$A$1:$DZU$1000000,2366,FALSE)</f>
        <v>0</v>
      </c>
      <c r="C140">
        <f>VLOOKUP(A1,Data!$A$1:$DZU$1000000,2367,FALSE)</f>
        <v>0</v>
      </c>
      <c r="D140">
        <f>VLOOKUP(A1,Data!$A$1:$DZU$1000000,2368,FALSE)</f>
        <v>0</v>
      </c>
      <c r="E140">
        <f>VLOOKUP(A1,Data!$A$1:$DZU$1000000,2369,FALSE)</f>
        <v>0</v>
      </c>
      <c r="F140">
        <f>VLOOKUP(A1,Data!$A$1:$DZU$1000000,2370,FALSE)</f>
        <v>0</v>
      </c>
      <c r="G140">
        <f>VLOOKUP(A1,Data!$A$1:$DZU$1000000,2371,FALSE)</f>
        <v>0</v>
      </c>
      <c r="H140">
        <f>VLOOKUP(A1,Data!$A$1:$DZU$1000000,2372,FALSE)</f>
        <v>0</v>
      </c>
      <c r="I140">
        <f>VLOOKUP(A1,Data!$A$1:$DZU$1000000,2373,FALSE)</f>
        <v>0</v>
      </c>
      <c r="J140">
        <f>VLOOKUP(A1,Data!$A$1:$DZU$1000000,2374,FALSE)</f>
        <v>0</v>
      </c>
      <c r="K140">
        <f>VLOOKUP(A1,Data!$A$1:$DZU$1000000,2375,FALSE)</f>
        <v>0</v>
      </c>
      <c r="L140">
        <f>VLOOKUP(A1,Data!$A$1:$DZU$1000000,2376,FALSE)</f>
        <v>0</v>
      </c>
      <c r="M140">
        <f>VLOOKUP(A1,Data!$A$1:$DZU$1000000,2377,FALSE)</f>
        <v>0</v>
      </c>
      <c r="N140">
        <f>VLOOKUP(A1,Data!$A$1:$DZU$1000000,2378,FALSE)</f>
        <v>0</v>
      </c>
      <c r="O140">
        <f>VLOOKUP(A1,Data!$A$1:$DZU$1000000,2379,FALSE)</f>
        <v>0</v>
      </c>
      <c r="P140">
        <f>VLOOKUP(A1,Data!$A$1:$DZU$1000000,2380,FALSE)</f>
        <v>0</v>
      </c>
      <c r="Q140">
        <f>VLOOKUP(A1,Data!$A$1:$DZU$1000000,2381,FALSE)</f>
        <v>0</v>
      </c>
    </row>
    <row r="141" spans="1:17" ht="15" customHeight="1" x14ac:dyDescent="0.35">
      <c r="A141">
        <f>VLOOKUP(A1,Data!$A$1:$DZU$1000000,2382,FALSE)</f>
        <v>0</v>
      </c>
      <c r="B141">
        <f>VLOOKUP(A1,Data!$A$1:$DZU$1000000,2383,FALSE)</f>
        <v>0</v>
      </c>
      <c r="C141">
        <f>VLOOKUP(A1,Data!$A$1:$DZU$1000000,2384,FALSE)</f>
        <v>0</v>
      </c>
      <c r="D141">
        <f>VLOOKUP(A1,Data!$A$1:$DZU$1000000,2385,FALSE)</f>
        <v>0</v>
      </c>
      <c r="E141">
        <f>VLOOKUP(A1,Data!$A$1:$DZU$1000000,2386,FALSE)</f>
        <v>0</v>
      </c>
      <c r="F141">
        <f>VLOOKUP(A1,Data!$A$1:$DZU$1000000,2387,FALSE)</f>
        <v>0</v>
      </c>
      <c r="G141">
        <f>VLOOKUP(A1,Data!$A$1:$DZU$1000000,2388,FALSE)</f>
        <v>0</v>
      </c>
      <c r="H141">
        <f>VLOOKUP(A1,Data!$A$1:$DZU$1000000,2389,FALSE)</f>
        <v>0</v>
      </c>
      <c r="I141">
        <f>VLOOKUP(A1,Data!$A$1:$DZU$1000000,2390,FALSE)</f>
        <v>0</v>
      </c>
      <c r="J141">
        <f>VLOOKUP(A1,Data!$A$1:$DZU$1000000,2391,FALSE)</f>
        <v>0</v>
      </c>
      <c r="K141">
        <f>VLOOKUP(A1,Data!$A$1:$DZU$1000000,2392,FALSE)</f>
        <v>0</v>
      </c>
      <c r="L141">
        <f>VLOOKUP(A1,Data!$A$1:$DZU$1000000,2393,FALSE)</f>
        <v>0</v>
      </c>
      <c r="M141">
        <f>VLOOKUP(A1,Data!$A$1:$DZU$1000000,2394,FALSE)</f>
        <v>0</v>
      </c>
      <c r="N141">
        <f>VLOOKUP(A1,Data!$A$1:$DZU$1000000,2395,FALSE)</f>
        <v>0</v>
      </c>
      <c r="O141">
        <f>VLOOKUP(A1,Data!$A$1:$DZU$1000000,2396,FALSE)</f>
        <v>0</v>
      </c>
      <c r="P141">
        <f>VLOOKUP(A1,Data!$A$1:$DZU$1000000,2397,FALSE)</f>
        <v>0</v>
      </c>
      <c r="Q141">
        <f>VLOOKUP(A1,Data!$A$1:$DZU$1000000,2398,FALSE)</f>
        <v>0</v>
      </c>
    </row>
    <row r="142" spans="1:17" ht="15" customHeight="1" x14ac:dyDescent="0.35">
      <c r="A142">
        <f>VLOOKUP(A1,Data!$A$1:$DZU$1000000,2399,FALSE)</f>
        <v>0</v>
      </c>
      <c r="B142">
        <f>VLOOKUP(A1,Data!$A$1:$DZU$1000000,2400,FALSE)</f>
        <v>0</v>
      </c>
      <c r="C142">
        <f>VLOOKUP(A1,Data!$A$1:$DZU$1000000,2401,FALSE)</f>
        <v>0</v>
      </c>
      <c r="D142">
        <f>VLOOKUP(A1,Data!$A$1:$DZU$1000000,2402,FALSE)</f>
        <v>0</v>
      </c>
      <c r="E142">
        <f>VLOOKUP(A1,Data!$A$1:$DZU$1000000,2403,FALSE)</f>
        <v>0</v>
      </c>
      <c r="F142">
        <f>VLOOKUP(A1,Data!$A$1:$DZU$1000000,2404,FALSE)</f>
        <v>0</v>
      </c>
      <c r="G142">
        <f>VLOOKUP(A1,Data!$A$1:$DZU$1000000,2405,FALSE)</f>
        <v>0</v>
      </c>
      <c r="H142">
        <f>VLOOKUP(A1,Data!$A$1:$DZU$1000000,2406,FALSE)</f>
        <v>0</v>
      </c>
      <c r="I142">
        <f>VLOOKUP(A1,Data!$A$1:$DZU$1000000,2407,FALSE)</f>
        <v>0</v>
      </c>
      <c r="J142">
        <f>VLOOKUP(A1,Data!$A$1:$DZU$1000000,2408,FALSE)</f>
        <v>0</v>
      </c>
      <c r="K142">
        <f>VLOOKUP(A1,Data!$A$1:$DZU$1000000,2409,FALSE)</f>
        <v>0</v>
      </c>
      <c r="L142">
        <f>VLOOKUP(A1,Data!$A$1:$DZU$1000000,2410,FALSE)</f>
        <v>0</v>
      </c>
      <c r="M142">
        <f>VLOOKUP(A1,Data!$A$1:$DZU$1000000,2411,FALSE)</f>
        <v>0</v>
      </c>
      <c r="N142">
        <f>VLOOKUP(A1,Data!$A$1:$DZU$1000000,2412,FALSE)</f>
        <v>0</v>
      </c>
      <c r="O142">
        <f>VLOOKUP(A1,Data!$A$1:$DZU$1000000,2413,FALSE)</f>
        <v>0</v>
      </c>
      <c r="P142">
        <f>VLOOKUP(A1,Data!$A$1:$DZU$1000000,2414,FALSE)</f>
        <v>0</v>
      </c>
      <c r="Q142">
        <f>VLOOKUP(A1,Data!$A$1:$DZU$1000000,2415,FALSE)</f>
        <v>0</v>
      </c>
    </row>
    <row r="143" spans="1:17" ht="15" customHeight="1" x14ac:dyDescent="0.35">
      <c r="A143">
        <f>VLOOKUP(A1,Data!$A$1:$DZU$1000000,2416,FALSE)</f>
        <v>0</v>
      </c>
      <c r="B143">
        <f>VLOOKUP(A1,Data!$A$1:$DZU$1000000,2417,FALSE)</f>
        <v>0</v>
      </c>
      <c r="C143">
        <f>VLOOKUP(A1,Data!$A$1:$DZU$1000000,2418,FALSE)</f>
        <v>0</v>
      </c>
      <c r="D143">
        <f>VLOOKUP(A1,Data!$A$1:$DZU$1000000,2419,FALSE)</f>
        <v>0</v>
      </c>
      <c r="E143">
        <f>VLOOKUP(A1,Data!$A$1:$DZU$1000000,2420,FALSE)</f>
        <v>0</v>
      </c>
      <c r="F143">
        <f>VLOOKUP(A1,Data!$A$1:$DZU$1000000,2421,FALSE)</f>
        <v>0</v>
      </c>
      <c r="G143">
        <f>VLOOKUP(A1,Data!$A$1:$DZU$1000000,2422,FALSE)</f>
        <v>0</v>
      </c>
      <c r="H143">
        <f>VLOOKUP(A1,Data!$A$1:$DZU$1000000,2423,FALSE)</f>
        <v>0</v>
      </c>
      <c r="I143">
        <f>VLOOKUP(A1,Data!$A$1:$DZU$1000000,2424,FALSE)</f>
        <v>0</v>
      </c>
      <c r="J143">
        <f>VLOOKUP(A1,Data!$A$1:$DZU$1000000,2425,FALSE)</f>
        <v>0</v>
      </c>
      <c r="K143">
        <f>VLOOKUP(A1,Data!$A$1:$DZU$1000000,2426,FALSE)</f>
        <v>0</v>
      </c>
      <c r="L143">
        <f>VLOOKUP(A1,Data!$A$1:$DZU$1000000,2427,FALSE)</f>
        <v>0</v>
      </c>
      <c r="M143">
        <f>VLOOKUP(A1,Data!$A$1:$DZU$1000000,2428,FALSE)</f>
        <v>0</v>
      </c>
      <c r="N143">
        <f>VLOOKUP(A1,Data!$A$1:$DZU$1000000,2429,FALSE)</f>
        <v>0</v>
      </c>
      <c r="O143">
        <f>VLOOKUP(A1,Data!$A$1:$DZU$1000000,2430,FALSE)</f>
        <v>0</v>
      </c>
      <c r="P143">
        <f>VLOOKUP(A1,Data!$A$1:$DZU$1000000,2431,FALSE)</f>
        <v>0</v>
      </c>
      <c r="Q143">
        <f>VLOOKUP(A1,Data!$A$1:$DZU$1000000,2432,FALSE)</f>
        <v>0</v>
      </c>
    </row>
    <row r="144" spans="1:17" ht="15" customHeight="1" x14ac:dyDescent="0.35">
      <c r="A144">
        <f>VLOOKUP(A1,Data!$A$1:$DZU$1000000,2433,FALSE)</f>
        <v>0</v>
      </c>
      <c r="B144">
        <f>VLOOKUP(A1,Data!$A$1:$DZU$1000000,2434,FALSE)</f>
        <v>0</v>
      </c>
      <c r="C144">
        <f>VLOOKUP(A1,Data!$A$1:$DZU$1000000,2435,FALSE)</f>
        <v>0</v>
      </c>
      <c r="D144">
        <f>VLOOKUP(A1,Data!$A$1:$DZU$1000000,2436,FALSE)</f>
        <v>0</v>
      </c>
      <c r="E144">
        <f>VLOOKUP(A1,Data!$A$1:$DZU$1000000,2437,FALSE)</f>
        <v>0</v>
      </c>
      <c r="F144">
        <f>VLOOKUP(A1,Data!$A$1:$DZU$1000000,2438,FALSE)</f>
        <v>0</v>
      </c>
      <c r="G144">
        <f>VLOOKUP(A1,Data!$A$1:$DZU$1000000,2439,FALSE)</f>
        <v>0</v>
      </c>
      <c r="H144">
        <f>VLOOKUP(A1,Data!$A$1:$DZU$1000000,2440,FALSE)</f>
        <v>0</v>
      </c>
      <c r="I144">
        <f>VLOOKUP(A1,Data!$A$1:$DZU$1000000,2441,FALSE)</f>
        <v>0</v>
      </c>
      <c r="J144">
        <f>VLOOKUP(A1,Data!$A$1:$DZU$1000000,2442,FALSE)</f>
        <v>0</v>
      </c>
      <c r="K144">
        <f>VLOOKUP(A1,Data!$A$1:$DZU$1000000,2443,FALSE)</f>
        <v>0</v>
      </c>
      <c r="L144">
        <f>VLOOKUP(A1,Data!$A$1:$DZU$1000000,2444,FALSE)</f>
        <v>0</v>
      </c>
      <c r="M144">
        <f>VLOOKUP(A1,Data!$A$1:$DZU$1000000,2445,FALSE)</f>
        <v>0</v>
      </c>
      <c r="N144">
        <f>VLOOKUP(A1,Data!$A$1:$DZU$1000000,2446,FALSE)</f>
        <v>0</v>
      </c>
      <c r="O144">
        <f>VLOOKUP(A1,Data!$A$1:$DZU$1000000,2447,FALSE)</f>
        <v>0</v>
      </c>
      <c r="P144">
        <f>VLOOKUP(A1,Data!$A$1:$DZU$1000000,2448,FALSE)</f>
        <v>0</v>
      </c>
      <c r="Q144">
        <f>VLOOKUP(A1,Data!$A$1:$DZU$1000000,2449,FALSE)</f>
        <v>0</v>
      </c>
    </row>
    <row r="145" spans="1:17" ht="15" customHeight="1" x14ac:dyDescent="0.35">
      <c r="A145">
        <f>VLOOKUP(A1,Data!$A$1:$DZU$1000000,2450,FALSE)</f>
        <v>0</v>
      </c>
      <c r="B145">
        <f>VLOOKUP(A1,Data!$A$1:$DZU$1000000,2451,FALSE)</f>
        <v>0</v>
      </c>
      <c r="C145">
        <f>VLOOKUP(A1,Data!$A$1:$DZU$1000000,2452,FALSE)</f>
        <v>0</v>
      </c>
      <c r="D145">
        <f>VLOOKUP(A1,Data!$A$1:$DZU$1000000,2453,FALSE)</f>
        <v>0</v>
      </c>
      <c r="E145">
        <f>VLOOKUP(A1,Data!$A$1:$DZU$1000000,2454,FALSE)</f>
        <v>0</v>
      </c>
      <c r="F145">
        <f>VLOOKUP(A1,Data!$A$1:$DZU$1000000,2455,FALSE)</f>
        <v>0</v>
      </c>
      <c r="G145">
        <f>VLOOKUP(A1,Data!$A$1:$DZU$1000000,2456,FALSE)</f>
        <v>0</v>
      </c>
      <c r="H145">
        <f>VLOOKUP(A1,Data!$A$1:$DZU$1000000,2457,FALSE)</f>
        <v>0</v>
      </c>
      <c r="I145">
        <f>VLOOKUP(A1,Data!$A$1:$DZU$1000000,2458,FALSE)</f>
        <v>0</v>
      </c>
      <c r="J145">
        <f>VLOOKUP(A1,Data!$A$1:$DZU$1000000,2459,FALSE)</f>
        <v>0</v>
      </c>
      <c r="K145">
        <f>VLOOKUP(A1,Data!$A$1:$DZU$1000000,2460,FALSE)</f>
        <v>0</v>
      </c>
      <c r="L145">
        <f>VLOOKUP(A1,Data!$A$1:$DZU$1000000,2461,FALSE)</f>
        <v>0</v>
      </c>
      <c r="M145">
        <f>VLOOKUP(A1,Data!$A$1:$DZU$1000000,2462,FALSE)</f>
        <v>0</v>
      </c>
      <c r="N145">
        <f>VLOOKUP(A1,Data!$A$1:$DZU$1000000,2463,FALSE)</f>
        <v>0</v>
      </c>
      <c r="O145">
        <f>VLOOKUP(A1,Data!$A$1:$DZU$1000000,2464,FALSE)</f>
        <v>0</v>
      </c>
      <c r="P145">
        <f>VLOOKUP(A1,Data!$A$1:$DZU$1000000,2465,FALSE)</f>
        <v>0</v>
      </c>
      <c r="Q145">
        <f>VLOOKUP(A1,Data!$A$1:$DZU$1000000,2466,FALSE)</f>
        <v>0</v>
      </c>
    </row>
    <row r="146" spans="1:17" ht="15" customHeight="1" x14ac:dyDescent="0.35">
      <c r="A146">
        <f>VLOOKUP(A1,Data!$A$1:$DZU$1000000,2467,FALSE)</f>
        <v>0</v>
      </c>
      <c r="B146">
        <f>VLOOKUP(A1,Data!$A$1:$DZU$1000000,2468,FALSE)</f>
        <v>0</v>
      </c>
      <c r="C146">
        <f>VLOOKUP(A1,Data!$A$1:$DZU$1000000,2469,FALSE)</f>
        <v>0</v>
      </c>
      <c r="D146">
        <f>VLOOKUP(A1,Data!$A$1:$DZU$1000000,2470,FALSE)</f>
        <v>0</v>
      </c>
      <c r="E146">
        <f>VLOOKUP(A1,Data!$A$1:$DZU$1000000,2471,FALSE)</f>
        <v>0</v>
      </c>
      <c r="F146">
        <f>VLOOKUP(A1,Data!$A$1:$DZU$1000000,2472,FALSE)</f>
        <v>0</v>
      </c>
      <c r="G146">
        <f>VLOOKUP(A1,Data!$A$1:$DZU$1000000,2473,FALSE)</f>
        <v>0</v>
      </c>
      <c r="H146">
        <f>VLOOKUP(A1,Data!$A$1:$DZU$1000000,2474,FALSE)</f>
        <v>0</v>
      </c>
      <c r="I146">
        <f>VLOOKUP(A1,Data!$A$1:$DZU$1000000,2475,FALSE)</f>
        <v>0</v>
      </c>
      <c r="J146">
        <f>VLOOKUP(A1,Data!$A$1:$DZU$1000000,2476,FALSE)</f>
        <v>0</v>
      </c>
      <c r="K146">
        <f>VLOOKUP(A1,Data!$A$1:$DZU$1000000,2477,FALSE)</f>
        <v>0</v>
      </c>
      <c r="L146">
        <f>VLOOKUP(A1,Data!$A$1:$DZU$1000000,2478,FALSE)</f>
        <v>0</v>
      </c>
      <c r="M146">
        <f>VLOOKUP(A1,Data!$A$1:$DZU$1000000,2479,FALSE)</f>
        <v>0</v>
      </c>
      <c r="N146">
        <f>VLOOKUP(A1,Data!$A$1:$DZU$1000000,2480,FALSE)</f>
        <v>0</v>
      </c>
      <c r="O146">
        <f>VLOOKUP(A1,Data!$A$1:$DZU$1000000,2481,FALSE)</f>
        <v>0</v>
      </c>
      <c r="P146">
        <f>VLOOKUP(A1,Data!$A$1:$DZU$1000000,2482,FALSE)</f>
        <v>0</v>
      </c>
      <c r="Q146">
        <f>VLOOKUP(A1,Data!$A$1:$DZU$1000000,2483,FALSE)</f>
        <v>0</v>
      </c>
    </row>
    <row r="147" spans="1:17" ht="15" customHeight="1" x14ac:dyDescent="0.35">
      <c r="A147">
        <f>VLOOKUP(A1,Data!$A$1:$DZU$1000000,2484,FALSE)</f>
        <v>0</v>
      </c>
      <c r="B147">
        <f>VLOOKUP(A1,Data!$A$1:$DZU$1000000,2485,FALSE)</f>
        <v>0</v>
      </c>
      <c r="C147">
        <f>VLOOKUP(A1,Data!$A$1:$DZU$1000000,2486,FALSE)</f>
        <v>0</v>
      </c>
      <c r="D147">
        <f>VLOOKUP(A1,Data!$A$1:$DZU$1000000,2487,FALSE)</f>
        <v>0</v>
      </c>
      <c r="E147">
        <f>VLOOKUP(A1,Data!$A$1:$DZU$1000000,2488,FALSE)</f>
        <v>0</v>
      </c>
      <c r="F147">
        <f>VLOOKUP(A1,Data!$A$1:$DZU$1000000,2489,FALSE)</f>
        <v>0</v>
      </c>
      <c r="G147">
        <f>VLOOKUP(A1,Data!$A$1:$DZU$1000000,2490,FALSE)</f>
        <v>0</v>
      </c>
      <c r="H147">
        <f>VLOOKUP(A1,Data!$A$1:$DZU$1000000,2491,FALSE)</f>
        <v>0</v>
      </c>
      <c r="I147">
        <f>VLOOKUP(A1,Data!$A$1:$DZU$1000000,2492,FALSE)</f>
        <v>0</v>
      </c>
      <c r="J147">
        <f>VLOOKUP(A1,Data!$A$1:$DZU$1000000,2493,FALSE)</f>
        <v>0</v>
      </c>
      <c r="K147">
        <f>VLOOKUP(A1,Data!$A$1:$DZU$1000000,2494,FALSE)</f>
        <v>0</v>
      </c>
      <c r="L147">
        <f>VLOOKUP(A1,Data!$A$1:$DZU$1000000,2495,FALSE)</f>
        <v>0</v>
      </c>
      <c r="M147">
        <f>VLOOKUP(A1,Data!$A$1:$DZU$1000000,2496,FALSE)</f>
        <v>0</v>
      </c>
      <c r="N147">
        <f>VLOOKUP(A1,Data!$A$1:$DZU$1000000,2497,FALSE)</f>
        <v>0</v>
      </c>
      <c r="O147">
        <f>VLOOKUP(A1,Data!$A$1:$DZU$1000000,2498,FALSE)</f>
        <v>0</v>
      </c>
      <c r="P147">
        <f>VLOOKUP(A1,Data!$A$1:$DZU$1000000,2499,FALSE)</f>
        <v>0</v>
      </c>
      <c r="Q147">
        <f>VLOOKUP(A1,Data!$A$1:$DZU$1000000,2500,FALSE)</f>
        <v>0</v>
      </c>
    </row>
    <row r="148" spans="1:17" ht="15" customHeight="1" x14ac:dyDescent="0.35">
      <c r="A148">
        <f>VLOOKUP(A1,Data!$A$1:$DZU$1000000,2501,FALSE)</f>
        <v>0</v>
      </c>
      <c r="B148">
        <f>VLOOKUP(A1,Data!$A$1:$DZU$1000000,2502,FALSE)</f>
        <v>0</v>
      </c>
      <c r="C148">
        <f>VLOOKUP(A1,Data!$A$1:$DZU$1000000,2503,FALSE)</f>
        <v>0</v>
      </c>
      <c r="D148">
        <f>VLOOKUP(A1,Data!$A$1:$DZU$1000000,2504,FALSE)</f>
        <v>0</v>
      </c>
      <c r="E148">
        <f>VLOOKUP(A1,Data!$A$1:$DZU$1000000,2505,FALSE)</f>
        <v>0</v>
      </c>
      <c r="F148">
        <f>VLOOKUP(A1,Data!$A$1:$DZU$1000000,2506,FALSE)</f>
        <v>0</v>
      </c>
      <c r="G148">
        <f>VLOOKUP(A1,Data!$A$1:$DZU$1000000,2507,FALSE)</f>
        <v>0</v>
      </c>
      <c r="H148">
        <f>VLOOKUP(A1,Data!$A$1:$DZU$1000000,2508,FALSE)</f>
        <v>0</v>
      </c>
      <c r="I148">
        <f>VLOOKUP(A1,Data!$A$1:$DZU$1000000,2509,FALSE)</f>
        <v>0</v>
      </c>
      <c r="J148">
        <f>VLOOKUP(A1,Data!$A$1:$DZU$1000000,2510,FALSE)</f>
        <v>0</v>
      </c>
      <c r="K148">
        <f>VLOOKUP(A1,Data!$A$1:$DZU$1000000,2511,FALSE)</f>
        <v>0</v>
      </c>
      <c r="L148">
        <f>VLOOKUP(A1,Data!$A$1:$DZU$1000000,2512,FALSE)</f>
        <v>0</v>
      </c>
      <c r="M148">
        <f>VLOOKUP(A1,Data!$A$1:$DZU$1000000,2513,FALSE)</f>
        <v>0</v>
      </c>
      <c r="N148">
        <f>VLOOKUP(A1,Data!$A$1:$DZU$1000000,2514,FALSE)</f>
        <v>0</v>
      </c>
      <c r="O148">
        <f>VLOOKUP(A1,Data!$A$1:$DZU$1000000,2515,FALSE)</f>
        <v>0</v>
      </c>
      <c r="P148">
        <f>VLOOKUP(A1,Data!$A$1:$DZU$1000000,2516,FALSE)</f>
        <v>0</v>
      </c>
      <c r="Q148">
        <f>VLOOKUP(A1,Data!$A$1:$DZU$1000000,2517,FALSE)</f>
        <v>0</v>
      </c>
    </row>
    <row r="149" spans="1:17" ht="15" customHeight="1" x14ac:dyDescent="0.35">
      <c r="A149">
        <f>VLOOKUP(A1,Data!$A$1:$DZU$1000000,2518,FALSE)</f>
        <v>0</v>
      </c>
      <c r="B149">
        <f>VLOOKUP(A1,Data!$A$1:$DZU$1000000,2519,FALSE)</f>
        <v>0</v>
      </c>
      <c r="C149">
        <f>VLOOKUP(A1,Data!$A$1:$DZU$1000000,2520,FALSE)</f>
        <v>0</v>
      </c>
      <c r="D149">
        <f>VLOOKUP(A1,Data!$A$1:$DZU$1000000,2521,FALSE)</f>
        <v>0</v>
      </c>
      <c r="E149">
        <f>VLOOKUP(A1,Data!$A$1:$DZU$1000000,2522,FALSE)</f>
        <v>0</v>
      </c>
      <c r="F149">
        <f>VLOOKUP(A1,Data!$A$1:$DZU$1000000,2523,FALSE)</f>
        <v>0</v>
      </c>
      <c r="G149">
        <f>VLOOKUP(A1,Data!$A$1:$DZU$1000000,2524,FALSE)</f>
        <v>0</v>
      </c>
      <c r="H149">
        <f>VLOOKUP(A1,Data!$A$1:$DZU$1000000,2525,FALSE)</f>
        <v>0</v>
      </c>
      <c r="I149">
        <f>VLOOKUP(A1,Data!$A$1:$DZU$1000000,2526,FALSE)</f>
        <v>0</v>
      </c>
      <c r="J149">
        <f>VLOOKUP(A1,Data!$A$1:$DZU$1000000,2527,FALSE)</f>
        <v>0</v>
      </c>
      <c r="K149">
        <f>VLOOKUP(A1,Data!$A$1:$DZU$1000000,2528,FALSE)</f>
        <v>0</v>
      </c>
      <c r="L149">
        <f>VLOOKUP(A1,Data!$A$1:$DZU$1000000,2529,FALSE)</f>
        <v>0</v>
      </c>
      <c r="M149">
        <f>VLOOKUP(A1,Data!$A$1:$DZU$1000000,2530,FALSE)</f>
        <v>0</v>
      </c>
      <c r="N149">
        <f>VLOOKUP(A1,Data!$A$1:$DZU$1000000,2531,FALSE)</f>
        <v>0</v>
      </c>
      <c r="O149">
        <f>VLOOKUP(A1,Data!$A$1:$DZU$1000000,2532,FALSE)</f>
        <v>0</v>
      </c>
      <c r="P149">
        <f>VLOOKUP(A1,Data!$A$1:$DZU$1000000,2533,FALSE)</f>
        <v>0</v>
      </c>
      <c r="Q149">
        <f>VLOOKUP(A1,Data!$A$1:$DZU$1000000,2534,FALSE)</f>
        <v>0</v>
      </c>
    </row>
    <row r="150" spans="1:17" ht="15" customHeight="1" x14ac:dyDescent="0.35">
      <c r="A150">
        <f>VLOOKUP(A1,Data!$A$1:$DZU$1000000,2535,FALSE)</f>
        <v>0</v>
      </c>
      <c r="B150">
        <f>VLOOKUP(A1,Data!$A$1:$DZU$1000000,2536,FALSE)</f>
        <v>0</v>
      </c>
      <c r="C150">
        <f>VLOOKUP(A1,Data!$A$1:$DZU$1000000,2537,FALSE)</f>
        <v>0</v>
      </c>
      <c r="D150">
        <f>VLOOKUP(A1,Data!$A$1:$DZU$1000000,2538,FALSE)</f>
        <v>0</v>
      </c>
      <c r="E150">
        <f>VLOOKUP(A1,Data!$A$1:$DZU$1000000,2539,FALSE)</f>
        <v>0</v>
      </c>
      <c r="F150">
        <f>VLOOKUP(A1,Data!$A$1:$DZU$1000000,2540,FALSE)</f>
        <v>0</v>
      </c>
      <c r="G150">
        <f>VLOOKUP(A1,Data!$A$1:$DZU$1000000,2541,FALSE)</f>
        <v>0</v>
      </c>
      <c r="H150">
        <f>VLOOKUP(A1,Data!$A$1:$DZU$1000000,2542,FALSE)</f>
        <v>0</v>
      </c>
      <c r="I150">
        <f>VLOOKUP(A1,Data!$A$1:$DZU$1000000,2543,FALSE)</f>
        <v>0</v>
      </c>
      <c r="J150">
        <f>VLOOKUP(A1,Data!$A$1:$DZU$1000000,2544,FALSE)</f>
        <v>0</v>
      </c>
      <c r="K150">
        <f>VLOOKUP(A1,Data!$A$1:$DZU$1000000,2545,FALSE)</f>
        <v>0</v>
      </c>
      <c r="L150">
        <f>VLOOKUP(A1,Data!$A$1:$DZU$1000000,2546,FALSE)</f>
        <v>0</v>
      </c>
      <c r="M150">
        <f>VLOOKUP(A1,Data!$A$1:$DZU$1000000,2547,FALSE)</f>
        <v>0</v>
      </c>
      <c r="N150">
        <f>VLOOKUP(A1,Data!$A$1:$DZU$1000000,2548,FALSE)</f>
        <v>0</v>
      </c>
      <c r="O150">
        <f>VLOOKUP(A1,Data!$A$1:$DZU$1000000,2549,FALSE)</f>
        <v>0</v>
      </c>
      <c r="P150">
        <f>VLOOKUP(A1,Data!$A$1:$DZU$1000000,2550,FALSE)</f>
        <v>0</v>
      </c>
      <c r="Q150">
        <f>VLOOKUP(A1,Data!$A$1:$DZU$1000000,2551,FALSE)</f>
        <v>0</v>
      </c>
    </row>
    <row r="151" spans="1:17" ht="15" customHeight="1" x14ac:dyDescent="0.35">
      <c r="A151">
        <f>VLOOKUP(A1,Data!$A$1:$DZU$1000000,2552,FALSE)</f>
        <v>0</v>
      </c>
      <c r="B151">
        <f>VLOOKUP(A1,Data!$A$1:$DZU$1000000,2553,FALSE)</f>
        <v>0</v>
      </c>
      <c r="C151">
        <f>VLOOKUP(A1,Data!$A$1:$DZU$1000000,2554,FALSE)</f>
        <v>0</v>
      </c>
      <c r="D151">
        <f>VLOOKUP(A1,Data!$A$1:$DZU$1000000,2555,FALSE)</f>
        <v>0</v>
      </c>
      <c r="E151">
        <f>VLOOKUP(A1,Data!$A$1:$DZU$1000000,2556,FALSE)</f>
        <v>0</v>
      </c>
      <c r="F151">
        <f>VLOOKUP(A1,Data!$A$1:$DZU$1000000,2557,FALSE)</f>
        <v>0</v>
      </c>
      <c r="G151">
        <f>VLOOKUP(A1,Data!$A$1:$DZU$1000000,2558,FALSE)</f>
        <v>0</v>
      </c>
      <c r="H151">
        <f>VLOOKUP(A1,Data!$A$1:$DZU$1000000,2559,FALSE)</f>
        <v>0</v>
      </c>
      <c r="I151">
        <f>VLOOKUP(A1,Data!$A$1:$DZU$1000000,2560,FALSE)</f>
        <v>0</v>
      </c>
      <c r="J151">
        <f>VLOOKUP(A1,Data!$A$1:$DZU$1000000,2561,FALSE)</f>
        <v>0</v>
      </c>
      <c r="K151">
        <f>VLOOKUP(A1,Data!$A$1:$DZU$1000000,2562,FALSE)</f>
        <v>0</v>
      </c>
      <c r="L151">
        <f>VLOOKUP(A1,Data!$A$1:$DZU$1000000,2563,FALSE)</f>
        <v>0</v>
      </c>
      <c r="M151">
        <f>VLOOKUP(A1,Data!$A$1:$DZU$1000000,2564,FALSE)</f>
        <v>0</v>
      </c>
      <c r="N151">
        <f>VLOOKUP(A1,Data!$A$1:$DZU$1000000,2565,FALSE)</f>
        <v>0</v>
      </c>
      <c r="O151">
        <f>VLOOKUP(A1,Data!$A$1:$DZU$1000000,2566,FALSE)</f>
        <v>0</v>
      </c>
      <c r="P151">
        <f>VLOOKUP(A1,Data!$A$1:$DZU$1000000,2567,FALSE)</f>
        <v>0</v>
      </c>
      <c r="Q151">
        <f>VLOOKUP(A1,Data!$A$1:$DZU$1000000,2568,FALSE)</f>
        <v>0</v>
      </c>
    </row>
    <row r="152" spans="1:17" ht="15" customHeight="1" x14ac:dyDescent="0.35">
      <c r="A152">
        <f>VLOOKUP(A1,Data!$A$1:$DZU$1000000,2569,FALSE)</f>
        <v>0</v>
      </c>
      <c r="B152">
        <f>VLOOKUP(A1,Data!$A$1:$DZU$1000000,2570,FALSE)</f>
        <v>0</v>
      </c>
      <c r="C152">
        <f>VLOOKUP(A1,Data!$A$1:$DZU$1000000,2571,FALSE)</f>
        <v>0</v>
      </c>
      <c r="D152">
        <f>VLOOKUP(A1,Data!$A$1:$DZU$1000000,2572,FALSE)</f>
        <v>0</v>
      </c>
      <c r="E152">
        <f>VLOOKUP(A1,Data!$A$1:$DZU$1000000,2573,FALSE)</f>
        <v>0</v>
      </c>
      <c r="F152">
        <f>VLOOKUP(A1,Data!$A$1:$DZU$1000000,2574,FALSE)</f>
        <v>0</v>
      </c>
      <c r="G152">
        <f>VLOOKUP(A1,Data!$A$1:$DZU$1000000,2575,FALSE)</f>
        <v>0</v>
      </c>
      <c r="H152">
        <f>VLOOKUP(A1,Data!$A$1:$DZU$1000000,2576,FALSE)</f>
        <v>0</v>
      </c>
      <c r="I152">
        <f>VLOOKUP(A1,Data!$A$1:$DZU$1000000,2577,FALSE)</f>
        <v>0</v>
      </c>
      <c r="J152">
        <f>VLOOKUP(A1,Data!$A$1:$DZU$1000000,2578,FALSE)</f>
        <v>0</v>
      </c>
      <c r="K152">
        <f>VLOOKUP(A1,Data!$A$1:$DZU$1000000,2579,FALSE)</f>
        <v>0</v>
      </c>
      <c r="L152">
        <f>VLOOKUP(A1,Data!$A$1:$DZU$1000000,2580,FALSE)</f>
        <v>0</v>
      </c>
      <c r="M152">
        <f>VLOOKUP(A1,Data!$A$1:$DZU$1000000,2581,FALSE)</f>
        <v>0</v>
      </c>
      <c r="N152">
        <f>VLOOKUP(A1,Data!$A$1:$DZU$1000000,2582,FALSE)</f>
        <v>0</v>
      </c>
      <c r="O152">
        <f>VLOOKUP(A1,Data!$A$1:$DZU$1000000,2583,FALSE)</f>
        <v>0</v>
      </c>
      <c r="P152">
        <f>VLOOKUP(A1,Data!$A$1:$DZU$1000000,2584,FALSE)</f>
        <v>0</v>
      </c>
      <c r="Q152">
        <f>VLOOKUP(A1,Data!$A$1:$DZU$1000000,2585,FALSE)</f>
        <v>0</v>
      </c>
    </row>
    <row r="153" spans="1:17" ht="15" customHeight="1" x14ac:dyDescent="0.35">
      <c r="A153">
        <f>VLOOKUP(A1,Data!$A$1:$DZU$1000000,2586,FALSE)</f>
        <v>0</v>
      </c>
      <c r="B153">
        <f>VLOOKUP(A1,Data!$A$1:$DZU$1000000,2587,FALSE)</f>
        <v>0</v>
      </c>
      <c r="C153">
        <f>VLOOKUP(A1,Data!$A$1:$DZU$1000000,2588,FALSE)</f>
        <v>0</v>
      </c>
      <c r="D153">
        <f>VLOOKUP(A1,Data!$A$1:$DZU$1000000,2589,FALSE)</f>
        <v>0</v>
      </c>
      <c r="E153">
        <f>VLOOKUP(A1,Data!$A$1:$DZU$1000000,2590,FALSE)</f>
        <v>0</v>
      </c>
      <c r="F153">
        <f>VLOOKUP(A1,Data!$A$1:$DZU$1000000,2591,FALSE)</f>
        <v>0</v>
      </c>
      <c r="G153">
        <f>VLOOKUP(A1,Data!$A$1:$DZU$1000000,2592,FALSE)</f>
        <v>0</v>
      </c>
      <c r="H153">
        <f>VLOOKUP(A1,Data!$A$1:$DZU$1000000,2593,FALSE)</f>
        <v>0</v>
      </c>
      <c r="I153">
        <f>VLOOKUP(A1,Data!$A$1:$DZU$1000000,2594,FALSE)</f>
        <v>0</v>
      </c>
      <c r="J153">
        <f>VLOOKUP(A1,Data!$A$1:$DZU$1000000,2595,FALSE)</f>
        <v>0</v>
      </c>
      <c r="K153">
        <f>VLOOKUP(A1,Data!$A$1:$DZU$1000000,2596,FALSE)</f>
        <v>0</v>
      </c>
      <c r="L153">
        <f>VLOOKUP(A1,Data!$A$1:$DZU$1000000,2597,FALSE)</f>
        <v>0</v>
      </c>
      <c r="M153">
        <f>VLOOKUP(A1,Data!$A$1:$DZU$1000000,2598,FALSE)</f>
        <v>0</v>
      </c>
      <c r="N153">
        <f>VLOOKUP(A1,Data!$A$1:$DZU$1000000,2599,FALSE)</f>
        <v>0</v>
      </c>
      <c r="O153">
        <f>VLOOKUP(A1,Data!$A$1:$DZU$1000000,2600,FALSE)</f>
        <v>0</v>
      </c>
      <c r="P153">
        <f>VLOOKUP(A1,Data!$A$1:$DZU$1000000,2601,FALSE)</f>
        <v>0</v>
      </c>
      <c r="Q153">
        <f>VLOOKUP(A1,Data!$A$1:$DZU$1000000,2602,FALSE)</f>
        <v>0</v>
      </c>
    </row>
    <row r="154" spans="1:17" ht="15" customHeight="1" x14ac:dyDescent="0.35">
      <c r="A154">
        <f>VLOOKUP(A1,Data!$A$1:$DZU$1000000,2603,FALSE)</f>
        <v>0</v>
      </c>
      <c r="B154">
        <f>VLOOKUP(A1,Data!$A$1:$DZU$1000000,2604,FALSE)</f>
        <v>0</v>
      </c>
      <c r="C154">
        <f>VLOOKUP(A1,Data!$A$1:$DZU$1000000,2605,FALSE)</f>
        <v>0</v>
      </c>
      <c r="D154">
        <f>VLOOKUP(A1,Data!$A$1:$DZU$1000000,2606,FALSE)</f>
        <v>0</v>
      </c>
      <c r="E154">
        <f>VLOOKUP(A1,Data!$A$1:$DZU$1000000,2607,FALSE)</f>
        <v>0</v>
      </c>
      <c r="F154">
        <f>VLOOKUP(A1,Data!$A$1:$DZU$1000000,2608,FALSE)</f>
        <v>0</v>
      </c>
      <c r="G154">
        <f>VLOOKUP(A1,Data!$A$1:$DZU$1000000,2609,FALSE)</f>
        <v>0</v>
      </c>
      <c r="H154">
        <f>VLOOKUP(A1,Data!$A$1:$DZU$1000000,2610,FALSE)</f>
        <v>0</v>
      </c>
      <c r="I154">
        <f>VLOOKUP(A1,Data!$A$1:$DZU$1000000,2611,FALSE)</f>
        <v>0</v>
      </c>
      <c r="J154">
        <f>VLOOKUP(A1,Data!$A$1:$DZU$1000000,2612,FALSE)</f>
        <v>0</v>
      </c>
      <c r="K154">
        <f>VLOOKUP(A1,Data!$A$1:$DZU$1000000,2613,FALSE)</f>
        <v>0</v>
      </c>
      <c r="L154">
        <f>VLOOKUP(A1,Data!$A$1:$DZU$1000000,2614,FALSE)</f>
        <v>0</v>
      </c>
      <c r="M154">
        <f>VLOOKUP(A1,Data!$A$1:$DZU$1000000,2615,FALSE)</f>
        <v>0</v>
      </c>
      <c r="N154">
        <f>VLOOKUP(A1,Data!$A$1:$DZU$1000000,2616,FALSE)</f>
        <v>0</v>
      </c>
      <c r="O154">
        <f>VLOOKUP(A1,Data!$A$1:$DZU$1000000,2617,FALSE)</f>
        <v>0</v>
      </c>
      <c r="P154">
        <f>VLOOKUP(A1,Data!$A$1:$DZU$1000000,2618,FALSE)</f>
        <v>0</v>
      </c>
      <c r="Q154">
        <f>VLOOKUP(A1,Data!$A$1:$DZU$1000000,2619,FALSE)</f>
        <v>0</v>
      </c>
    </row>
    <row r="155" spans="1:17" ht="15" customHeight="1" x14ac:dyDescent="0.35">
      <c r="A155">
        <f>VLOOKUP(A1,Data!$A$1:$DZU$1000000,2620,FALSE)</f>
        <v>0</v>
      </c>
      <c r="B155">
        <f>VLOOKUP(A1,Data!$A$1:$DZU$1000000,2621,FALSE)</f>
        <v>0</v>
      </c>
      <c r="C155">
        <f>VLOOKUP(A1,Data!$A$1:$DZU$1000000,2622,FALSE)</f>
        <v>0</v>
      </c>
      <c r="D155">
        <f>VLOOKUP(A1,Data!$A$1:$DZU$1000000,2623,FALSE)</f>
        <v>0</v>
      </c>
      <c r="E155">
        <f>VLOOKUP(A1,Data!$A$1:$DZU$1000000,2624,FALSE)</f>
        <v>0</v>
      </c>
      <c r="F155">
        <f>VLOOKUP(A1,Data!$A$1:$DZU$1000000,2625,FALSE)</f>
        <v>0</v>
      </c>
      <c r="G155">
        <f>VLOOKUP(A1,Data!$A$1:$DZU$1000000,2626,FALSE)</f>
        <v>0</v>
      </c>
      <c r="H155">
        <f>VLOOKUP(A1,Data!$A$1:$DZU$1000000,2627,FALSE)</f>
        <v>0</v>
      </c>
      <c r="I155">
        <f>VLOOKUP(A1,Data!$A$1:$DZU$1000000,2628,FALSE)</f>
        <v>0</v>
      </c>
      <c r="J155">
        <f>VLOOKUP(A1,Data!$A$1:$DZU$1000000,2629,FALSE)</f>
        <v>0</v>
      </c>
      <c r="K155">
        <f>VLOOKUP(A1,Data!$A$1:$DZU$1000000,2630,FALSE)</f>
        <v>0</v>
      </c>
      <c r="L155">
        <f>VLOOKUP(A1,Data!$A$1:$DZU$1000000,2631,FALSE)</f>
        <v>0</v>
      </c>
      <c r="M155">
        <f>VLOOKUP(A1,Data!$A$1:$DZU$1000000,2632,FALSE)</f>
        <v>0</v>
      </c>
      <c r="N155">
        <f>VLOOKUP(A1,Data!$A$1:$DZU$1000000,2633,FALSE)</f>
        <v>0</v>
      </c>
      <c r="O155">
        <f>VLOOKUP(A1,Data!$A$1:$DZU$1000000,2634,FALSE)</f>
        <v>0</v>
      </c>
      <c r="P155">
        <f>VLOOKUP(A1,Data!$A$1:$DZU$1000000,2635,FALSE)</f>
        <v>0</v>
      </c>
      <c r="Q155">
        <f>VLOOKUP(A1,Data!$A$1:$DZU$1000000,2636,FALSE)</f>
        <v>0</v>
      </c>
    </row>
    <row r="156" spans="1:17" ht="15" customHeight="1" x14ac:dyDescent="0.35">
      <c r="A156">
        <f>VLOOKUP(A1,Data!$A$1:$DZU$1000000,2637,FALSE)</f>
        <v>0</v>
      </c>
      <c r="B156">
        <f>VLOOKUP(A1,Data!$A$1:$DZU$1000000,2638,FALSE)</f>
        <v>0</v>
      </c>
      <c r="C156">
        <f>VLOOKUP(A1,Data!$A$1:$DZU$1000000,2639,FALSE)</f>
        <v>0</v>
      </c>
      <c r="D156">
        <f>VLOOKUP(A1,Data!$A$1:$DZU$1000000,2640,FALSE)</f>
        <v>0</v>
      </c>
      <c r="E156">
        <f>VLOOKUP(A1,Data!$A$1:$DZU$1000000,2641,FALSE)</f>
        <v>0</v>
      </c>
      <c r="F156">
        <f>VLOOKUP(A1,Data!$A$1:$DZU$1000000,2642,FALSE)</f>
        <v>0</v>
      </c>
      <c r="G156">
        <f>VLOOKUP(A1,Data!$A$1:$DZU$1000000,2643,FALSE)</f>
        <v>0</v>
      </c>
      <c r="H156">
        <f>VLOOKUP(A1,Data!$A$1:$DZU$1000000,2644,FALSE)</f>
        <v>0</v>
      </c>
      <c r="I156">
        <f>VLOOKUP(A1,Data!$A$1:$DZU$1000000,2645,FALSE)</f>
        <v>0</v>
      </c>
      <c r="J156">
        <f>VLOOKUP(A1,Data!$A$1:$DZU$1000000,2646,FALSE)</f>
        <v>0</v>
      </c>
      <c r="K156">
        <f>VLOOKUP(A1,Data!$A$1:$DZU$1000000,2647,FALSE)</f>
        <v>0</v>
      </c>
      <c r="L156">
        <f>VLOOKUP(A1,Data!$A$1:$DZU$1000000,2648,FALSE)</f>
        <v>0</v>
      </c>
      <c r="M156">
        <f>VLOOKUP(A1,Data!$A$1:$DZU$1000000,2649,FALSE)</f>
        <v>0</v>
      </c>
      <c r="N156">
        <f>VLOOKUP(A1,Data!$A$1:$DZU$1000000,2650,FALSE)</f>
        <v>0</v>
      </c>
      <c r="O156">
        <f>VLOOKUP(A1,Data!$A$1:$DZU$1000000,2651,FALSE)</f>
        <v>0</v>
      </c>
      <c r="P156">
        <f>VLOOKUP(A1,Data!$A$1:$DZU$1000000,2652,FALSE)</f>
        <v>0</v>
      </c>
      <c r="Q156">
        <f>VLOOKUP(A1,Data!$A$1:$DZU$1000000,2653,FALSE)</f>
        <v>0</v>
      </c>
    </row>
    <row r="157" spans="1:17" ht="15" customHeight="1" x14ac:dyDescent="0.35">
      <c r="A157">
        <f>VLOOKUP(A1,Data!$A$1:$DZU$1000000,2654,FALSE)</f>
        <v>0</v>
      </c>
      <c r="B157">
        <f>VLOOKUP(A1,Data!$A$1:$DZU$1000000,2655,FALSE)</f>
        <v>0</v>
      </c>
      <c r="C157">
        <f>VLOOKUP(A1,Data!$A$1:$DZU$1000000,2656,FALSE)</f>
        <v>0</v>
      </c>
      <c r="D157">
        <f>VLOOKUP(A1,Data!$A$1:$DZU$1000000,2657,FALSE)</f>
        <v>0</v>
      </c>
      <c r="E157">
        <f>VLOOKUP(A1,Data!$A$1:$DZU$1000000,2658,FALSE)</f>
        <v>0</v>
      </c>
      <c r="F157">
        <f>VLOOKUP(A1,Data!$A$1:$DZU$1000000,2659,FALSE)</f>
        <v>0</v>
      </c>
      <c r="G157">
        <f>VLOOKUP(A1,Data!$A$1:$DZU$1000000,2660,FALSE)</f>
        <v>0</v>
      </c>
      <c r="H157">
        <f>VLOOKUP(A1,Data!$A$1:$DZU$1000000,2661,FALSE)</f>
        <v>0</v>
      </c>
      <c r="I157">
        <f>VLOOKUP(A1,Data!$A$1:$DZU$1000000,2662,FALSE)</f>
        <v>0</v>
      </c>
      <c r="J157">
        <f>VLOOKUP(A1,Data!$A$1:$DZU$1000000,2663,FALSE)</f>
        <v>0</v>
      </c>
      <c r="K157">
        <f>VLOOKUP(A1,Data!$A$1:$DZU$1000000,2664,FALSE)</f>
        <v>0</v>
      </c>
      <c r="L157">
        <f>VLOOKUP(A1,Data!$A$1:$DZU$1000000,2665,FALSE)</f>
        <v>0</v>
      </c>
      <c r="M157">
        <f>VLOOKUP(A1,Data!$A$1:$DZU$1000000,2666,FALSE)</f>
        <v>0</v>
      </c>
      <c r="N157">
        <f>VLOOKUP(A1,Data!$A$1:$DZU$1000000,2667,FALSE)</f>
        <v>0</v>
      </c>
      <c r="O157">
        <f>VLOOKUP(A1,Data!$A$1:$DZU$1000000,2668,FALSE)</f>
        <v>0</v>
      </c>
      <c r="P157">
        <f>VLOOKUP(A1,Data!$A$1:$DZU$1000000,2669,FALSE)</f>
        <v>0</v>
      </c>
      <c r="Q157">
        <f>VLOOKUP(A1,Data!$A$1:$DZU$1000000,2670,FALSE)</f>
        <v>0</v>
      </c>
    </row>
    <row r="158" spans="1:17" ht="15" customHeight="1" x14ac:dyDescent="0.35">
      <c r="A158">
        <f>VLOOKUP(A1,Data!$A$1:$DZU$1000000,2671,FALSE)</f>
        <v>0</v>
      </c>
      <c r="B158">
        <f>VLOOKUP(A1,Data!$A$1:$DZU$1000000,2672,FALSE)</f>
        <v>0</v>
      </c>
      <c r="C158">
        <f>VLOOKUP(A1,Data!$A$1:$DZU$1000000,2673,FALSE)</f>
        <v>0</v>
      </c>
      <c r="D158">
        <f>VLOOKUP(A1,Data!$A$1:$DZU$1000000,2674,FALSE)</f>
        <v>0</v>
      </c>
      <c r="E158">
        <f>VLOOKUP(A1,Data!$A$1:$DZU$1000000,2675,FALSE)</f>
        <v>0</v>
      </c>
      <c r="F158">
        <f>VLOOKUP(A1,Data!$A$1:$DZU$1000000,2676,FALSE)</f>
        <v>0</v>
      </c>
      <c r="G158">
        <f>VLOOKUP(A1,Data!$A$1:$DZU$1000000,2677,FALSE)</f>
        <v>0</v>
      </c>
      <c r="H158">
        <f>VLOOKUP(A1,Data!$A$1:$DZU$1000000,2678,FALSE)</f>
        <v>0</v>
      </c>
      <c r="I158">
        <f>VLOOKUP(A1,Data!$A$1:$DZU$1000000,2679,FALSE)</f>
        <v>0</v>
      </c>
      <c r="J158">
        <f>VLOOKUP(A1,Data!$A$1:$DZU$1000000,2680,FALSE)</f>
        <v>0</v>
      </c>
      <c r="K158">
        <f>VLOOKUP(A1,Data!$A$1:$DZU$1000000,2681,FALSE)</f>
        <v>0</v>
      </c>
      <c r="L158">
        <f>VLOOKUP(A1,Data!$A$1:$DZU$1000000,2682,FALSE)</f>
        <v>0</v>
      </c>
      <c r="M158">
        <f>VLOOKUP(A1,Data!$A$1:$DZU$1000000,2683,FALSE)</f>
        <v>0</v>
      </c>
      <c r="N158">
        <f>VLOOKUP(A1,Data!$A$1:$DZU$1000000,2684,FALSE)</f>
        <v>0</v>
      </c>
      <c r="O158">
        <f>VLOOKUP(A1,Data!$A$1:$DZU$1000000,2685,FALSE)</f>
        <v>0</v>
      </c>
      <c r="P158">
        <f>VLOOKUP(A1,Data!$A$1:$DZU$1000000,2686,FALSE)</f>
        <v>0</v>
      </c>
      <c r="Q158">
        <f>VLOOKUP(A1,Data!$A$1:$DZU$1000000,2687,FALSE)</f>
        <v>0</v>
      </c>
    </row>
    <row r="159" spans="1:17" ht="15" customHeight="1" x14ac:dyDescent="0.35">
      <c r="A159">
        <f>VLOOKUP(A1,Data!$A$1:$DZU$1000000,2688,FALSE)</f>
        <v>0</v>
      </c>
      <c r="B159">
        <f>VLOOKUP(A1,Data!$A$1:$DZU$1000000,2689,FALSE)</f>
        <v>0</v>
      </c>
      <c r="C159">
        <f>VLOOKUP(A1,Data!$A$1:$DZU$1000000,2690,FALSE)</f>
        <v>0</v>
      </c>
      <c r="D159">
        <f>VLOOKUP(A1,Data!$A$1:$DZU$1000000,2691,FALSE)</f>
        <v>0</v>
      </c>
      <c r="E159">
        <f>VLOOKUP(A1,Data!$A$1:$DZU$1000000,2692,FALSE)</f>
        <v>0</v>
      </c>
      <c r="F159">
        <f>VLOOKUP(A1,Data!$A$1:$DZU$1000000,2693,FALSE)</f>
        <v>0</v>
      </c>
      <c r="G159">
        <f>VLOOKUP(A1,Data!$A$1:$DZU$1000000,2694,FALSE)</f>
        <v>0</v>
      </c>
      <c r="H159">
        <f>VLOOKUP(A1,Data!$A$1:$DZU$1000000,2695,FALSE)</f>
        <v>0</v>
      </c>
      <c r="I159">
        <f>VLOOKUP(A1,Data!$A$1:$DZU$1000000,2696,FALSE)</f>
        <v>0</v>
      </c>
      <c r="J159">
        <f>VLOOKUP(A1,Data!$A$1:$DZU$1000000,2697,FALSE)</f>
        <v>0</v>
      </c>
      <c r="K159">
        <f>VLOOKUP(A1,Data!$A$1:$DZU$1000000,2698,FALSE)</f>
        <v>0</v>
      </c>
      <c r="L159">
        <f>VLOOKUP(A1,Data!$A$1:$DZU$1000000,2699,FALSE)</f>
        <v>0</v>
      </c>
      <c r="M159">
        <f>VLOOKUP(A1,Data!$A$1:$DZU$1000000,2700,FALSE)</f>
        <v>0</v>
      </c>
      <c r="N159">
        <f>VLOOKUP(A1,Data!$A$1:$DZU$1000000,2701,FALSE)</f>
        <v>0</v>
      </c>
      <c r="O159">
        <f>VLOOKUP(A1,Data!$A$1:$DZU$1000000,2702,FALSE)</f>
        <v>0</v>
      </c>
      <c r="P159">
        <f>VLOOKUP(A1,Data!$A$1:$DZU$1000000,2703,FALSE)</f>
        <v>0</v>
      </c>
      <c r="Q159">
        <f>VLOOKUP(A1,Data!$A$1:$DZU$1000000,2704,FALSE)</f>
        <v>0</v>
      </c>
    </row>
    <row r="160" spans="1:17" ht="15" customHeight="1" x14ac:dyDescent="0.35">
      <c r="A160">
        <f>VLOOKUP(A1,Data!$A$1:$DZU$1000000,2705,FALSE)</f>
        <v>0</v>
      </c>
      <c r="B160">
        <f>VLOOKUP(A1,Data!$A$1:$DZU$1000000,2706,FALSE)</f>
        <v>0</v>
      </c>
      <c r="C160">
        <f>VLOOKUP(A1,Data!$A$1:$DZU$1000000,2707,FALSE)</f>
        <v>0</v>
      </c>
      <c r="D160">
        <f>VLOOKUP(A1,Data!$A$1:$DZU$1000000,2708,FALSE)</f>
        <v>0</v>
      </c>
      <c r="E160">
        <f>VLOOKUP(A1,Data!$A$1:$DZU$1000000,2709,FALSE)</f>
        <v>0</v>
      </c>
      <c r="F160">
        <f>VLOOKUP(A1,Data!$A$1:$DZU$1000000,2710,FALSE)</f>
        <v>0</v>
      </c>
      <c r="G160">
        <f>VLOOKUP(A1,Data!$A$1:$DZU$1000000,2711,FALSE)</f>
        <v>0</v>
      </c>
      <c r="H160">
        <f>VLOOKUP(A1,Data!$A$1:$DZU$1000000,2712,FALSE)</f>
        <v>0</v>
      </c>
      <c r="I160">
        <f>VLOOKUP(A1,Data!$A$1:$DZU$1000000,2713,FALSE)</f>
        <v>0</v>
      </c>
      <c r="J160">
        <f>VLOOKUP(A1,Data!$A$1:$DZU$1000000,2714,FALSE)</f>
        <v>0</v>
      </c>
      <c r="K160">
        <f>VLOOKUP(A1,Data!$A$1:$DZU$1000000,2715,FALSE)</f>
        <v>0</v>
      </c>
      <c r="L160">
        <f>VLOOKUP(A1,Data!$A$1:$DZU$1000000,2716,FALSE)</f>
        <v>0</v>
      </c>
      <c r="M160">
        <f>VLOOKUP(A1,Data!$A$1:$DZU$1000000,2717,FALSE)</f>
        <v>0</v>
      </c>
      <c r="N160">
        <f>VLOOKUP(A1,Data!$A$1:$DZU$1000000,2718,FALSE)</f>
        <v>0</v>
      </c>
      <c r="O160">
        <f>VLOOKUP(A1,Data!$A$1:$DZU$1000000,2719,FALSE)</f>
        <v>0</v>
      </c>
      <c r="P160">
        <f>VLOOKUP(A1,Data!$A$1:$DZU$1000000,2720,FALSE)</f>
        <v>0</v>
      </c>
      <c r="Q160">
        <f>VLOOKUP(A1,Data!$A$1:$DZU$1000000,2721,FALSE)</f>
        <v>0</v>
      </c>
    </row>
    <row r="161" spans="1:17" ht="15" customHeight="1" x14ac:dyDescent="0.35">
      <c r="A161">
        <f>VLOOKUP(A1,Data!$A$1:$DZU$1000000,2722,FALSE)</f>
        <v>0</v>
      </c>
      <c r="B161">
        <f>VLOOKUP(A1,Data!$A$1:$DZU$1000000,2723,FALSE)</f>
        <v>0</v>
      </c>
      <c r="C161">
        <f>VLOOKUP(A1,Data!$A$1:$DZU$1000000,2724,FALSE)</f>
        <v>0</v>
      </c>
      <c r="D161">
        <f>VLOOKUP(A1,Data!$A$1:$DZU$1000000,2725,FALSE)</f>
        <v>0</v>
      </c>
      <c r="E161">
        <f>VLOOKUP(A1,Data!$A$1:$DZU$1000000,2726,FALSE)</f>
        <v>0</v>
      </c>
      <c r="F161">
        <f>VLOOKUP(A1,Data!$A$1:$DZU$1000000,2727,FALSE)</f>
        <v>0</v>
      </c>
      <c r="G161">
        <f>VLOOKUP(A1,Data!$A$1:$DZU$1000000,2728,FALSE)</f>
        <v>0</v>
      </c>
      <c r="H161">
        <f>VLOOKUP(A1,Data!$A$1:$DZU$1000000,2729,FALSE)</f>
        <v>0</v>
      </c>
      <c r="I161">
        <f>VLOOKUP(A1,Data!$A$1:$DZU$1000000,2730,FALSE)</f>
        <v>0</v>
      </c>
      <c r="J161">
        <f>VLOOKUP(A1,Data!$A$1:$DZU$1000000,2731,FALSE)</f>
        <v>0</v>
      </c>
      <c r="K161">
        <f>VLOOKUP(A1,Data!$A$1:$DZU$1000000,2732,FALSE)</f>
        <v>0</v>
      </c>
      <c r="L161">
        <f>VLOOKUP(A1,Data!$A$1:$DZU$1000000,2733,FALSE)</f>
        <v>0</v>
      </c>
      <c r="M161">
        <f>VLOOKUP(A1,Data!$A$1:$DZU$1000000,2734,FALSE)</f>
        <v>0</v>
      </c>
      <c r="N161">
        <f>VLOOKUP(A1,Data!$A$1:$DZU$1000000,2735,FALSE)</f>
        <v>0</v>
      </c>
      <c r="O161">
        <f>VLOOKUP(A1,Data!$A$1:$DZU$1000000,2736,FALSE)</f>
        <v>0</v>
      </c>
      <c r="P161">
        <f>VLOOKUP(A1,Data!$A$1:$DZU$1000000,2737,FALSE)</f>
        <v>0</v>
      </c>
      <c r="Q161">
        <f>VLOOKUP(A1,Data!$A$1:$DZU$1000000,2738,FALSE)</f>
        <v>0</v>
      </c>
    </row>
    <row r="162" spans="1:17" ht="15" customHeight="1" x14ac:dyDescent="0.35">
      <c r="A162">
        <f>VLOOKUP(A1,Data!$A$1:$DZU$1000000,2739,FALSE)</f>
        <v>0</v>
      </c>
      <c r="B162">
        <f>VLOOKUP(A1,Data!$A$1:$DZU$1000000,2740,FALSE)</f>
        <v>0</v>
      </c>
      <c r="C162">
        <f>VLOOKUP(A1,Data!$A$1:$DZU$1000000,2741,FALSE)</f>
        <v>0</v>
      </c>
      <c r="D162">
        <f>VLOOKUP(A1,Data!$A$1:$DZU$1000000,2742,FALSE)</f>
        <v>0</v>
      </c>
      <c r="E162">
        <f>VLOOKUP(A1,Data!$A$1:$DZU$1000000,2743,FALSE)</f>
        <v>0</v>
      </c>
      <c r="F162">
        <f>VLOOKUP(A1,Data!$A$1:$DZU$1000000,2744,FALSE)</f>
        <v>0</v>
      </c>
      <c r="G162">
        <f>VLOOKUP(A1,Data!$A$1:$DZU$1000000,2745,FALSE)</f>
        <v>0</v>
      </c>
      <c r="H162">
        <f>VLOOKUP(A1,Data!$A$1:$DZU$1000000,2746,FALSE)</f>
        <v>0</v>
      </c>
      <c r="I162">
        <f>VLOOKUP(A1,Data!$A$1:$DZU$1000000,2747,FALSE)</f>
        <v>0</v>
      </c>
      <c r="J162">
        <f>VLOOKUP(A1,Data!$A$1:$DZU$1000000,2748,FALSE)</f>
        <v>0</v>
      </c>
      <c r="K162">
        <f>VLOOKUP(A1,Data!$A$1:$DZU$1000000,2749,FALSE)</f>
        <v>0</v>
      </c>
      <c r="L162">
        <f>VLOOKUP(A1,Data!$A$1:$DZU$1000000,2750,FALSE)</f>
        <v>0</v>
      </c>
      <c r="M162">
        <f>VLOOKUP(A1,Data!$A$1:$DZU$1000000,2751,FALSE)</f>
        <v>0</v>
      </c>
      <c r="N162">
        <f>VLOOKUP(A1,Data!$A$1:$DZU$1000000,2752,FALSE)</f>
        <v>0</v>
      </c>
      <c r="O162">
        <f>VLOOKUP(A1,Data!$A$1:$DZU$1000000,2753,FALSE)</f>
        <v>0</v>
      </c>
      <c r="P162">
        <f>VLOOKUP(A1,Data!$A$1:$DZU$1000000,2754,FALSE)</f>
        <v>0</v>
      </c>
      <c r="Q162">
        <f>VLOOKUP(A1,Data!$A$1:$DZU$1000000,2755,FALSE)</f>
        <v>0</v>
      </c>
    </row>
    <row r="163" spans="1:17" ht="15" customHeight="1" x14ac:dyDescent="0.35">
      <c r="A163">
        <f>VLOOKUP(A1,Data!$A$1:$DZU$1000000,2756,FALSE)</f>
        <v>0</v>
      </c>
      <c r="B163">
        <f>VLOOKUP(A1,Data!$A$1:$DZU$1000000,2757,FALSE)</f>
        <v>0</v>
      </c>
      <c r="C163">
        <f>VLOOKUP(A1,Data!$A$1:$DZU$1000000,2758,FALSE)</f>
        <v>0</v>
      </c>
      <c r="D163">
        <f>VLOOKUP(A1,Data!$A$1:$DZU$1000000,2759,FALSE)</f>
        <v>0</v>
      </c>
      <c r="E163">
        <f>VLOOKUP(A1,Data!$A$1:$DZU$1000000,2760,FALSE)</f>
        <v>0</v>
      </c>
      <c r="F163">
        <f>VLOOKUP(A1,Data!$A$1:$DZU$1000000,2761,FALSE)</f>
        <v>0</v>
      </c>
      <c r="G163">
        <f>VLOOKUP(A1,Data!$A$1:$DZU$1000000,2762,FALSE)</f>
        <v>0</v>
      </c>
      <c r="H163">
        <f>VLOOKUP(A1,Data!$A$1:$DZU$1000000,2763,FALSE)</f>
        <v>0</v>
      </c>
      <c r="I163">
        <f>VLOOKUP(A1,Data!$A$1:$DZU$1000000,2764,FALSE)</f>
        <v>0</v>
      </c>
      <c r="J163">
        <f>VLOOKUP(A1,Data!$A$1:$DZU$1000000,2765,FALSE)</f>
        <v>0</v>
      </c>
      <c r="K163">
        <f>VLOOKUP(A1,Data!$A$1:$DZU$1000000,2766,FALSE)</f>
        <v>0</v>
      </c>
      <c r="L163">
        <f>VLOOKUP(A1,Data!$A$1:$DZU$1000000,2767,FALSE)</f>
        <v>0</v>
      </c>
      <c r="M163">
        <f>VLOOKUP(A1,Data!$A$1:$DZU$1000000,2768,FALSE)</f>
        <v>0</v>
      </c>
      <c r="N163">
        <f>VLOOKUP(A1,Data!$A$1:$DZU$1000000,2769,FALSE)</f>
        <v>0</v>
      </c>
      <c r="O163">
        <f>VLOOKUP(A1,Data!$A$1:$DZU$1000000,2770,FALSE)</f>
        <v>0</v>
      </c>
      <c r="P163">
        <f>VLOOKUP(A1,Data!$A$1:$DZU$1000000,2771,FALSE)</f>
        <v>0</v>
      </c>
      <c r="Q163">
        <f>VLOOKUP(A1,Data!$A$1:$DZU$1000000,2772,FALSE)</f>
        <v>0</v>
      </c>
    </row>
    <row r="164" spans="1:17" ht="15" customHeight="1" x14ac:dyDescent="0.35">
      <c r="A164">
        <f>VLOOKUP(A1,Data!$A$1:$DZU$1000000,2773,FALSE)</f>
        <v>0</v>
      </c>
      <c r="B164">
        <f>VLOOKUP(A1,Data!$A$1:$DZU$1000000,2774,FALSE)</f>
        <v>0</v>
      </c>
      <c r="C164">
        <f>VLOOKUP(A1,Data!$A$1:$DZU$1000000,2775,FALSE)</f>
        <v>0</v>
      </c>
      <c r="D164">
        <f>VLOOKUP(A1,Data!$A$1:$DZU$1000000,2776,FALSE)</f>
        <v>0</v>
      </c>
      <c r="E164">
        <f>VLOOKUP(A1,Data!$A$1:$DZU$1000000,2777,FALSE)</f>
        <v>0</v>
      </c>
      <c r="F164">
        <f>VLOOKUP(A1,Data!$A$1:$DZU$1000000,2778,FALSE)</f>
        <v>0</v>
      </c>
      <c r="G164">
        <f>VLOOKUP(A1,Data!$A$1:$DZU$1000000,2779,FALSE)</f>
        <v>0</v>
      </c>
      <c r="H164">
        <f>VLOOKUP(A1,Data!$A$1:$DZU$1000000,2780,FALSE)</f>
        <v>0</v>
      </c>
      <c r="I164">
        <f>VLOOKUP(A1,Data!$A$1:$DZU$1000000,2781,FALSE)</f>
        <v>0</v>
      </c>
      <c r="J164">
        <f>VLOOKUP(A1,Data!$A$1:$DZU$1000000,2782,FALSE)</f>
        <v>0</v>
      </c>
      <c r="K164">
        <f>VLOOKUP(A1,Data!$A$1:$DZU$1000000,2783,FALSE)</f>
        <v>0</v>
      </c>
      <c r="L164">
        <f>VLOOKUP(A1,Data!$A$1:$DZU$1000000,2784,FALSE)</f>
        <v>0</v>
      </c>
      <c r="M164">
        <f>VLOOKUP(A1,Data!$A$1:$DZU$1000000,2785,FALSE)</f>
        <v>0</v>
      </c>
      <c r="N164">
        <f>VLOOKUP(A1,Data!$A$1:$DZU$1000000,2786,FALSE)</f>
        <v>0</v>
      </c>
      <c r="O164">
        <f>VLOOKUP(A1,Data!$A$1:$DZU$1000000,2787,FALSE)</f>
        <v>0</v>
      </c>
      <c r="P164">
        <f>VLOOKUP(A1,Data!$A$1:$DZU$1000000,2788,FALSE)</f>
        <v>0</v>
      </c>
      <c r="Q164">
        <f>VLOOKUP(A1,Data!$A$1:$DZU$1000000,2789,FALSE)</f>
        <v>0</v>
      </c>
    </row>
    <row r="165" spans="1:17" ht="15" customHeight="1" x14ac:dyDescent="0.35">
      <c r="A165">
        <f>VLOOKUP(A1,Data!$A$1:$DZU$1000000,2790,FALSE)</f>
        <v>0</v>
      </c>
      <c r="B165">
        <f>VLOOKUP(A1,Data!$A$1:$DZU$1000000,2791,FALSE)</f>
        <v>0</v>
      </c>
      <c r="C165">
        <f>VLOOKUP(A1,Data!$A$1:$DZU$1000000,2792,FALSE)</f>
        <v>0</v>
      </c>
      <c r="D165">
        <f>VLOOKUP(A1,Data!$A$1:$DZU$1000000,2793,FALSE)</f>
        <v>0</v>
      </c>
      <c r="E165">
        <f>VLOOKUP(A1,Data!$A$1:$DZU$1000000,2794,FALSE)</f>
        <v>0</v>
      </c>
      <c r="F165">
        <f>VLOOKUP(A1,Data!$A$1:$DZU$1000000,2795,FALSE)</f>
        <v>0</v>
      </c>
      <c r="G165">
        <f>VLOOKUP(A1,Data!$A$1:$DZU$1000000,2796,FALSE)</f>
        <v>0</v>
      </c>
      <c r="H165">
        <f>VLOOKUP(A1,Data!$A$1:$DZU$1000000,2797,FALSE)</f>
        <v>0</v>
      </c>
      <c r="I165">
        <f>VLOOKUP(A1,Data!$A$1:$DZU$1000000,2798,FALSE)</f>
        <v>0</v>
      </c>
      <c r="J165">
        <f>VLOOKUP(A1,Data!$A$1:$DZU$1000000,2799,FALSE)</f>
        <v>0</v>
      </c>
      <c r="K165">
        <f>VLOOKUP(A1,Data!$A$1:$DZU$1000000,2800,FALSE)</f>
        <v>0</v>
      </c>
      <c r="L165">
        <f>VLOOKUP(A1,Data!$A$1:$DZU$1000000,2801,FALSE)</f>
        <v>0</v>
      </c>
      <c r="M165">
        <f>VLOOKUP(A1,Data!$A$1:$DZU$1000000,2802,FALSE)</f>
        <v>0</v>
      </c>
      <c r="N165">
        <f>VLOOKUP(A1,Data!$A$1:$DZU$1000000,2803,FALSE)</f>
        <v>0</v>
      </c>
      <c r="O165">
        <f>VLOOKUP(A1,Data!$A$1:$DZU$1000000,2804,FALSE)</f>
        <v>0</v>
      </c>
      <c r="P165">
        <f>VLOOKUP(A1,Data!$A$1:$DZU$1000000,2805,FALSE)</f>
        <v>0</v>
      </c>
      <c r="Q165">
        <f>VLOOKUP(A1,Data!$A$1:$DZU$1000000,2806,FALSE)</f>
        <v>0</v>
      </c>
    </row>
    <row r="166" spans="1:17" ht="15" customHeight="1" x14ac:dyDescent="0.35">
      <c r="A166">
        <f>VLOOKUP(A1,Data!$A$1:$DZU$1000000,2807,FALSE)</f>
        <v>0</v>
      </c>
      <c r="B166">
        <f>VLOOKUP(A1,Data!$A$1:$DZU$1000000,2808,FALSE)</f>
        <v>0</v>
      </c>
      <c r="C166">
        <f>VLOOKUP(A1,Data!$A$1:$DZU$1000000,2809,FALSE)</f>
        <v>0</v>
      </c>
      <c r="D166">
        <f>VLOOKUP(A1,Data!$A$1:$DZU$1000000,2810,FALSE)</f>
        <v>0</v>
      </c>
      <c r="E166">
        <f>VLOOKUP(A1,Data!$A$1:$DZU$1000000,2811,FALSE)</f>
        <v>0</v>
      </c>
      <c r="F166">
        <f>VLOOKUP(A1,Data!$A$1:$DZU$1000000,2812,FALSE)</f>
        <v>0</v>
      </c>
      <c r="G166">
        <f>VLOOKUP(A1,Data!$A$1:$DZU$1000000,2813,FALSE)</f>
        <v>0</v>
      </c>
      <c r="H166">
        <f>VLOOKUP(A1,Data!$A$1:$DZU$1000000,2814,FALSE)</f>
        <v>0</v>
      </c>
      <c r="I166">
        <f>VLOOKUP(A1,Data!$A$1:$DZU$1000000,2815,FALSE)</f>
        <v>0</v>
      </c>
      <c r="J166">
        <f>VLOOKUP(A1,Data!$A$1:$DZU$1000000,2816,FALSE)</f>
        <v>0</v>
      </c>
      <c r="K166">
        <f>VLOOKUP(A1,Data!$A$1:$DZU$1000000,2817,FALSE)</f>
        <v>0</v>
      </c>
      <c r="L166">
        <f>VLOOKUP(A1,Data!$A$1:$DZU$1000000,2818,FALSE)</f>
        <v>0</v>
      </c>
      <c r="M166">
        <f>VLOOKUP(A1,Data!$A$1:$DZU$1000000,2819,FALSE)</f>
        <v>0</v>
      </c>
      <c r="N166">
        <f>VLOOKUP(A1,Data!$A$1:$DZU$1000000,2820,FALSE)</f>
        <v>0</v>
      </c>
      <c r="O166">
        <f>VLOOKUP(A1,Data!$A$1:$DZU$1000000,2821,FALSE)</f>
        <v>0</v>
      </c>
      <c r="P166">
        <f>VLOOKUP(A1,Data!$A$1:$DZU$1000000,2822,FALSE)</f>
        <v>0</v>
      </c>
      <c r="Q166">
        <f>VLOOKUP(A1,Data!$A$1:$DZU$1000000,2823,FALSE)</f>
        <v>0</v>
      </c>
    </row>
    <row r="167" spans="1:17" ht="15" customHeight="1" x14ac:dyDescent="0.35">
      <c r="A167">
        <f>VLOOKUP(A1,Data!$A$1:$DZU$1000000,2824,FALSE)</f>
        <v>0</v>
      </c>
      <c r="B167">
        <f>VLOOKUP(A1,Data!$A$1:$DZU$1000000,2825,FALSE)</f>
        <v>0</v>
      </c>
      <c r="C167">
        <f>VLOOKUP(A1,Data!$A$1:$DZU$1000000,2826,FALSE)</f>
        <v>0</v>
      </c>
      <c r="D167">
        <f>VLOOKUP(A1,Data!$A$1:$DZU$1000000,2827,FALSE)</f>
        <v>0</v>
      </c>
      <c r="E167">
        <f>VLOOKUP(A1,Data!$A$1:$DZU$1000000,2828,FALSE)</f>
        <v>0</v>
      </c>
      <c r="F167">
        <f>VLOOKUP(A1,Data!$A$1:$DZU$1000000,2829,FALSE)</f>
        <v>0</v>
      </c>
      <c r="G167">
        <f>VLOOKUP(A1,Data!$A$1:$DZU$1000000,2830,FALSE)</f>
        <v>0</v>
      </c>
      <c r="H167">
        <f>VLOOKUP(A1,Data!$A$1:$DZU$1000000,2831,FALSE)</f>
        <v>0</v>
      </c>
      <c r="I167">
        <f>VLOOKUP(A1,Data!$A$1:$DZU$1000000,2832,FALSE)</f>
        <v>0</v>
      </c>
      <c r="J167">
        <f>VLOOKUP(A1,Data!$A$1:$DZU$1000000,2833,FALSE)</f>
        <v>0</v>
      </c>
      <c r="K167">
        <f>VLOOKUP(A1,Data!$A$1:$DZU$1000000,2834,FALSE)</f>
        <v>0</v>
      </c>
      <c r="L167">
        <f>VLOOKUP(A1,Data!$A$1:$DZU$1000000,2835,FALSE)</f>
        <v>0</v>
      </c>
      <c r="M167">
        <f>VLOOKUP(A1,Data!$A$1:$DZU$1000000,2836,FALSE)</f>
        <v>0</v>
      </c>
      <c r="N167">
        <f>VLOOKUP(A1,Data!$A$1:$DZU$1000000,2837,FALSE)</f>
        <v>0</v>
      </c>
      <c r="O167">
        <f>VLOOKUP(A1,Data!$A$1:$DZU$1000000,2838,FALSE)</f>
        <v>0</v>
      </c>
      <c r="P167">
        <f>VLOOKUP(A1,Data!$A$1:$DZU$1000000,2839,FALSE)</f>
        <v>0</v>
      </c>
      <c r="Q167">
        <f>VLOOKUP(A1,Data!$A$1:$DZU$1000000,2840,FALSE)</f>
        <v>0</v>
      </c>
    </row>
    <row r="168" spans="1:17" ht="15" customHeight="1" x14ac:dyDescent="0.35">
      <c r="A168">
        <f>VLOOKUP(A1,Data!$A$1:$DZU$1000000,2841,FALSE)</f>
        <v>0</v>
      </c>
      <c r="B168">
        <f>VLOOKUP(A1,Data!$A$1:$DZU$1000000,2842,FALSE)</f>
        <v>0</v>
      </c>
      <c r="C168">
        <f>VLOOKUP(A1,Data!$A$1:$DZU$1000000,2843,FALSE)</f>
        <v>0</v>
      </c>
      <c r="D168">
        <f>VLOOKUP(A1,Data!$A$1:$DZU$1000000,2844,FALSE)</f>
        <v>0</v>
      </c>
      <c r="E168">
        <f>VLOOKUP(A1,Data!$A$1:$DZU$1000000,2845,FALSE)</f>
        <v>0</v>
      </c>
      <c r="F168">
        <f>VLOOKUP(A1,Data!$A$1:$DZU$1000000,2846,FALSE)</f>
        <v>0</v>
      </c>
      <c r="G168">
        <f>VLOOKUP(A1,Data!$A$1:$DZU$1000000,2847,FALSE)</f>
        <v>0</v>
      </c>
      <c r="H168">
        <f>VLOOKUP(A1,Data!$A$1:$DZU$1000000,2848,FALSE)</f>
        <v>0</v>
      </c>
      <c r="I168">
        <f>VLOOKUP(A1,Data!$A$1:$DZU$1000000,2849,FALSE)</f>
        <v>0</v>
      </c>
      <c r="J168">
        <f>VLOOKUP(A1,Data!$A$1:$DZU$1000000,2850,FALSE)</f>
        <v>0</v>
      </c>
      <c r="K168">
        <f>VLOOKUP(A1,Data!$A$1:$DZU$1000000,2851,FALSE)</f>
        <v>0</v>
      </c>
      <c r="L168">
        <f>VLOOKUP(A1,Data!$A$1:$DZU$1000000,2852,FALSE)</f>
        <v>0</v>
      </c>
      <c r="M168">
        <f>VLOOKUP(A1,Data!$A$1:$DZU$1000000,2853,FALSE)</f>
        <v>0</v>
      </c>
      <c r="N168">
        <f>VLOOKUP(A1,Data!$A$1:$DZU$1000000,2854,FALSE)</f>
        <v>0</v>
      </c>
      <c r="O168">
        <f>VLOOKUP(A1,Data!$A$1:$DZU$1000000,2855,FALSE)</f>
        <v>0</v>
      </c>
      <c r="P168">
        <f>VLOOKUP(A1,Data!$A$1:$DZU$1000000,2856,FALSE)</f>
        <v>0</v>
      </c>
      <c r="Q168">
        <f>VLOOKUP(A1,Data!$A$1:$DZU$1000000,2857,FALSE)</f>
        <v>0</v>
      </c>
    </row>
    <row r="169" spans="1:17" ht="15" customHeight="1" x14ac:dyDescent="0.35">
      <c r="A169">
        <f>VLOOKUP(A1,Data!$A$1:$DZU$1000000,2858,FALSE)</f>
        <v>0</v>
      </c>
      <c r="B169">
        <f>VLOOKUP(A1,Data!$A$1:$DZU$1000000,2859,FALSE)</f>
        <v>0</v>
      </c>
      <c r="C169">
        <f>VLOOKUP(A1,Data!$A$1:$DZU$1000000,2860,FALSE)</f>
        <v>0</v>
      </c>
      <c r="D169">
        <f>VLOOKUP(A1,Data!$A$1:$DZU$1000000,2861,FALSE)</f>
        <v>0</v>
      </c>
      <c r="E169">
        <f>VLOOKUP(A1,Data!$A$1:$DZU$1000000,2862,FALSE)</f>
        <v>0</v>
      </c>
      <c r="F169">
        <f>VLOOKUP(A1,Data!$A$1:$DZU$1000000,2863,FALSE)</f>
        <v>0</v>
      </c>
      <c r="G169">
        <f>VLOOKUP(A1,Data!$A$1:$DZU$1000000,2864,FALSE)</f>
        <v>0</v>
      </c>
      <c r="H169">
        <f>VLOOKUP(A1,Data!$A$1:$DZU$1000000,2865,FALSE)</f>
        <v>0</v>
      </c>
      <c r="I169">
        <f>VLOOKUP(A1,Data!$A$1:$DZU$1000000,2866,FALSE)</f>
        <v>0</v>
      </c>
      <c r="J169">
        <f>VLOOKUP(A1,Data!$A$1:$DZU$1000000,2867,FALSE)</f>
        <v>0</v>
      </c>
      <c r="K169">
        <f>VLOOKUP(A1,Data!$A$1:$DZU$1000000,2868,FALSE)</f>
        <v>0</v>
      </c>
      <c r="L169">
        <f>VLOOKUP(A1,Data!$A$1:$DZU$1000000,2869,FALSE)</f>
        <v>0</v>
      </c>
      <c r="M169">
        <f>VLOOKUP(A1,Data!$A$1:$DZU$1000000,2870,FALSE)</f>
        <v>0</v>
      </c>
      <c r="N169">
        <f>VLOOKUP(A1,Data!$A$1:$DZU$1000000,2871,FALSE)</f>
        <v>0</v>
      </c>
      <c r="O169">
        <f>VLOOKUP(A1,Data!$A$1:$DZU$1000000,2872,FALSE)</f>
        <v>0</v>
      </c>
      <c r="P169">
        <f>VLOOKUP(A1,Data!$A$1:$DZU$1000000,2873,FALSE)</f>
        <v>0</v>
      </c>
      <c r="Q169">
        <f>VLOOKUP(A1,Data!$A$1:$DZU$1000000,2874,FALSE)</f>
        <v>0</v>
      </c>
    </row>
    <row r="170" spans="1:17" ht="15" customHeight="1" x14ac:dyDescent="0.35">
      <c r="A170">
        <f>VLOOKUP(A1,Data!$A$1:$DZU$1000000,2875,FALSE)</f>
        <v>0</v>
      </c>
      <c r="B170">
        <f>VLOOKUP(A1,Data!$A$1:$DZU$1000000,2876,FALSE)</f>
        <v>0</v>
      </c>
      <c r="C170">
        <f>VLOOKUP(A1,Data!$A$1:$DZU$1000000,2877,FALSE)</f>
        <v>0</v>
      </c>
      <c r="D170">
        <f>VLOOKUP(A1,Data!$A$1:$DZU$1000000,2878,FALSE)</f>
        <v>0</v>
      </c>
      <c r="E170">
        <f>VLOOKUP(A1,Data!$A$1:$DZU$1000000,2879,FALSE)</f>
        <v>0</v>
      </c>
      <c r="F170">
        <f>VLOOKUP(A1,Data!$A$1:$DZU$1000000,2880,FALSE)</f>
        <v>0</v>
      </c>
      <c r="G170">
        <f>VLOOKUP(A1,Data!$A$1:$DZU$1000000,2881,FALSE)</f>
        <v>0</v>
      </c>
      <c r="H170">
        <f>VLOOKUP(A1,Data!$A$1:$DZU$1000000,2882,FALSE)</f>
        <v>0</v>
      </c>
      <c r="I170">
        <f>VLOOKUP(A1,Data!$A$1:$DZU$1000000,2883,FALSE)</f>
        <v>0</v>
      </c>
      <c r="J170">
        <f>VLOOKUP(A1,Data!$A$1:$DZU$1000000,2884,FALSE)</f>
        <v>0</v>
      </c>
      <c r="K170">
        <f>VLOOKUP(A1,Data!$A$1:$DZU$1000000,2885,FALSE)</f>
        <v>0</v>
      </c>
      <c r="L170">
        <f>VLOOKUP(A1,Data!$A$1:$DZU$1000000,2886,FALSE)</f>
        <v>0</v>
      </c>
      <c r="M170">
        <f>VLOOKUP(A1,Data!$A$1:$DZU$1000000,2887,FALSE)</f>
        <v>0</v>
      </c>
      <c r="N170">
        <f>VLOOKUP(A1,Data!$A$1:$DZU$1000000,2888,FALSE)</f>
        <v>0</v>
      </c>
      <c r="O170">
        <f>VLOOKUP(A1,Data!$A$1:$DZU$1000000,2889,FALSE)</f>
        <v>0</v>
      </c>
      <c r="P170">
        <f>VLOOKUP(A1,Data!$A$1:$DZU$1000000,2890,FALSE)</f>
        <v>0</v>
      </c>
      <c r="Q170">
        <f>VLOOKUP(A1,Data!$A$1:$DZU$1000000,2891,FALSE)</f>
        <v>0</v>
      </c>
    </row>
    <row r="171" spans="1:17" ht="15" customHeight="1" x14ac:dyDescent="0.35">
      <c r="A171">
        <f>VLOOKUP(A1,Data!$A$1:$DZU$1000000,2892,FALSE)</f>
        <v>0</v>
      </c>
      <c r="B171">
        <f>VLOOKUP(A1,Data!$A$1:$DZU$1000000,2893,FALSE)</f>
        <v>0</v>
      </c>
      <c r="C171">
        <f>VLOOKUP(A1,Data!$A$1:$DZU$1000000,2894,FALSE)</f>
        <v>0</v>
      </c>
      <c r="D171">
        <f>VLOOKUP(A1,Data!$A$1:$DZU$1000000,2895,FALSE)</f>
        <v>0</v>
      </c>
      <c r="E171">
        <f>VLOOKUP(A1,Data!$A$1:$DZU$1000000,2896,FALSE)</f>
        <v>0</v>
      </c>
      <c r="F171">
        <f>VLOOKUP(A1,Data!$A$1:$DZU$1000000,2897,FALSE)</f>
        <v>0</v>
      </c>
      <c r="G171">
        <f>VLOOKUP(A1,Data!$A$1:$DZU$1000000,2898,FALSE)</f>
        <v>0</v>
      </c>
      <c r="H171">
        <f>VLOOKUP(A1,Data!$A$1:$DZU$1000000,2899,FALSE)</f>
        <v>0</v>
      </c>
      <c r="I171">
        <f>VLOOKUP(A1,Data!$A$1:$DZU$1000000,2900,FALSE)</f>
        <v>0</v>
      </c>
      <c r="J171">
        <f>VLOOKUP(A1,Data!$A$1:$DZU$1000000,2901,FALSE)</f>
        <v>0</v>
      </c>
      <c r="K171">
        <f>VLOOKUP(A1,Data!$A$1:$DZU$1000000,2902,FALSE)</f>
        <v>0</v>
      </c>
      <c r="L171">
        <f>VLOOKUP(A1,Data!$A$1:$DZU$1000000,2903,FALSE)</f>
        <v>0</v>
      </c>
      <c r="M171">
        <f>VLOOKUP(A1,Data!$A$1:$DZU$1000000,2904,FALSE)</f>
        <v>0</v>
      </c>
      <c r="N171">
        <f>VLOOKUP(A1,Data!$A$1:$DZU$1000000,2905,FALSE)</f>
        <v>0</v>
      </c>
      <c r="O171">
        <f>VLOOKUP(A1,Data!$A$1:$DZU$1000000,2906,FALSE)</f>
        <v>0</v>
      </c>
      <c r="P171">
        <f>VLOOKUP(A1,Data!$A$1:$DZU$1000000,2907,FALSE)</f>
        <v>0</v>
      </c>
      <c r="Q171">
        <f>VLOOKUP(A1,Data!$A$1:$DZU$1000000,2908,FALSE)</f>
        <v>0</v>
      </c>
    </row>
    <row r="172" spans="1:17" ht="15" customHeight="1" x14ac:dyDescent="0.35">
      <c r="A172">
        <f>VLOOKUP(A1,Data!$A$1:$DZU$1000000,2909,FALSE)</f>
        <v>0</v>
      </c>
      <c r="B172">
        <f>VLOOKUP(A1,Data!$A$1:$DZU$1000000,2910,FALSE)</f>
        <v>0</v>
      </c>
      <c r="C172">
        <f>VLOOKUP(A1,Data!$A$1:$DZU$1000000,2911,FALSE)</f>
        <v>0</v>
      </c>
      <c r="D172">
        <f>VLOOKUP(A1,Data!$A$1:$DZU$1000000,2912,FALSE)</f>
        <v>0</v>
      </c>
      <c r="E172">
        <f>VLOOKUP(A1,Data!$A$1:$DZU$1000000,2913,FALSE)</f>
        <v>0</v>
      </c>
      <c r="F172">
        <f>VLOOKUP(A1,Data!$A$1:$DZU$1000000,2914,FALSE)</f>
        <v>0</v>
      </c>
      <c r="G172">
        <f>VLOOKUP(A1,Data!$A$1:$DZU$1000000,2915,FALSE)</f>
        <v>0</v>
      </c>
      <c r="H172">
        <f>VLOOKUP(A1,Data!$A$1:$DZU$1000000,2916,FALSE)</f>
        <v>0</v>
      </c>
      <c r="I172">
        <f>VLOOKUP(A1,Data!$A$1:$DZU$1000000,2917,FALSE)</f>
        <v>0</v>
      </c>
      <c r="J172">
        <f>VLOOKUP(A1,Data!$A$1:$DZU$1000000,2918,FALSE)</f>
        <v>0</v>
      </c>
      <c r="K172">
        <f>VLOOKUP(A1,Data!$A$1:$DZU$1000000,2919,FALSE)</f>
        <v>0</v>
      </c>
      <c r="L172">
        <f>VLOOKUP(A1,Data!$A$1:$DZU$1000000,2920,FALSE)</f>
        <v>0</v>
      </c>
      <c r="M172">
        <f>VLOOKUP(A1,Data!$A$1:$DZU$1000000,2921,FALSE)</f>
        <v>0</v>
      </c>
      <c r="N172">
        <f>VLOOKUP(A1,Data!$A$1:$DZU$1000000,2922,FALSE)</f>
        <v>0</v>
      </c>
      <c r="O172">
        <f>VLOOKUP(A1,Data!$A$1:$DZU$1000000,2923,FALSE)</f>
        <v>0</v>
      </c>
      <c r="P172">
        <f>VLOOKUP(A1,Data!$A$1:$DZU$1000000,2924,FALSE)</f>
        <v>0</v>
      </c>
      <c r="Q172">
        <f>VLOOKUP(A1,Data!$A$1:$DZU$1000000,2925,FALSE)</f>
        <v>0</v>
      </c>
    </row>
    <row r="173" spans="1:17" ht="15" customHeight="1" x14ac:dyDescent="0.35">
      <c r="A173">
        <f>VLOOKUP(A1,Data!$A$1:$DZU$1000000,2926,FALSE)</f>
        <v>0</v>
      </c>
      <c r="B173">
        <f>VLOOKUP(A1,Data!$A$1:$DZU$1000000,2927,FALSE)</f>
        <v>0</v>
      </c>
      <c r="C173">
        <f>VLOOKUP(A1,Data!$A$1:$DZU$1000000,2928,FALSE)</f>
        <v>0</v>
      </c>
      <c r="D173">
        <f>VLOOKUP(A1,Data!$A$1:$DZU$1000000,2929,FALSE)</f>
        <v>0</v>
      </c>
      <c r="E173">
        <f>VLOOKUP(A1,Data!$A$1:$DZU$1000000,2930,FALSE)</f>
        <v>0</v>
      </c>
      <c r="F173">
        <f>VLOOKUP(A1,Data!$A$1:$DZU$1000000,2931,FALSE)</f>
        <v>0</v>
      </c>
      <c r="G173">
        <f>VLOOKUP(A1,Data!$A$1:$DZU$1000000,2932,FALSE)</f>
        <v>0</v>
      </c>
      <c r="H173">
        <f>VLOOKUP(A1,Data!$A$1:$DZU$1000000,2933,FALSE)</f>
        <v>0</v>
      </c>
      <c r="I173">
        <f>VLOOKUP(A1,Data!$A$1:$DZU$1000000,2934,FALSE)</f>
        <v>0</v>
      </c>
      <c r="J173">
        <f>VLOOKUP(A1,Data!$A$1:$DZU$1000000,2935,FALSE)</f>
        <v>0</v>
      </c>
      <c r="K173">
        <f>VLOOKUP(A1,Data!$A$1:$DZU$1000000,2936,FALSE)</f>
        <v>0</v>
      </c>
      <c r="L173">
        <f>VLOOKUP(A1,Data!$A$1:$DZU$1000000,2937,FALSE)</f>
        <v>0</v>
      </c>
      <c r="M173">
        <f>VLOOKUP(A1,Data!$A$1:$DZU$1000000,2938,FALSE)</f>
        <v>0</v>
      </c>
      <c r="N173">
        <f>VLOOKUP(A1,Data!$A$1:$DZU$1000000,2939,FALSE)</f>
        <v>0</v>
      </c>
      <c r="O173">
        <f>VLOOKUP(A1,Data!$A$1:$DZU$1000000,2940,FALSE)</f>
        <v>0</v>
      </c>
      <c r="P173">
        <f>VLOOKUP(A1,Data!$A$1:$DZU$1000000,2941,FALSE)</f>
        <v>0</v>
      </c>
      <c r="Q173">
        <f>VLOOKUP(A1,Data!$A$1:$DZU$1000000,2942,FALSE)</f>
        <v>0</v>
      </c>
    </row>
    <row r="174" spans="1:17" ht="15" customHeight="1" x14ac:dyDescent="0.35">
      <c r="A174">
        <f>VLOOKUP(A1,Data!$A$1:$DZU$1000000,2943,FALSE)</f>
        <v>0</v>
      </c>
      <c r="B174">
        <f>VLOOKUP(A1,Data!$A$1:$DZU$1000000,2944,FALSE)</f>
        <v>0</v>
      </c>
      <c r="C174">
        <f>VLOOKUP(A1,Data!$A$1:$DZU$1000000,2945,FALSE)</f>
        <v>0</v>
      </c>
      <c r="D174">
        <f>VLOOKUP(A1,Data!$A$1:$DZU$1000000,2946,FALSE)</f>
        <v>0</v>
      </c>
      <c r="E174">
        <f>VLOOKUP(A1,Data!$A$1:$DZU$1000000,2947,FALSE)</f>
        <v>0</v>
      </c>
      <c r="F174">
        <f>VLOOKUP(A1,Data!$A$1:$DZU$1000000,2948,FALSE)</f>
        <v>0</v>
      </c>
      <c r="G174">
        <f>VLOOKUP(A1,Data!$A$1:$DZU$1000000,2949,FALSE)</f>
        <v>0</v>
      </c>
      <c r="H174">
        <f>VLOOKUP(A1,Data!$A$1:$DZU$1000000,2950,FALSE)</f>
        <v>0</v>
      </c>
      <c r="I174">
        <f>VLOOKUP(A1,Data!$A$1:$DZU$1000000,2951,FALSE)</f>
        <v>0</v>
      </c>
      <c r="J174">
        <f>VLOOKUP(A1,Data!$A$1:$DZU$1000000,2952,FALSE)</f>
        <v>0</v>
      </c>
      <c r="K174">
        <f>VLOOKUP(A1,Data!$A$1:$DZU$1000000,2953,FALSE)</f>
        <v>0</v>
      </c>
      <c r="L174">
        <f>VLOOKUP(A1,Data!$A$1:$DZU$1000000,2954,FALSE)</f>
        <v>0</v>
      </c>
      <c r="M174">
        <f>VLOOKUP(A1,Data!$A$1:$DZU$1000000,2955,FALSE)</f>
        <v>0</v>
      </c>
      <c r="N174">
        <f>VLOOKUP(A1,Data!$A$1:$DZU$1000000,2956,FALSE)</f>
        <v>0</v>
      </c>
      <c r="O174">
        <f>VLOOKUP(A1,Data!$A$1:$DZU$1000000,2957,FALSE)</f>
        <v>0</v>
      </c>
      <c r="P174">
        <f>VLOOKUP(A1,Data!$A$1:$DZU$1000000,2958,FALSE)</f>
        <v>0</v>
      </c>
      <c r="Q174">
        <f>VLOOKUP(A1,Data!$A$1:$DZU$1000000,2959,FALSE)</f>
        <v>0</v>
      </c>
    </row>
    <row r="175" spans="1:17" ht="15" customHeight="1" x14ac:dyDescent="0.35">
      <c r="A175">
        <f>VLOOKUP(A1,Data!$A$1:$DZU$1000000,2960,FALSE)</f>
        <v>0</v>
      </c>
      <c r="B175">
        <f>VLOOKUP(A1,Data!$A$1:$DZU$1000000,2961,FALSE)</f>
        <v>0</v>
      </c>
      <c r="C175">
        <f>VLOOKUP(A1,Data!$A$1:$DZU$1000000,2962,FALSE)</f>
        <v>0</v>
      </c>
      <c r="D175">
        <f>VLOOKUP(A1,Data!$A$1:$DZU$1000000,2963,FALSE)</f>
        <v>0</v>
      </c>
      <c r="E175">
        <f>VLOOKUP(A1,Data!$A$1:$DZU$1000000,2964,FALSE)</f>
        <v>0</v>
      </c>
      <c r="F175">
        <f>VLOOKUP(A1,Data!$A$1:$DZU$1000000,2965,FALSE)</f>
        <v>0</v>
      </c>
      <c r="G175">
        <f>VLOOKUP(A1,Data!$A$1:$DZU$1000000,2966,FALSE)</f>
        <v>0</v>
      </c>
      <c r="H175">
        <f>VLOOKUP(A1,Data!$A$1:$DZU$1000000,2967,FALSE)</f>
        <v>0</v>
      </c>
      <c r="I175">
        <f>VLOOKUP(A1,Data!$A$1:$DZU$1000000,2968,FALSE)</f>
        <v>0</v>
      </c>
      <c r="J175">
        <f>VLOOKUP(A1,Data!$A$1:$DZU$1000000,2969,FALSE)</f>
        <v>0</v>
      </c>
      <c r="K175">
        <f>VLOOKUP(A1,Data!$A$1:$DZU$1000000,2970,FALSE)</f>
        <v>0</v>
      </c>
      <c r="L175">
        <f>VLOOKUP(A1,Data!$A$1:$DZU$1000000,2971,FALSE)</f>
        <v>0</v>
      </c>
      <c r="M175">
        <f>VLOOKUP(A1,Data!$A$1:$DZU$1000000,2972,FALSE)</f>
        <v>0</v>
      </c>
      <c r="N175">
        <f>VLOOKUP(A1,Data!$A$1:$DZU$1000000,2973,FALSE)</f>
        <v>0</v>
      </c>
      <c r="O175">
        <f>VLOOKUP(A1,Data!$A$1:$DZU$1000000,2974,FALSE)</f>
        <v>0</v>
      </c>
      <c r="P175">
        <f>VLOOKUP(A1,Data!$A$1:$DZU$1000000,2975,FALSE)</f>
        <v>0</v>
      </c>
      <c r="Q175">
        <f>VLOOKUP(A1,Data!$A$1:$DZU$1000000,2976,FALSE)</f>
        <v>0</v>
      </c>
    </row>
    <row r="176" spans="1:17" ht="15" customHeight="1" x14ac:dyDescent="0.35">
      <c r="A176">
        <f>VLOOKUP(A1,Data!$A$1:$DZU$1000000,2977,FALSE)</f>
        <v>0</v>
      </c>
      <c r="B176">
        <f>VLOOKUP(A1,Data!$A$1:$DZU$1000000,2978,FALSE)</f>
        <v>0</v>
      </c>
      <c r="C176">
        <f>VLOOKUP(A1,Data!$A$1:$DZU$1000000,2979,FALSE)</f>
        <v>0</v>
      </c>
      <c r="D176">
        <f>VLOOKUP(A1,Data!$A$1:$DZU$1000000,2980,FALSE)</f>
        <v>0</v>
      </c>
      <c r="E176">
        <f>VLOOKUP(A1,Data!$A$1:$DZU$1000000,2981,FALSE)</f>
        <v>0</v>
      </c>
      <c r="F176">
        <f>VLOOKUP(A1,Data!$A$1:$DZU$1000000,2982,FALSE)</f>
        <v>0</v>
      </c>
      <c r="G176">
        <f>VLOOKUP(A1,Data!$A$1:$DZU$1000000,2983,FALSE)</f>
        <v>0</v>
      </c>
      <c r="H176">
        <f>VLOOKUP(A1,Data!$A$1:$DZU$1000000,2984,FALSE)</f>
        <v>0</v>
      </c>
      <c r="I176">
        <f>VLOOKUP(A1,Data!$A$1:$DZU$1000000,2985,FALSE)</f>
        <v>0</v>
      </c>
      <c r="J176">
        <f>VLOOKUP(A1,Data!$A$1:$DZU$1000000,2986,FALSE)</f>
        <v>0</v>
      </c>
      <c r="K176">
        <f>VLOOKUP(A1,Data!$A$1:$DZU$1000000,2987,FALSE)</f>
        <v>0</v>
      </c>
      <c r="L176">
        <f>VLOOKUP(A1,Data!$A$1:$DZU$1000000,2988,FALSE)</f>
        <v>0</v>
      </c>
      <c r="M176">
        <f>VLOOKUP(A1,Data!$A$1:$DZU$1000000,2989,FALSE)</f>
        <v>0</v>
      </c>
      <c r="N176">
        <f>VLOOKUP(A1,Data!$A$1:$DZU$1000000,2990,FALSE)</f>
        <v>0</v>
      </c>
      <c r="O176">
        <f>VLOOKUP(A1,Data!$A$1:$DZU$1000000,2991,FALSE)</f>
        <v>0</v>
      </c>
      <c r="P176">
        <f>VLOOKUP(A1,Data!$A$1:$DZU$1000000,2992,FALSE)</f>
        <v>0</v>
      </c>
      <c r="Q176">
        <f>VLOOKUP(A1,Data!$A$1:$DZU$1000000,2993,FALSE)</f>
        <v>0</v>
      </c>
    </row>
    <row r="177" spans="1:17" ht="15" customHeight="1" x14ac:dyDescent="0.35">
      <c r="A177">
        <f>VLOOKUP(A1,Data!$A$1:$DZU$1000000,2994,FALSE)</f>
        <v>0</v>
      </c>
      <c r="B177">
        <f>VLOOKUP(A1,Data!$A$1:$DZU$1000000,2995,FALSE)</f>
        <v>0</v>
      </c>
      <c r="C177">
        <f>VLOOKUP(A1,Data!$A$1:$DZU$1000000,2996,FALSE)</f>
        <v>0</v>
      </c>
      <c r="D177">
        <f>VLOOKUP(A1,Data!$A$1:$DZU$1000000,2997,FALSE)</f>
        <v>0</v>
      </c>
      <c r="E177">
        <f>VLOOKUP(A1,Data!$A$1:$DZU$1000000,2998,FALSE)</f>
        <v>0</v>
      </c>
      <c r="F177">
        <f>VLOOKUP(A1,Data!$A$1:$DZU$1000000,2999,FALSE)</f>
        <v>0</v>
      </c>
      <c r="G177">
        <f>VLOOKUP(A1,Data!$A$1:$DZU$1000000,3000,FALSE)</f>
        <v>0</v>
      </c>
      <c r="H177">
        <f>VLOOKUP(A1,Data!$A$1:$DZU$1000000,3001,FALSE)</f>
        <v>0</v>
      </c>
      <c r="I177">
        <f>VLOOKUP(A1,Data!$A$1:$DZU$1000000,3002,FALSE)</f>
        <v>0</v>
      </c>
      <c r="J177">
        <f>VLOOKUP(A1,Data!$A$1:$DZU$1000000,3003,FALSE)</f>
        <v>0</v>
      </c>
      <c r="K177">
        <f>VLOOKUP(A1,Data!$A$1:$DZU$1000000,3004,FALSE)</f>
        <v>0</v>
      </c>
      <c r="L177">
        <f>VLOOKUP(A1,Data!$A$1:$DZU$1000000,3005,FALSE)</f>
        <v>0</v>
      </c>
      <c r="M177">
        <f>VLOOKUP(A1,Data!$A$1:$DZU$1000000,3006,FALSE)</f>
        <v>0</v>
      </c>
      <c r="N177">
        <f>VLOOKUP(A1,Data!$A$1:$DZU$1000000,3007,FALSE)</f>
        <v>0</v>
      </c>
      <c r="O177">
        <f>VLOOKUP(A1,Data!$A$1:$DZU$1000000,3008,FALSE)</f>
        <v>0</v>
      </c>
      <c r="P177">
        <f>VLOOKUP(A1,Data!$A$1:$DZU$1000000,3009,FALSE)</f>
        <v>0</v>
      </c>
      <c r="Q177">
        <f>VLOOKUP(A1,Data!$A$1:$DZU$1000000,3010,FALSE)</f>
        <v>0</v>
      </c>
    </row>
    <row r="178" spans="1:17" ht="15" customHeight="1" x14ac:dyDescent="0.35">
      <c r="A178">
        <f>VLOOKUP(A1,Data!$A$1:$DZU$1000000,3011,FALSE)</f>
        <v>0</v>
      </c>
      <c r="B178">
        <f>VLOOKUP(A1,Data!$A$1:$DZU$1000000,3012,FALSE)</f>
        <v>0</v>
      </c>
      <c r="C178">
        <f>VLOOKUP(A1,Data!$A$1:$DZU$1000000,3013,FALSE)</f>
        <v>0</v>
      </c>
      <c r="D178">
        <f>VLOOKUP(A1,Data!$A$1:$DZU$1000000,3014,FALSE)</f>
        <v>0</v>
      </c>
      <c r="E178">
        <f>VLOOKUP(A1,Data!$A$1:$DZU$1000000,3015,FALSE)</f>
        <v>0</v>
      </c>
      <c r="F178">
        <f>VLOOKUP(A1,Data!$A$1:$DZU$1000000,3016,FALSE)</f>
        <v>0</v>
      </c>
      <c r="G178">
        <f>VLOOKUP(A1,Data!$A$1:$DZU$1000000,3017,FALSE)</f>
        <v>0</v>
      </c>
      <c r="H178">
        <f>VLOOKUP(A1,Data!$A$1:$DZU$1000000,3018,FALSE)</f>
        <v>0</v>
      </c>
      <c r="I178">
        <f>VLOOKUP(A1,Data!$A$1:$DZU$1000000,3019,FALSE)</f>
        <v>0</v>
      </c>
      <c r="J178">
        <f>VLOOKUP(A1,Data!$A$1:$DZU$1000000,3020,FALSE)</f>
        <v>0</v>
      </c>
      <c r="K178">
        <f>VLOOKUP(A1,Data!$A$1:$DZU$1000000,3021,FALSE)</f>
        <v>0</v>
      </c>
      <c r="L178">
        <f>VLOOKUP(A1,Data!$A$1:$DZU$1000000,3022,FALSE)</f>
        <v>0</v>
      </c>
      <c r="M178">
        <f>VLOOKUP(A1,Data!$A$1:$DZU$1000000,3023,FALSE)</f>
        <v>0</v>
      </c>
      <c r="N178">
        <f>VLOOKUP(A1,Data!$A$1:$DZU$1000000,3024,FALSE)</f>
        <v>0</v>
      </c>
      <c r="O178">
        <f>VLOOKUP(A1,Data!$A$1:$DZU$1000000,3025,FALSE)</f>
        <v>0</v>
      </c>
      <c r="P178">
        <f>VLOOKUP(A1,Data!$A$1:$DZU$1000000,3026,FALSE)</f>
        <v>0</v>
      </c>
      <c r="Q178">
        <f>VLOOKUP(A1,Data!$A$1:$DZU$1000000,3027,FALSE)</f>
        <v>0</v>
      </c>
    </row>
    <row r="179" spans="1:17" ht="15" customHeight="1" x14ac:dyDescent="0.35">
      <c r="A179">
        <f>VLOOKUP(A1,Data!$A$1:$DZU$1000000,3028,FALSE)</f>
        <v>0</v>
      </c>
      <c r="B179">
        <f>VLOOKUP(A1,Data!$A$1:$DZU$1000000,3029,FALSE)</f>
        <v>0</v>
      </c>
      <c r="C179">
        <f>VLOOKUP(A1,Data!$A$1:$DZU$1000000,3030,FALSE)</f>
        <v>0</v>
      </c>
      <c r="D179">
        <f>VLOOKUP(A1,Data!$A$1:$DZU$1000000,3031,FALSE)</f>
        <v>0</v>
      </c>
      <c r="E179">
        <f>VLOOKUP(A1,Data!$A$1:$DZU$1000000,3032,FALSE)</f>
        <v>0</v>
      </c>
      <c r="F179">
        <f>VLOOKUP(A1,Data!$A$1:$DZU$1000000,3033,FALSE)</f>
        <v>0</v>
      </c>
      <c r="G179">
        <f>VLOOKUP(A1,Data!$A$1:$DZU$1000000,3034,FALSE)</f>
        <v>0</v>
      </c>
      <c r="H179">
        <f>VLOOKUP(A1,Data!$A$1:$DZU$1000000,3035,FALSE)</f>
        <v>0</v>
      </c>
      <c r="I179">
        <f>VLOOKUP(A1,Data!$A$1:$DZU$1000000,3036,FALSE)</f>
        <v>0</v>
      </c>
      <c r="J179">
        <f>VLOOKUP(A1,Data!$A$1:$DZU$1000000,3037,FALSE)</f>
        <v>0</v>
      </c>
      <c r="K179">
        <f>VLOOKUP(A1,Data!$A$1:$DZU$1000000,3038,FALSE)</f>
        <v>0</v>
      </c>
      <c r="L179">
        <f>VLOOKUP(A1,Data!$A$1:$DZU$1000000,3039,FALSE)</f>
        <v>0</v>
      </c>
      <c r="M179">
        <f>VLOOKUP(A1,Data!$A$1:$DZU$1000000,3040,FALSE)</f>
        <v>0</v>
      </c>
      <c r="N179">
        <f>VLOOKUP(A1,Data!$A$1:$DZU$1000000,3041,FALSE)</f>
        <v>0</v>
      </c>
      <c r="O179">
        <f>VLOOKUP(A1,Data!$A$1:$DZU$1000000,3042,FALSE)</f>
        <v>0</v>
      </c>
      <c r="P179">
        <f>VLOOKUP(A1,Data!$A$1:$DZU$1000000,3043,FALSE)</f>
        <v>0</v>
      </c>
      <c r="Q179">
        <f>VLOOKUP(A1,Data!$A$1:$DZU$1000000,3044,FALSE)</f>
        <v>0</v>
      </c>
    </row>
    <row r="180" spans="1:17" ht="15" customHeight="1" x14ac:dyDescent="0.35">
      <c r="A180">
        <f>VLOOKUP(A1,Data!$A$1:$DZU$1000000,3045,FALSE)</f>
        <v>0</v>
      </c>
      <c r="B180">
        <f>VLOOKUP(A1,Data!$A$1:$DZU$1000000,3046,FALSE)</f>
        <v>0</v>
      </c>
      <c r="C180">
        <f>VLOOKUP(A1,Data!$A$1:$DZU$1000000,3047,FALSE)</f>
        <v>0</v>
      </c>
      <c r="D180">
        <f>VLOOKUP(A1,Data!$A$1:$DZU$1000000,3048,FALSE)</f>
        <v>0</v>
      </c>
      <c r="E180">
        <f>VLOOKUP(A1,Data!$A$1:$DZU$1000000,3049,FALSE)</f>
        <v>0</v>
      </c>
      <c r="F180">
        <f>VLOOKUP(A1,Data!$A$1:$DZU$1000000,3050,FALSE)</f>
        <v>0</v>
      </c>
      <c r="G180">
        <f>VLOOKUP(A1,Data!$A$1:$DZU$1000000,3051,FALSE)</f>
        <v>0</v>
      </c>
      <c r="H180">
        <f>VLOOKUP(A1,Data!$A$1:$DZU$1000000,3052,FALSE)</f>
        <v>0</v>
      </c>
      <c r="I180">
        <f>VLOOKUP(A1,Data!$A$1:$DZU$1000000,3053,FALSE)</f>
        <v>0</v>
      </c>
      <c r="J180">
        <f>VLOOKUP(A1,Data!$A$1:$DZU$1000000,3054,FALSE)</f>
        <v>0</v>
      </c>
      <c r="K180">
        <f>VLOOKUP(A1,Data!$A$1:$DZU$1000000,3055,FALSE)</f>
        <v>0</v>
      </c>
      <c r="L180">
        <f>VLOOKUP(A1,Data!$A$1:$DZU$1000000,3056,FALSE)</f>
        <v>0</v>
      </c>
      <c r="M180">
        <f>VLOOKUP(A1,Data!$A$1:$DZU$1000000,3057,FALSE)</f>
        <v>0</v>
      </c>
      <c r="N180">
        <f>VLOOKUP(A1,Data!$A$1:$DZU$1000000,3058,FALSE)</f>
        <v>0</v>
      </c>
      <c r="O180">
        <f>VLOOKUP(A1,Data!$A$1:$DZU$1000000,3059,FALSE)</f>
        <v>0</v>
      </c>
      <c r="P180">
        <f>VLOOKUP(A1,Data!$A$1:$DZU$1000000,3060,FALSE)</f>
        <v>0</v>
      </c>
      <c r="Q180">
        <f>VLOOKUP(A1,Data!$A$1:$DZU$1000000,3061,FALSE)</f>
        <v>0</v>
      </c>
    </row>
    <row r="181" spans="1:17" ht="15" customHeight="1" x14ac:dyDescent="0.35">
      <c r="A181">
        <f>VLOOKUP(A1,Data!$A$1:$DZU$1000000,3062,FALSE)</f>
        <v>0</v>
      </c>
      <c r="B181">
        <f>VLOOKUP(A1,Data!$A$1:$DZU$1000000,3063,FALSE)</f>
        <v>0</v>
      </c>
      <c r="C181">
        <f>VLOOKUP(A1,Data!$A$1:$DZU$1000000,3064,FALSE)</f>
        <v>0</v>
      </c>
      <c r="D181">
        <f>VLOOKUP(A1,Data!$A$1:$DZU$1000000,3065,FALSE)</f>
        <v>0</v>
      </c>
      <c r="E181">
        <f>VLOOKUP(A1,Data!$A$1:$DZU$1000000,3066,FALSE)</f>
        <v>0</v>
      </c>
      <c r="F181">
        <f>VLOOKUP(A1,Data!$A$1:$DZU$1000000,3067,FALSE)</f>
        <v>0</v>
      </c>
      <c r="G181">
        <f>VLOOKUP(A1,Data!$A$1:$DZU$1000000,3068,FALSE)</f>
        <v>0</v>
      </c>
      <c r="H181">
        <f>VLOOKUP(A1,Data!$A$1:$DZU$1000000,3069,FALSE)</f>
        <v>0</v>
      </c>
      <c r="I181">
        <f>VLOOKUP(A1,Data!$A$1:$DZU$1000000,3070,FALSE)</f>
        <v>0</v>
      </c>
      <c r="J181">
        <f>VLOOKUP(A1,Data!$A$1:$DZU$1000000,3071,FALSE)</f>
        <v>0</v>
      </c>
      <c r="K181">
        <f>VLOOKUP(A1,Data!$A$1:$DZU$1000000,3072,FALSE)</f>
        <v>0</v>
      </c>
      <c r="L181">
        <f>VLOOKUP(A1,Data!$A$1:$DZU$1000000,3073,FALSE)</f>
        <v>0</v>
      </c>
      <c r="M181">
        <f>VLOOKUP(A1,Data!$A$1:$DZU$1000000,3074,FALSE)</f>
        <v>0</v>
      </c>
      <c r="N181">
        <f>VLOOKUP(A1,Data!$A$1:$DZU$1000000,3075,FALSE)</f>
        <v>0</v>
      </c>
      <c r="O181">
        <f>VLOOKUP(A1,Data!$A$1:$DZU$1000000,3076,FALSE)</f>
        <v>0</v>
      </c>
      <c r="P181">
        <f>VLOOKUP(A1,Data!$A$1:$DZU$1000000,3077,FALSE)</f>
        <v>0</v>
      </c>
      <c r="Q181">
        <f>VLOOKUP(A1,Data!$A$1:$DZU$1000000,3078,FALSE)</f>
        <v>0</v>
      </c>
    </row>
    <row r="182" spans="1:17" ht="15" customHeight="1" x14ac:dyDescent="0.35">
      <c r="A182">
        <f>VLOOKUP(A1,Data!$A$1:$DZU$1000000,3079,FALSE)</f>
        <v>0</v>
      </c>
      <c r="B182">
        <f>VLOOKUP(A1,Data!$A$1:$DZU$1000000,3080,FALSE)</f>
        <v>0</v>
      </c>
      <c r="C182">
        <f>VLOOKUP(A1,Data!$A$1:$DZU$1000000,3081,FALSE)</f>
        <v>0</v>
      </c>
      <c r="D182">
        <f>VLOOKUP(A1,Data!$A$1:$DZU$1000000,3082,FALSE)</f>
        <v>0</v>
      </c>
      <c r="E182">
        <f>VLOOKUP(A1,Data!$A$1:$DZU$1000000,3083,FALSE)</f>
        <v>0</v>
      </c>
      <c r="F182">
        <f>VLOOKUP(A1,Data!$A$1:$DZU$1000000,3084,FALSE)</f>
        <v>0</v>
      </c>
      <c r="G182">
        <f>VLOOKUP(A1,Data!$A$1:$DZU$1000000,3085,FALSE)</f>
        <v>0</v>
      </c>
      <c r="H182">
        <f>VLOOKUP(A1,Data!$A$1:$DZU$1000000,3086,FALSE)</f>
        <v>0</v>
      </c>
      <c r="I182">
        <f>VLOOKUP(A1,Data!$A$1:$DZU$1000000,3087,FALSE)</f>
        <v>0</v>
      </c>
      <c r="J182">
        <f>VLOOKUP(A1,Data!$A$1:$DZU$1000000,3088,FALSE)</f>
        <v>0</v>
      </c>
      <c r="K182">
        <f>VLOOKUP(A1,Data!$A$1:$DZU$1000000,3089,FALSE)</f>
        <v>0</v>
      </c>
      <c r="L182">
        <f>VLOOKUP(A1,Data!$A$1:$DZU$1000000,3090,FALSE)</f>
        <v>0</v>
      </c>
      <c r="M182">
        <f>VLOOKUP(A1,Data!$A$1:$DZU$1000000,3091,FALSE)</f>
        <v>0</v>
      </c>
      <c r="N182">
        <f>VLOOKUP(A1,Data!$A$1:$DZU$1000000,3092,FALSE)</f>
        <v>0</v>
      </c>
      <c r="O182">
        <f>VLOOKUP(A1,Data!$A$1:$DZU$1000000,3093,FALSE)</f>
        <v>0</v>
      </c>
      <c r="P182">
        <f>VLOOKUP(A1,Data!$A$1:$DZU$1000000,3094,FALSE)</f>
        <v>0</v>
      </c>
      <c r="Q182">
        <f>VLOOKUP(A1,Data!$A$1:$DZU$1000000,3095,FALSE)</f>
        <v>0</v>
      </c>
    </row>
    <row r="183" spans="1:17" ht="15" customHeight="1" x14ac:dyDescent="0.35">
      <c r="A183">
        <f>VLOOKUP(A1,Data!$A$1:$DZU$1000000,3096,FALSE)</f>
        <v>0</v>
      </c>
      <c r="B183">
        <f>VLOOKUP(A1,Data!$A$1:$DZU$1000000,3097,FALSE)</f>
        <v>0</v>
      </c>
      <c r="C183">
        <f>VLOOKUP(A1,Data!$A$1:$DZU$1000000,3098,FALSE)</f>
        <v>0</v>
      </c>
      <c r="D183">
        <f>VLOOKUP(A1,Data!$A$1:$DZU$1000000,3099,FALSE)</f>
        <v>0</v>
      </c>
      <c r="E183">
        <f>VLOOKUP(A1,Data!$A$1:$DZU$1000000,3100,FALSE)</f>
        <v>0</v>
      </c>
      <c r="F183">
        <f>VLOOKUP(A1,Data!$A$1:$DZU$1000000,3101,FALSE)</f>
        <v>0</v>
      </c>
      <c r="G183">
        <f>VLOOKUP(A1,Data!$A$1:$DZU$1000000,3102,FALSE)</f>
        <v>0</v>
      </c>
      <c r="H183">
        <f>VLOOKUP(A1,Data!$A$1:$DZU$1000000,3103,FALSE)</f>
        <v>0</v>
      </c>
      <c r="I183">
        <f>VLOOKUP(A1,Data!$A$1:$DZU$1000000,3104,FALSE)</f>
        <v>0</v>
      </c>
      <c r="J183">
        <f>VLOOKUP(A1,Data!$A$1:$DZU$1000000,3105,FALSE)</f>
        <v>0</v>
      </c>
      <c r="K183">
        <f>VLOOKUP(A1,Data!$A$1:$DZU$1000000,3106,FALSE)</f>
        <v>0</v>
      </c>
      <c r="L183">
        <f>VLOOKUP(A1,Data!$A$1:$DZU$1000000,3107,FALSE)</f>
        <v>0</v>
      </c>
      <c r="M183">
        <f>VLOOKUP(A1,Data!$A$1:$DZU$1000000,3108,FALSE)</f>
        <v>0</v>
      </c>
      <c r="N183">
        <f>VLOOKUP(A1,Data!$A$1:$DZU$1000000,3109,FALSE)</f>
        <v>0</v>
      </c>
      <c r="O183">
        <f>VLOOKUP(A1,Data!$A$1:$DZU$1000000,3110,FALSE)</f>
        <v>0</v>
      </c>
      <c r="P183">
        <f>VLOOKUP(A1,Data!$A$1:$DZU$1000000,3111,FALSE)</f>
        <v>0</v>
      </c>
      <c r="Q183">
        <f>VLOOKUP(A1,Data!$A$1:$DZU$1000000,3112,FALSE)</f>
        <v>0</v>
      </c>
    </row>
    <row r="184" spans="1:17" ht="15" customHeight="1" x14ac:dyDescent="0.35">
      <c r="A184">
        <f>VLOOKUP(A1,Data!$A$1:$DZU$1000000,3113,FALSE)</f>
        <v>0</v>
      </c>
      <c r="B184">
        <f>VLOOKUP(A1,Data!$A$1:$DZU$1000000,3114,FALSE)</f>
        <v>0</v>
      </c>
      <c r="C184">
        <f>VLOOKUP(A1,Data!$A$1:$DZU$1000000,3115,FALSE)</f>
        <v>0</v>
      </c>
      <c r="D184">
        <f>VLOOKUP(A1,Data!$A$1:$DZU$1000000,3116,FALSE)</f>
        <v>0</v>
      </c>
      <c r="E184">
        <f>VLOOKUP(A1,Data!$A$1:$DZU$1000000,3117,FALSE)</f>
        <v>0</v>
      </c>
      <c r="F184">
        <f>VLOOKUP(A1,Data!$A$1:$DZU$1000000,3118,FALSE)</f>
        <v>0</v>
      </c>
      <c r="G184">
        <f>VLOOKUP(A1,Data!$A$1:$DZU$1000000,3119,FALSE)</f>
        <v>0</v>
      </c>
      <c r="H184">
        <f>VLOOKUP(A1,Data!$A$1:$DZU$1000000,3120,FALSE)</f>
        <v>0</v>
      </c>
      <c r="I184">
        <f>VLOOKUP(A1,Data!$A$1:$DZU$1000000,3121,FALSE)</f>
        <v>0</v>
      </c>
      <c r="J184">
        <f>VLOOKUP(A1,Data!$A$1:$DZU$1000000,3122,FALSE)</f>
        <v>0</v>
      </c>
      <c r="K184">
        <f>VLOOKUP(A1,Data!$A$1:$DZU$1000000,3123,FALSE)</f>
        <v>0</v>
      </c>
      <c r="L184">
        <f>VLOOKUP(A1,Data!$A$1:$DZU$1000000,3124,FALSE)</f>
        <v>0</v>
      </c>
      <c r="M184">
        <f>VLOOKUP(A1,Data!$A$1:$DZU$1000000,3125,FALSE)</f>
        <v>0</v>
      </c>
      <c r="N184">
        <f>VLOOKUP(A1,Data!$A$1:$DZU$1000000,3126,FALSE)</f>
        <v>0</v>
      </c>
      <c r="O184">
        <f>VLOOKUP(A1,Data!$A$1:$DZU$1000000,3127,FALSE)</f>
        <v>0</v>
      </c>
      <c r="P184">
        <f>VLOOKUP(A1,Data!$A$1:$DZU$1000000,3128,FALSE)</f>
        <v>0</v>
      </c>
      <c r="Q184">
        <f>VLOOKUP(A1,Data!$A$1:$DZU$1000000,3129,FALSE)</f>
        <v>0</v>
      </c>
    </row>
    <row r="185" spans="1:17" ht="15" customHeight="1" x14ac:dyDescent="0.35">
      <c r="A185">
        <f>VLOOKUP(A1,Data!$A$1:$DZU$1000000,3130,FALSE)</f>
        <v>0</v>
      </c>
      <c r="B185">
        <f>VLOOKUP(A1,Data!$A$1:$DZU$1000000,3131,FALSE)</f>
        <v>0</v>
      </c>
      <c r="C185">
        <f>VLOOKUP(A1,Data!$A$1:$DZU$1000000,3132,FALSE)</f>
        <v>0</v>
      </c>
      <c r="D185">
        <f>VLOOKUP(A1,Data!$A$1:$DZU$1000000,3133,FALSE)</f>
        <v>0</v>
      </c>
      <c r="E185">
        <f>VLOOKUP(A1,Data!$A$1:$DZU$1000000,3134,FALSE)</f>
        <v>0</v>
      </c>
      <c r="F185">
        <f>VLOOKUP(A1,Data!$A$1:$DZU$1000000,3135,FALSE)</f>
        <v>0</v>
      </c>
      <c r="G185">
        <f>VLOOKUP(A1,Data!$A$1:$DZU$1000000,3136,FALSE)</f>
        <v>0</v>
      </c>
      <c r="H185">
        <f>VLOOKUP(A1,Data!$A$1:$DZU$1000000,3137,FALSE)</f>
        <v>0</v>
      </c>
      <c r="I185">
        <f>VLOOKUP(A1,Data!$A$1:$DZU$1000000,3138,FALSE)</f>
        <v>0</v>
      </c>
      <c r="J185">
        <f>VLOOKUP(A1,Data!$A$1:$DZU$1000000,3139,FALSE)</f>
        <v>0</v>
      </c>
      <c r="K185">
        <f>VLOOKUP(A1,Data!$A$1:$DZU$1000000,3140,FALSE)</f>
        <v>0</v>
      </c>
      <c r="L185">
        <f>VLOOKUP(A1,Data!$A$1:$DZU$1000000,3141,FALSE)</f>
        <v>0</v>
      </c>
      <c r="M185">
        <f>VLOOKUP(A1,Data!$A$1:$DZU$1000000,3142,FALSE)</f>
        <v>0</v>
      </c>
      <c r="N185">
        <f>VLOOKUP(A1,Data!$A$1:$DZU$1000000,3143,FALSE)</f>
        <v>0</v>
      </c>
      <c r="O185">
        <f>VLOOKUP(A1,Data!$A$1:$DZU$1000000,3144,FALSE)</f>
        <v>0</v>
      </c>
      <c r="P185">
        <f>VLOOKUP(A1,Data!$A$1:$DZU$1000000,3145,FALSE)</f>
        <v>0</v>
      </c>
      <c r="Q185">
        <f>VLOOKUP(A1,Data!$A$1:$DZU$1000000,3146,FALSE)</f>
        <v>0</v>
      </c>
    </row>
    <row r="186" spans="1:17" ht="15" customHeight="1" x14ac:dyDescent="0.35">
      <c r="A186">
        <f>VLOOKUP(A1,Data!$A$1:$DZU$1000000,3147,FALSE)</f>
        <v>0</v>
      </c>
      <c r="B186">
        <f>VLOOKUP(A1,Data!$A$1:$DZU$1000000,3148,FALSE)</f>
        <v>0</v>
      </c>
      <c r="C186">
        <f>VLOOKUP(A1,Data!$A$1:$DZU$1000000,3149,FALSE)</f>
        <v>0</v>
      </c>
      <c r="D186">
        <f>VLOOKUP(A1,Data!$A$1:$DZU$1000000,3150,FALSE)</f>
        <v>0</v>
      </c>
      <c r="E186">
        <f>VLOOKUP(A1,Data!$A$1:$DZU$1000000,3151,FALSE)</f>
        <v>0</v>
      </c>
      <c r="F186">
        <f>VLOOKUP(A1,Data!$A$1:$DZU$1000000,3152,FALSE)</f>
        <v>0</v>
      </c>
      <c r="G186">
        <f>VLOOKUP(A1,Data!$A$1:$DZU$1000000,3153,FALSE)</f>
        <v>0</v>
      </c>
      <c r="H186">
        <f>VLOOKUP(A1,Data!$A$1:$DZU$1000000,3154,FALSE)</f>
        <v>0</v>
      </c>
      <c r="I186">
        <f>VLOOKUP(A1,Data!$A$1:$DZU$1000000,3155,FALSE)</f>
        <v>0</v>
      </c>
      <c r="J186">
        <f>VLOOKUP(A1,Data!$A$1:$DZU$1000000,3156,FALSE)</f>
        <v>0</v>
      </c>
      <c r="K186">
        <f>VLOOKUP(A1,Data!$A$1:$DZU$1000000,3157,FALSE)</f>
        <v>0</v>
      </c>
      <c r="L186">
        <f>VLOOKUP(A1,Data!$A$1:$DZU$1000000,3158,FALSE)</f>
        <v>0</v>
      </c>
      <c r="M186">
        <f>VLOOKUP(A1,Data!$A$1:$DZU$1000000,3159,FALSE)</f>
        <v>0</v>
      </c>
      <c r="N186">
        <f>VLOOKUP(A1,Data!$A$1:$DZU$1000000,3160,FALSE)</f>
        <v>0</v>
      </c>
      <c r="O186">
        <f>VLOOKUP(A1,Data!$A$1:$DZU$1000000,3161,FALSE)</f>
        <v>0</v>
      </c>
      <c r="P186">
        <f>VLOOKUP(A1,Data!$A$1:$DZU$1000000,3162,FALSE)</f>
        <v>0</v>
      </c>
      <c r="Q186">
        <f>VLOOKUP(A1,Data!$A$1:$DZU$1000000,3163,FALSE)</f>
        <v>0</v>
      </c>
    </row>
    <row r="187" spans="1:17" ht="15" customHeight="1" x14ac:dyDescent="0.35">
      <c r="A187">
        <f>VLOOKUP(A1,Data!$A$1:$DZU$1000000,3164,FALSE)</f>
        <v>0</v>
      </c>
      <c r="B187">
        <f>VLOOKUP(A1,Data!$A$1:$DZU$1000000,3165,FALSE)</f>
        <v>0</v>
      </c>
      <c r="C187">
        <f>VLOOKUP(A1,Data!$A$1:$DZU$1000000,3166,FALSE)</f>
        <v>0</v>
      </c>
      <c r="D187">
        <f>VLOOKUP(A1,Data!$A$1:$DZU$1000000,3167,FALSE)</f>
        <v>0</v>
      </c>
      <c r="E187">
        <f>VLOOKUP(A1,Data!$A$1:$DZU$1000000,3168,FALSE)</f>
        <v>0</v>
      </c>
      <c r="F187">
        <f>VLOOKUP(A1,Data!$A$1:$DZU$1000000,3169,FALSE)</f>
        <v>0</v>
      </c>
      <c r="G187">
        <f>VLOOKUP(A1,Data!$A$1:$DZU$1000000,3170,FALSE)</f>
        <v>0</v>
      </c>
      <c r="H187">
        <f>VLOOKUP(A1,Data!$A$1:$DZU$1000000,3171,FALSE)</f>
        <v>0</v>
      </c>
      <c r="I187">
        <f>VLOOKUP(A1,Data!$A$1:$DZU$1000000,3172,FALSE)</f>
        <v>0</v>
      </c>
      <c r="J187">
        <f>VLOOKUP(A1,Data!$A$1:$DZU$1000000,3173,FALSE)</f>
        <v>0</v>
      </c>
      <c r="K187">
        <f>VLOOKUP(A1,Data!$A$1:$DZU$1000000,3174,FALSE)</f>
        <v>0</v>
      </c>
      <c r="L187">
        <f>VLOOKUP(A1,Data!$A$1:$DZU$1000000,3175,FALSE)</f>
        <v>0</v>
      </c>
      <c r="M187">
        <f>VLOOKUP(A1,Data!$A$1:$DZU$1000000,3176,FALSE)</f>
        <v>0</v>
      </c>
      <c r="N187">
        <f>VLOOKUP(A1,Data!$A$1:$DZU$1000000,3177,FALSE)</f>
        <v>0</v>
      </c>
      <c r="O187">
        <f>VLOOKUP(A1,Data!$A$1:$DZU$1000000,3178,FALSE)</f>
        <v>0</v>
      </c>
      <c r="P187">
        <f>VLOOKUP(A1,Data!$A$1:$DZU$1000000,3179,FALSE)</f>
        <v>0</v>
      </c>
      <c r="Q187">
        <f>VLOOKUP(A1,Data!$A$1:$DZU$1000000,3180,FALSE)</f>
        <v>0</v>
      </c>
    </row>
    <row r="188" spans="1:17" ht="15" customHeight="1" x14ac:dyDescent="0.35">
      <c r="A188">
        <f>VLOOKUP(A1,Data!$A$1:$DZU$1000000,3181,FALSE)</f>
        <v>0</v>
      </c>
      <c r="B188">
        <f>VLOOKUP(A1,Data!$A$1:$DZU$1000000,3182,FALSE)</f>
        <v>0</v>
      </c>
      <c r="C188">
        <f>VLOOKUP(A1,Data!$A$1:$DZU$1000000,3183,FALSE)</f>
        <v>0</v>
      </c>
      <c r="D188">
        <f>VLOOKUP(A1,Data!$A$1:$DZU$1000000,3184,FALSE)</f>
        <v>0</v>
      </c>
      <c r="E188">
        <f>VLOOKUP(A1,Data!$A$1:$DZU$1000000,3185,FALSE)</f>
        <v>0</v>
      </c>
      <c r="F188">
        <f>VLOOKUP(A1,Data!$A$1:$DZU$1000000,3186,FALSE)</f>
        <v>0</v>
      </c>
      <c r="G188">
        <f>VLOOKUP(A1,Data!$A$1:$DZU$1000000,3187,FALSE)</f>
        <v>0</v>
      </c>
      <c r="H188">
        <f>VLOOKUP(A1,Data!$A$1:$DZU$1000000,3188,FALSE)</f>
        <v>0</v>
      </c>
      <c r="I188">
        <f>VLOOKUP(A1,Data!$A$1:$DZU$1000000,3189,FALSE)</f>
        <v>0</v>
      </c>
      <c r="J188">
        <f>VLOOKUP(A1,Data!$A$1:$DZU$1000000,3190,FALSE)</f>
        <v>0</v>
      </c>
      <c r="K188">
        <f>VLOOKUP(A1,Data!$A$1:$DZU$1000000,3191,FALSE)</f>
        <v>0</v>
      </c>
      <c r="L188">
        <f>VLOOKUP(A1,Data!$A$1:$DZU$1000000,3192,FALSE)</f>
        <v>0</v>
      </c>
      <c r="M188">
        <f>VLOOKUP(A1,Data!$A$1:$DZU$1000000,3193,FALSE)</f>
        <v>0</v>
      </c>
      <c r="N188">
        <f>VLOOKUP(A1,Data!$A$1:$DZU$1000000,3194,FALSE)</f>
        <v>0</v>
      </c>
      <c r="O188">
        <f>VLOOKUP(A1,Data!$A$1:$DZU$1000000,3195,FALSE)</f>
        <v>0</v>
      </c>
      <c r="P188">
        <f>VLOOKUP(A1,Data!$A$1:$DZU$1000000,3196,FALSE)</f>
        <v>0</v>
      </c>
      <c r="Q188">
        <f>VLOOKUP(A1,Data!$A$1:$DZU$1000000,3197,FALSE)</f>
        <v>0</v>
      </c>
    </row>
    <row r="189" spans="1:17" ht="15" customHeight="1" x14ac:dyDescent="0.35">
      <c r="A189">
        <f>VLOOKUP(A1,Data!$A$1:$DZU$1000000,3198,FALSE)</f>
        <v>0</v>
      </c>
      <c r="B189">
        <f>VLOOKUP(A1,Data!$A$1:$DZU$1000000,3199,FALSE)</f>
        <v>0</v>
      </c>
      <c r="C189">
        <f>VLOOKUP(A1,Data!$A$1:$DZU$1000000,3200,FALSE)</f>
        <v>0</v>
      </c>
      <c r="D189">
        <f>VLOOKUP(A1,Data!$A$1:$DZU$1000000,3201,FALSE)</f>
        <v>0</v>
      </c>
      <c r="E189">
        <f>VLOOKUP(A1,Data!$A$1:$DZU$1000000,3202,FALSE)</f>
        <v>0</v>
      </c>
      <c r="F189">
        <f>VLOOKUP(A1,Data!$A$1:$DZU$1000000,3203,FALSE)</f>
        <v>0</v>
      </c>
      <c r="G189">
        <f>VLOOKUP(A1,Data!$A$1:$DZU$1000000,3204,FALSE)</f>
        <v>0</v>
      </c>
      <c r="H189">
        <f>VLOOKUP(A1,Data!$A$1:$DZU$1000000,3205,FALSE)</f>
        <v>0</v>
      </c>
      <c r="I189">
        <f>VLOOKUP(A1,Data!$A$1:$DZU$1000000,3206,FALSE)</f>
        <v>0</v>
      </c>
      <c r="J189">
        <f>VLOOKUP(A1,Data!$A$1:$DZU$1000000,3207,FALSE)</f>
        <v>0</v>
      </c>
      <c r="K189">
        <f>VLOOKUP(A1,Data!$A$1:$DZU$1000000,3208,FALSE)</f>
        <v>0</v>
      </c>
      <c r="L189">
        <f>VLOOKUP(A1,Data!$A$1:$DZU$1000000,3209,FALSE)</f>
        <v>0</v>
      </c>
      <c r="M189">
        <f>VLOOKUP(A1,Data!$A$1:$DZU$1000000,3210,FALSE)</f>
        <v>0</v>
      </c>
      <c r="N189">
        <f>VLOOKUP(A1,Data!$A$1:$DZU$1000000,3211,FALSE)</f>
        <v>0</v>
      </c>
      <c r="O189">
        <f>VLOOKUP(A1,Data!$A$1:$DZU$1000000,3212,FALSE)</f>
        <v>0</v>
      </c>
      <c r="P189">
        <f>VLOOKUP(A1,Data!$A$1:$DZU$1000000,3213,FALSE)</f>
        <v>0</v>
      </c>
      <c r="Q189">
        <f>VLOOKUP(A1,Data!$A$1:$DZU$1000000,3214,FALSE)</f>
        <v>0</v>
      </c>
    </row>
    <row r="190" spans="1:17" ht="15" customHeight="1" x14ac:dyDescent="0.35">
      <c r="A190">
        <f>VLOOKUP(A1,Data!$A$1:$DZU$1000000,3215,FALSE)</f>
        <v>0</v>
      </c>
      <c r="B190">
        <f>VLOOKUP(A1,Data!$A$1:$DZU$1000000,3216,FALSE)</f>
        <v>0</v>
      </c>
      <c r="C190">
        <f>VLOOKUP(A1,Data!$A$1:$DZU$1000000,3217,FALSE)</f>
        <v>0</v>
      </c>
      <c r="D190">
        <f>VLOOKUP(A1,Data!$A$1:$DZU$1000000,3218,FALSE)</f>
        <v>0</v>
      </c>
      <c r="E190">
        <f>VLOOKUP(A1,Data!$A$1:$DZU$1000000,3219,FALSE)</f>
        <v>0</v>
      </c>
      <c r="F190">
        <f>VLOOKUP(A1,Data!$A$1:$DZU$1000000,3220,FALSE)</f>
        <v>0</v>
      </c>
      <c r="G190">
        <f>VLOOKUP(A1,Data!$A$1:$DZU$1000000,3221,FALSE)</f>
        <v>0</v>
      </c>
      <c r="H190">
        <f>VLOOKUP(A1,Data!$A$1:$DZU$1000000,3222,FALSE)</f>
        <v>0</v>
      </c>
      <c r="I190">
        <f>VLOOKUP(A1,Data!$A$1:$DZU$1000000,3223,FALSE)</f>
        <v>0</v>
      </c>
      <c r="J190">
        <f>VLOOKUP(A1,Data!$A$1:$DZU$1000000,3224,FALSE)</f>
        <v>0</v>
      </c>
      <c r="K190">
        <f>VLOOKUP(A1,Data!$A$1:$DZU$1000000,3225,FALSE)</f>
        <v>0</v>
      </c>
      <c r="L190">
        <f>VLOOKUP(A1,Data!$A$1:$DZU$1000000,3226,FALSE)</f>
        <v>0</v>
      </c>
      <c r="M190">
        <f>VLOOKUP(A1,Data!$A$1:$DZU$1000000,3227,FALSE)</f>
        <v>0</v>
      </c>
      <c r="N190">
        <f>VLOOKUP(A1,Data!$A$1:$DZU$1000000,3228,FALSE)</f>
        <v>0</v>
      </c>
      <c r="O190">
        <f>VLOOKUP(A1,Data!$A$1:$DZU$1000000,3229,FALSE)</f>
        <v>0</v>
      </c>
      <c r="P190">
        <f>VLOOKUP(A1,Data!$A$1:$DZU$1000000,3230,FALSE)</f>
        <v>0</v>
      </c>
      <c r="Q190">
        <f>VLOOKUP(A1,Data!$A$1:$DZU$1000000,3231,FALSE)</f>
        <v>0</v>
      </c>
    </row>
    <row r="191" spans="1:17" ht="15" customHeight="1" x14ac:dyDescent="0.35">
      <c r="A191">
        <f>VLOOKUP(A1,Data!$A$1:$DZU$1000000,3232,FALSE)</f>
        <v>0</v>
      </c>
      <c r="B191">
        <f>VLOOKUP(A1,Data!$A$1:$DZU$1000000,3233,FALSE)</f>
        <v>0</v>
      </c>
      <c r="C191">
        <f>VLOOKUP(A1,Data!$A$1:$DZU$1000000,3234,FALSE)</f>
        <v>0</v>
      </c>
      <c r="D191">
        <f>VLOOKUP(A1,Data!$A$1:$DZU$1000000,3235,FALSE)</f>
        <v>0</v>
      </c>
      <c r="E191">
        <f>VLOOKUP(A1,Data!$A$1:$DZU$1000000,3236,FALSE)</f>
        <v>0</v>
      </c>
      <c r="F191">
        <f>VLOOKUP(A1,Data!$A$1:$DZU$1000000,3237,FALSE)</f>
        <v>0</v>
      </c>
      <c r="G191">
        <f>VLOOKUP(A1,Data!$A$1:$DZU$1000000,3238,FALSE)</f>
        <v>0</v>
      </c>
      <c r="H191">
        <f>VLOOKUP(A1,Data!$A$1:$DZU$1000000,3239,FALSE)</f>
        <v>0</v>
      </c>
      <c r="I191">
        <f>VLOOKUP(A1,Data!$A$1:$DZU$1000000,3240,FALSE)</f>
        <v>0</v>
      </c>
      <c r="J191">
        <f>VLOOKUP(A1,Data!$A$1:$DZU$1000000,3241,FALSE)</f>
        <v>0</v>
      </c>
      <c r="K191">
        <f>VLOOKUP(A1,Data!$A$1:$DZU$1000000,3242,FALSE)</f>
        <v>0</v>
      </c>
      <c r="L191">
        <f>VLOOKUP(A1,Data!$A$1:$DZU$1000000,3243,FALSE)</f>
        <v>0</v>
      </c>
      <c r="M191">
        <f>VLOOKUP(A1,Data!$A$1:$DZU$1000000,3244,FALSE)</f>
        <v>0</v>
      </c>
      <c r="N191">
        <f>VLOOKUP(A1,Data!$A$1:$DZU$1000000,3245,FALSE)</f>
        <v>0</v>
      </c>
      <c r="O191">
        <f>VLOOKUP(A1,Data!$A$1:$DZU$1000000,3246,FALSE)</f>
        <v>0</v>
      </c>
      <c r="P191">
        <f>VLOOKUP(A1,Data!$A$1:$DZU$1000000,3247,FALSE)</f>
        <v>0</v>
      </c>
      <c r="Q191">
        <f>VLOOKUP(A1,Data!$A$1:$DZU$1000000,3248,FALSE)</f>
        <v>0</v>
      </c>
    </row>
    <row r="192" spans="1:17" ht="15" customHeight="1" x14ac:dyDescent="0.35">
      <c r="A192">
        <f>VLOOKUP(A1,Data!$A$1:$DZU$1000000,3249,FALSE)</f>
        <v>0</v>
      </c>
      <c r="B192">
        <f>VLOOKUP(A1,Data!$A$1:$DZU$1000000,3250,FALSE)</f>
        <v>0</v>
      </c>
      <c r="C192">
        <f>VLOOKUP(A1,Data!$A$1:$DZU$1000000,3251,FALSE)</f>
        <v>0</v>
      </c>
      <c r="D192">
        <f>VLOOKUP(A1,Data!$A$1:$DZU$1000000,3252,FALSE)</f>
        <v>0</v>
      </c>
      <c r="E192">
        <f>VLOOKUP(A1,Data!$A$1:$DZU$1000000,3253,FALSE)</f>
        <v>0</v>
      </c>
      <c r="F192">
        <f>VLOOKUP(A1,Data!$A$1:$DZU$1000000,3254,FALSE)</f>
        <v>0</v>
      </c>
      <c r="G192">
        <f>VLOOKUP(A1,Data!$A$1:$DZU$1000000,3255,FALSE)</f>
        <v>0</v>
      </c>
      <c r="H192">
        <f>VLOOKUP(A1,Data!$A$1:$DZU$1000000,3256,FALSE)</f>
        <v>0</v>
      </c>
      <c r="I192">
        <f>VLOOKUP(A1,Data!$A$1:$DZU$1000000,3257,FALSE)</f>
        <v>0</v>
      </c>
      <c r="J192">
        <f>VLOOKUP(A1,Data!$A$1:$DZU$1000000,3258,FALSE)</f>
        <v>0</v>
      </c>
      <c r="K192">
        <f>VLOOKUP(A1,Data!$A$1:$DZU$1000000,3259,FALSE)</f>
        <v>0</v>
      </c>
      <c r="L192">
        <f>VLOOKUP(A1,Data!$A$1:$DZU$1000000,3260,FALSE)</f>
        <v>0</v>
      </c>
      <c r="M192">
        <f>VLOOKUP(A1,Data!$A$1:$DZU$1000000,3261,FALSE)</f>
        <v>0</v>
      </c>
      <c r="N192">
        <f>VLOOKUP(A1,Data!$A$1:$DZU$1000000,3262,FALSE)</f>
        <v>0</v>
      </c>
      <c r="O192">
        <f>VLOOKUP(A1,Data!$A$1:$DZU$1000000,3263,FALSE)</f>
        <v>0</v>
      </c>
      <c r="P192">
        <f>VLOOKUP(A1,Data!$A$1:$DZU$1000000,3264,FALSE)</f>
        <v>0</v>
      </c>
      <c r="Q192">
        <f>VLOOKUP(A1,Data!$A$1:$DZU$1000000,3265,FALSE)</f>
        <v>0</v>
      </c>
    </row>
    <row r="193" spans="1:17" ht="15" customHeight="1" x14ac:dyDescent="0.35">
      <c r="A193">
        <f>VLOOKUP(A1,Data!$A$1:$DZU$1000000,3266,FALSE)</f>
        <v>0</v>
      </c>
      <c r="B193">
        <f>VLOOKUP(A1,Data!$A$1:$DZU$1000000,3267,FALSE)</f>
        <v>0</v>
      </c>
      <c r="C193">
        <f>VLOOKUP(A1,Data!$A$1:$DZU$1000000,3268,FALSE)</f>
        <v>0</v>
      </c>
      <c r="D193">
        <f>VLOOKUP(A1,Data!$A$1:$DZU$1000000,3269,FALSE)</f>
        <v>0</v>
      </c>
      <c r="E193">
        <f>VLOOKUP(A1,Data!$A$1:$DZU$1000000,3270,FALSE)</f>
        <v>0</v>
      </c>
      <c r="F193">
        <f>VLOOKUP(A1,Data!$A$1:$DZU$1000000,3271,FALSE)</f>
        <v>0</v>
      </c>
      <c r="G193">
        <f>VLOOKUP(A1,Data!$A$1:$DZU$1000000,3272,FALSE)</f>
        <v>0</v>
      </c>
      <c r="H193">
        <f>VLOOKUP(A1,Data!$A$1:$DZU$1000000,3273,FALSE)</f>
        <v>0</v>
      </c>
      <c r="I193">
        <f>VLOOKUP(A1,Data!$A$1:$DZU$1000000,3274,FALSE)</f>
        <v>0</v>
      </c>
      <c r="J193">
        <f>VLOOKUP(A1,Data!$A$1:$DZU$1000000,3275,FALSE)</f>
        <v>0</v>
      </c>
      <c r="K193">
        <f>VLOOKUP(A1,Data!$A$1:$DZU$1000000,3276,FALSE)</f>
        <v>0</v>
      </c>
      <c r="L193">
        <f>VLOOKUP(A1,Data!$A$1:$DZU$1000000,3277,FALSE)</f>
        <v>0</v>
      </c>
      <c r="M193">
        <f>VLOOKUP(A1,Data!$A$1:$DZU$1000000,3278,FALSE)</f>
        <v>0</v>
      </c>
      <c r="N193">
        <f>VLOOKUP(A1,Data!$A$1:$DZU$1000000,3279,FALSE)</f>
        <v>0</v>
      </c>
      <c r="O193">
        <f>VLOOKUP(A1,Data!$A$1:$DZU$1000000,3280,FALSE)</f>
        <v>0</v>
      </c>
      <c r="P193">
        <f>VLOOKUP(A1,Data!$A$1:$DZU$1000000,3281,FALSE)</f>
        <v>0</v>
      </c>
      <c r="Q193">
        <f>VLOOKUP(A1,Data!$A$1:$DZU$1000000,3282,FALSE)</f>
        <v>0</v>
      </c>
    </row>
    <row r="194" spans="1:17" ht="15" customHeight="1" x14ac:dyDescent="0.35">
      <c r="A194">
        <f>VLOOKUP(A1,Data!$A$1:$DZU$1000000,3283,FALSE)</f>
        <v>0</v>
      </c>
      <c r="B194">
        <f>VLOOKUP(A1,Data!$A$1:$DZU$1000000,3284,FALSE)</f>
        <v>0</v>
      </c>
      <c r="C194">
        <f>VLOOKUP(A1,Data!$A$1:$DZU$1000000,3285,FALSE)</f>
        <v>0</v>
      </c>
      <c r="D194">
        <f>VLOOKUP(A1,Data!$A$1:$DZU$1000000,3286,FALSE)</f>
        <v>0</v>
      </c>
      <c r="E194">
        <f>VLOOKUP(A1,Data!$A$1:$DZU$1000000,3287,FALSE)</f>
        <v>0</v>
      </c>
      <c r="F194">
        <f>VLOOKUP(A1,Data!$A$1:$DZU$1000000,3288,FALSE)</f>
        <v>0</v>
      </c>
      <c r="G194">
        <f>VLOOKUP(A1,Data!$A$1:$DZU$1000000,3289,FALSE)</f>
        <v>0</v>
      </c>
      <c r="H194">
        <f>VLOOKUP(A1,Data!$A$1:$DZU$1000000,3290,FALSE)</f>
        <v>0</v>
      </c>
      <c r="I194">
        <f>VLOOKUP(A1,Data!$A$1:$DZU$1000000,3291,FALSE)</f>
        <v>0</v>
      </c>
      <c r="J194">
        <f>VLOOKUP(A1,Data!$A$1:$DZU$1000000,3292,FALSE)</f>
        <v>0</v>
      </c>
      <c r="K194">
        <f>VLOOKUP(A1,Data!$A$1:$DZU$1000000,3293,FALSE)</f>
        <v>0</v>
      </c>
      <c r="L194">
        <f>VLOOKUP(A1,Data!$A$1:$DZU$1000000,3294,FALSE)</f>
        <v>0</v>
      </c>
      <c r="M194">
        <f>VLOOKUP(A1,Data!$A$1:$DZU$1000000,3295,FALSE)</f>
        <v>0</v>
      </c>
      <c r="N194">
        <f>VLOOKUP(A1,Data!$A$1:$DZU$1000000,3296,FALSE)</f>
        <v>0</v>
      </c>
      <c r="O194">
        <f>VLOOKUP(A1,Data!$A$1:$DZU$1000000,3297,FALSE)</f>
        <v>0</v>
      </c>
      <c r="P194">
        <f>VLOOKUP(A1,Data!$A$1:$DZU$1000000,3298,FALSE)</f>
        <v>0</v>
      </c>
      <c r="Q194">
        <f>VLOOKUP(A1,Data!$A$1:$DZU$1000000,3299,FALSE)</f>
        <v>0</v>
      </c>
    </row>
    <row r="195" spans="1:17" ht="15" customHeight="1" x14ac:dyDescent="0.35">
      <c r="A195">
        <f>VLOOKUP(A1,Data!$A$1:$DZU$1000000,3300,FALSE)</f>
        <v>0</v>
      </c>
      <c r="B195">
        <f>VLOOKUP(A1,Data!$A$1:$DZU$1000000,3301,FALSE)</f>
        <v>0</v>
      </c>
      <c r="C195">
        <f>VLOOKUP(A1,Data!$A$1:$DZU$1000000,3302,FALSE)</f>
        <v>0</v>
      </c>
      <c r="D195">
        <f>VLOOKUP(A1,Data!$A$1:$DZU$1000000,3303,FALSE)</f>
        <v>0</v>
      </c>
      <c r="E195">
        <f>VLOOKUP(A1,Data!$A$1:$DZU$1000000,3304,FALSE)</f>
        <v>0</v>
      </c>
      <c r="F195">
        <f>VLOOKUP(A1,Data!$A$1:$DZU$1000000,3305,FALSE)</f>
        <v>0</v>
      </c>
      <c r="G195">
        <f>VLOOKUP(A1,Data!$A$1:$DZU$1000000,3306,FALSE)</f>
        <v>0</v>
      </c>
      <c r="H195">
        <f>VLOOKUP(A1,Data!$A$1:$DZU$1000000,3307,FALSE)</f>
        <v>0</v>
      </c>
      <c r="I195">
        <f>VLOOKUP(A1,Data!$A$1:$DZU$1000000,3308,FALSE)</f>
        <v>0</v>
      </c>
      <c r="J195">
        <f>VLOOKUP(A1,Data!$A$1:$DZU$1000000,3309,FALSE)</f>
        <v>0</v>
      </c>
      <c r="K195">
        <f>VLOOKUP(A1,Data!$A$1:$DZU$1000000,3310,FALSE)</f>
        <v>0</v>
      </c>
      <c r="L195">
        <f>VLOOKUP(A1,Data!$A$1:$DZU$1000000,3311,FALSE)</f>
        <v>0</v>
      </c>
      <c r="M195">
        <f>VLOOKUP(A1,Data!$A$1:$DZU$1000000,3312,FALSE)</f>
        <v>0</v>
      </c>
      <c r="N195">
        <f>VLOOKUP(A1,Data!$A$1:$DZU$1000000,3313,FALSE)</f>
        <v>0</v>
      </c>
      <c r="O195">
        <f>VLOOKUP(A1,Data!$A$1:$DZU$1000000,3314,FALSE)</f>
        <v>0</v>
      </c>
      <c r="P195">
        <f>VLOOKUP(A1,Data!$A$1:$DZU$1000000,3315,FALSE)</f>
        <v>0</v>
      </c>
      <c r="Q195">
        <f>VLOOKUP(A1,Data!$A$1:$DZU$1000000,3316,FALSE)</f>
        <v>0</v>
      </c>
    </row>
    <row r="196" spans="1:17" ht="15" customHeight="1" x14ac:dyDescent="0.35">
      <c r="A196">
        <f>VLOOKUP(A1,Data!$A$1:$DZU$1000000,3317,FALSE)</f>
        <v>0</v>
      </c>
      <c r="B196">
        <f>VLOOKUP(A1,Data!$A$1:$DZU$1000000,3318,FALSE)</f>
        <v>0</v>
      </c>
      <c r="C196">
        <f>VLOOKUP(A1,Data!$A$1:$DZU$1000000,3319,FALSE)</f>
        <v>0</v>
      </c>
      <c r="D196">
        <f>VLOOKUP(A1,Data!$A$1:$DZU$1000000,3320,FALSE)</f>
        <v>0</v>
      </c>
      <c r="E196">
        <f>VLOOKUP(A1,Data!$A$1:$DZU$1000000,3321,FALSE)</f>
        <v>0</v>
      </c>
      <c r="F196">
        <f>VLOOKUP(A1,Data!$A$1:$DZU$1000000,3322,FALSE)</f>
        <v>0</v>
      </c>
      <c r="G196">
        <f>VLOOKUP(A1,Data!$A$1:$DZU$1000000,3323,FALSE)</f>
        <v>0</v>
      </c>
      <c r="H196">
        <f>VLOOKUP(A1,Data!$A$1:$DZU$1000000,3324,FALSE)</f>
        <v>0</v>
      </c>
      <c r="I196">
        <f>VLOOKUP(A1,Data!$A$1:$DZU$1000000,3325,FALSE)</f>
        <v>0</v>
      </c>
      <c r="J196">
        <f>VLOOKUP(A1,Data!$A$1:$DZU$1000000,3326,FALSE)</f>
        <v>0</v>
      </c>
      <c r="K196">
        <f>VLOOKUP(A1,Data!$A$1:$DZU$1000000,3327,FALSE)</f>
        <v>0</v>
      </c>
      <c r="L196">
        <f>VLOOKUP(A1,Data!$A$1:$DZU$1000000,3328,FALSE)</f>
        <v>0</v>
      </c>
      <c r="M196">
        <f>VLOOKUP(A1,Data!$A$1:$DZU$1000000,3329,FALSE)</f>
        <v>0</v>
      </c>
      <c r="N196">
        <f>VLOOKUP(A1,Data!$A$1:$DZU$1000000,3330,FALSE)</f>
        <v>0</v>
      </c>
      <c r="O196">
        <f>VLOOKUP(A1,Data!$A$1:$DZU$1000000,3331,FALSE)</f>
        <v>0</v>
      </c>
      <c r="P196">
        <f>VLOOKUP(A1,Data!$A$1:$DZU$1000000,3332,FALSE)</f>
        <v>0</v>
      </c>
      <c r="Q196">
        <f>VLOOKUP(A1,Data!$A$1:$DZU$1000000,3333,FALSE)</f>
        <v>0</v>
      </c>
    </row>
    <row r="197" spans="1:17" ht="15" customHeight="1" x14ac:dyDescent="0.35">
      <c r="A197">
        <f>VLOOKUP(A1,Data!$A$1:$DZU$1000000,3334,FALSE)</f>
        <v>0</v>
      </c>
      <c r="B197">
        <f>VLOOKUP(A1,Data!$A$1:$DZU$1000000,3335,FALSE)</f>
        <v>0</v>
      </c>
      <c r="C197">
        <f>VLOOKUP(A1,Data!$A$1:$DZU$1000000,3336,FALSE)</f>
        <v>0</v>
      </c>
      <c r="D197">
        <f>VLOOKUP(A1,Data!$A$1:$DZU$1000000,3337,FALSE)</f>
        <v>0</v>
      </c>
      <c r="E197">
        <f>VLOOKUP(A1,Data!$A$1:$DZU$1000000,3338,FALSE)</f>
        <v>0</v>
      </c>
      <c r="F197">
        <f>VLOOKUP(A1,Data!$A$1:$DZU$1000000,3339,FALSE)</f>
        <v>0</v>
      </c>
      <c r="G197">
        <f>VLOOKUP(A1,Data!$A$1:$DZU$1000000,3340,FALSE)</f>
        <v>0</v>
      </c>
      <c r="H197">
        <f>VLOOKUP(A1,Data!$A$1:$DZU$1000000,3341,FALSE)</f>
        <v>0</v>
      </c>
      <c r="I197">
        <f>VLOOKUP(A1,Data!$A$1:$DZU$1000000,3342,FALSE)</f>
        <v>0</v>
      </c>
      <c r="J197">
        <f>VLOOKUP(A1,Data!$A$1:$DZU$1000000,3343,FALSE)</f>
        <v>0</v>
      </c>
      <c r="K197">
        <f>VLOOKUP(A1,Data!$A$1:$DZU$1000000,3344,FALSE)</f>
        <v>0</v>
      </c>
      <c r="L197">
        <f>VLOOKUP(A1,Data!$A$1:$DZU$1000000,3345,FALSE)</f>
        <v>0</v>
      </c>
      <c r="M197">
        <f>VLOOKUP(A1,Data!$A$1:$DZU$1000000,3346,FALSE)</f>
        <v>0</v>
      </c>
      <c r="N197">
        <f>VLOOKUP(A1,Data!$A$1:$DZU$1000000,3347,FALSE)</f>
        <v>0</v>
      </c>
      <c r="O197">
        <f>VLOOKUP(A1,Data!$A$1:$DZU$1000000,3348,FALSE)</f>
        <v>0</v>
      </c>
      <c r="P197">
        <f>VLOOKUP(A1,Data!$A$1:$DZU$1000000,3349,FALSE)</f>
        <v>0</v>
      </c>
      <c r="Q197">
        <f>VLOOKUP(A1,Data!$A$1:$DZU$1000000,3350,FALSE)</f>
        <v>0</v>
      </c>
    </row>
    <row r="198" spans="1:17" ht="15" customHeight="1" x14ac:dyDescent="0.35">
      <c r="A198">
        <f>VLOOKUP(A1,Data!$A$1:$DZU$1000000,3351,FALSE)</f>
        <v>0</v>
      </c>
      <c r="B198">
        <f>VLOOKUP(A1,Data!$A$1:$DZU$1000000,3352,FALSE)</f>
        <v>0</v>
      </c>
      <c r="C198">
        <f>VLOOKUP(A1,Data!$A$1:$DZU$1000000,3353,FALSE)</f>
        <v>0</v>
      </c>
      <c r="D198">
        <f>VLOOKUP(A1,Data!$A$1:$DZU$1000000,3354,FALSE)</f>
        <v>0</v>
      </c>
      <c r="E198">
        <f>VLOOKUP(A1,Data!$A$1:$DZU$1000000,3355,FALSE)</f>
        <v>0</v>
      </c>
      <c r="F198">
        <f>VLOOKUP(A1,Data!$A$1:$DZU$1000000,3356,FALSE)</f>
        <v>0</v>
      </c>
      <c r="G198">
        <f>VLOOKUP(A1,Data!$A$1:$DZU$1000000,3357,FALSE)</f>
        <v>0</v>
      </c>
      <c r="H198">
        <f>VLOOKUP(A1,Data!$A$1:$DZU$1000000,3358,FALSE)</f>
        <v>0</v>
      </c>
      <c r="I198">
        <f>VLOOKUP(A1,Data!$A$1:$DZU$1000000,3359,FALSE)</f>
        <v>0</v>
      </c>
      <c r="J198">
        <f>VLOOKUP(A1,Data!$A$1:$DZU$1000000,3360,FALSE)</f>
        <v>0</v>
      </c>
      <c r="K198">
        <f>VLOOKUP(A1,Data!$A$1:$DZU$1000000,3361,FALSE)</f>
        <v>0</v>
      </c>
      <c r="L198">
        <f>VLOOKUP(A1,Data!$A$1:$DZU$1000000,3362,FALSE)</f>
        <v>0</v>
      </c>
      <c r="M198">
        <f>VLOOKUP(A1,Data!$A$1:$DZU$1000000,3363,FALSE)</f>
        <v>0</v>
      </c>
      <c r="N198">
        <f>VLOOKUP(A1,Data!$A$1:$DZU$1000000,3364,FALSE)</f>
        <v>0</v>
      </c>
      <c r="O198">
        <f>VLOOKUP(A1,Data!$A$1:$DZU$1000000,3365,FALSE)</f>
        <v>0</v>
      </c>
      <c r="P198">
        <f>VLOOKUP(A1,Data!$A$1:$DZU$1000000,3366,FALSE)</f>
        <v>0</v>
      </c>
      <c r="Q198">
        <f>VLOOKUP(A1,Data!$A$1:$DZU$1000000,3367,FALSE)</f>
        <v>0</v>
      </c>
    </row>
    <row r="199" spans="1:17" ht="15" customHeight="1" x14ac:dyDescent="0.35">
      <c r="A199">
        <f>VLOOKUP(A1,Data!$A$1:$DZU$1000000,3368,FALSE)</f>
        <v>0</v>
      </c>
      <c r="B199">
        <f>VLOOKUP(A1,Data!$A$1:$DZU$1000000,3369,FALSE)</f>
        <v>0</v>
      </c>
      <c r="C199">
        <f>VLOOKUP(A1,Data!$A$1:$DZU$1000000,3370,FALSE)</f>
        <v>0</v>
      </c>
      <c r="D199">
        <f>VLOOKUP(A1,Data!$A$1:$DZU$1000000,3371,FALSE)</f>
        <v>0</v>
      </c>
      <c r="E199">
        <f>VLOOKUP(A1,Data!$A$1:$DZU$1000000,3372,FALSE)</f>
        <v>0</v>
      </c>
      <c r="F199">
        <f>VLOOKUP(A1,Data!$A$1:$DZU$1000000,3373,FALSE)</f>
        <v>0</v>
      </c>
      <c r="G199">
        <f>VLOOKUP(A1,Data!$A$1:$DZU$1000000,3374,FALSE)</f>
        <v>0</v>
      </c>
      <c r="H199">
        <f>VLOOKUP(A1,Data!$A$1:$DZU$1000000,3375,FALSE)</f>
        <v>0</v>
      </c>
      <c r="I199">
        <f>VLOOKUP(A1,Data!$A$1:$DZU$1000000,3376,FALSE)</f>
        <v>0</v>
      </c>
      <c r="J199">
        <f>VLOOKUP(A1,Data!$A$1:$DZU$1000000,3377,FALSE)</f>
        <v>0</v>
      </c>
      <c r="K199">
        <f>VLOOKUP(A1,Data!$A$1:$DZU$1000000,3378,FALSE)</f>
        <v>0</v>
      </c>
      <c r="L199">
        <f>VLOOKUP(A1,Data!$A$1:$DZU$1000000,3379,FALSE)</f>
        <v>0</v>
      </c>
      <c r="M199">
        <f>VLOOKUP(A1,Data!$A$1:$DZU$1000000,3380,FALSE)</f>
        <v>0</v>
      </c>
      <c r="N199">
        <f>VLOOKUP(A1,Data!$A$1:$DZU$1000000,3381,FALSE)</f>
        <v>0</v>
      </c>
      <c r="O199">
        <f>VLOOKUP(A1,Data!$A$1:$DZU$1000000,3382,FALSE)</f>
        <v>0</v>
      </c>
      <c r="P199">
        <f>VLOOKUP(A1,Data!$A$1:$DZU$1000000,3383,FALSE)</f>
        <v>0</v>
      </c>
      <c r="Q199">
        <f>VLOOKUP(A1,Data!$A$1:$DZU$1000000,3384,FALSE)</f>
        <v>0</v>
      </c>
    </row>
    <row r="200" spans="1:17" ht="15" customHeight="1" x14ac:dyDescent="0.35">
      <c r="A200">
        <f>VLOOKUP(A1,Data!$A$1:$DZU$1000000,3385,FALSE)</f>
        <v>0</v>
      </c>
      <c r="B200">
        <f>VLOOKUP(A1,Data!$A$1:$DZU$1000000,3386,FALSE)</f>
        <v>0</v>
      </c>
      <c r="C200">
        <f>VLOOKUP(A1,Data!$A$1:$DZU$1000000,3387,FALSE)</f>
        <v>0</v>
      </c>
      <c r="D200">
        <f>VLOOKUP(A1,Data!$A$1:$DZU$1000000,3388,FALSE)</f>
        <v>0</v>
      </c>
      <c r="E200">
        <f>VLOOKUP(A1,Data!$A$1:$DZU$1000000,3389,FALSE)</f>
        <v>0</v>
      </c>
      <c r="F200">
        <f>VLOOKUP(A1,Data!$A$1:$DZU$1000000,3390,FALSE)</f>
        <v>0</v>
      </c>
      <c r="G200">
        <f>VLOOKUP(A1,Data!$A$1:$DZU$1000000,3391,FALSE)</f>
        <v>0</v>
      </c>
      <c r="H200">
        <f>VLOOKUP(A1,Data!$A$1:$DZU$1000000,3392,FALSE)</f>
        <v>0</v>
      </c>
      <c r="I200">
        <f>VLOOKUP(A1,Data!$A$1:$DZU$1000000,3393,FALSE)</f>
        <v>0</v>
      </c>
      <c r="J200">
        <f>VLOOKUP(A1,Data!$A$1:$DZU$1000000,3394,FALSE)</f>
        <v>0</v>
      </c>
      <c r="K200">
        <f>VLOOKUP(A1,Data!$A$1:$DZU$1000000,3395,FALSE)</f>
        <v>0</v>
      </c>
      <c r="L200">
        <f>VLOOKUP(A1,Data!$A$1:$DZU$1000000,3396,FALSE)</f>
        <v>0</v>
      </c>
      <c r="M200">
        <f>VLOOKUP(A1,Data!$A$1:$DZU$1000000,3397,FALSE)</f>
        <v>0</v>
      </c>
      <c r="N200">
        <f>VLOOKUP(A1,Data!$A$1:$DZU$1000000,3398,FALSE)</f>
        <v>0</v>
      </c>
      <c r="O200">
        <f>VLOOKUP(A1,Data!$A$1:$DZU$1000000,3399,FALSE)</f>
        <v>0</v>
      </c>
      <c r="P200">
        <f>VLOOKUP(A1,Data!$A$1:$DZU$1000000,3400,FALSE)</f>
        <v>0</v>
      </c>
      <c r="Q200">
        <f>VLOOKUP(A1,Data!$A$1:$DZU$1000000,3401,FALSE)</f>
        <v>0</v>
      </c>
    </row>
  </sheetData>
  <mergeCells count="45">
    <mergeCell ref="A33:D33"/>
    <mergeCell ref="A34:D34"/>
    <mergeCell ref="A35:D35"/>
    <mergeCell ref="A43:C43"/>
    <mergeCell ref="A48:B48"/>
    <mergeCell ref="C48:H48"/>
    <mergeCell ref="A36:D36"/>
    <mergeCell ref="A37:D37"/>
    <mergeCell ref="A40:B40"/>
    <mergeCell ref="A42:D42"/>
    <mergeCell ref="E42:H42"/>
    <mergeCell ref="B44:D44"/>
    <mergeCell ref="F44:H44"/>
    <mergeCell ref="A28:D28"/>
    <mergeCell ref="A29:D29"/>
    <mergeCell ref="A30:D30"/>
    <mergeCell ref="A31:D31"/>
    <mergeCell ref="A32:D32"/>
    <mergeCell ref="D21:G21"/>
    <mergeCell ref="D22:G22"/>
    <mergeCell ref="D23:G23"/>
    <mergeCell ref="D24:G24"/>
    <mergeCell ref="A26:B26"/>
    <mergeCell ref="B16:C16"/>
    <mergeCell ref="G16:H16"/>
    <mergeCell ref="B18:C18"/>
    <mergeCell ref="G18:H18"/>
    <mergeCell ref="A20:H20"/>
    <mergeCell ref="A11:B11"/>
    <mergeCell ref="C11:D11"/>
    <mergeCell ref="F11:H11"/>
    <mergeCell ref="A13:H14"/>
    <mergeCell ref="B15:C15"/>
    <mergeCell ref="G15:H15"/>
    <mergeCell ref="C9:D9"/>
    <mergeCell ref="F9:H9"/>
    <mergeCell ref="A9:B9"/>
    <mergeCell ref="A10:B10"/>
    <mergeCell ref="C10:D10"/>
    <mergeCell ref="F10:H10"/>
    <mergeCell ref="B2:L2"/>
    <mergeCell ref="A3:H3"/>
    <mergeCell ref="B5:H5"/>
    <mergeCell ref="B7:E7"/>
    <mergeCell ref="F7:G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Data!$A:$A</xm:f>
          </x14:formula1>
          <xm:sqref>B2</xm:sqref>
        </x14:dataValidation>
        <x14:dataValidation type="list" allowBlank="1" showErrorMessage="1" xr:uid="{9ED760CA-B9FE-4355-92D6-0A063B89AC1A}">
          <x14:formula1>
            <xm:f>contacts!$AR$1:$AR$1000</xm:f>
          </x14:formula1>
          <xm:sqref>B7 F9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1000"/>
  <sheetViews>
    <sheetView showGridLines="0" showZeros="0" workbookViewId="0">
      <selection activeCell="A3" sqref="A3"/>
    </sheetView>
  </sheetViews>
  <sheetFormatPr defaultColWidth="14.453125" defaultRowHeight="15" customHeight="1" x14ac:dyDescent="0.35"/>
  <cols>
    <col min="1" max="1" width="27.26953125" customWidth="1"/>
    <col min="2" max="2" width="20.453125" customWidth="1"/>
    <col min="3" max="3" width="18.08984375" customWidth="1"/>
    <col min="4" max="4" width="19" customWidth="1"/>
    <col min="11" max="12" width="14.453125" hidden="1"/>
    <col min="15" max="15" width="14.453125" hidden="1"/>
  </cols>
  <sheetData>
    <row r="1" spans="1:15" x14ac:dyDescent="0.35">
      <c r="E1" s="27"/>
      <c r="F1" s="27"/>
      <c r="G1" s="27"/>
      <c r="H1" s="27"/>
      <c r="I1" s="27"/>
      <c r="J1" s="28"/>
    </row>
    <row r="2" spans="1:15" ht="24" customHeight="1" x14ac:dyDescent="0.45">
      <c r="A2" s="29" t="s">
        <v>66</v>
      </c>
      <c r="E2" s="27"/>
      <c r="F2" s="27"/>
      <c r="G2" s="27"/>
      <c r="H2" s="27"/>
      <c r="I2" s="27"/>
      <c r="J2" s="28"/>
    </row>
    <row r="3" spans="1:15" x14ac:dyDescent="0.35">
      <c r="A3" s="26" t="s">
        <v>36</v>
      </c>
      <c r="B3" s="28">
        <f ca="1">TODAY()</f>
        <v>45670</v>
      </c>
      <c r="E3" s="27"/>
      <c r="F3" s="27"/>
      <c r="G3" s="27"/>
      <c r="H3" s="27"/>
      <c r="I3" s="27"/>
      <c r="J3" s="28"/>
    </row>
    <row r="4" spans="1:15" x14ac:dyDescent="0.35">
      <c r="E4" s="27"/>
      <c r="F4" s="27"/>
      <c r="G4" s="27"/>
      <c r="H4" s="27"/>
      <c r="I4" s="27"/>
      <c r="J4" s="28"/>
    </row>
    <row r="5" spans="1:15" x14ac:dyDescent="0.35">
      <c r="E5" s="27"/>
      <c r="F5" s="27"/>
      <c r="G5" s="27"/>
      <c r="H5" s="27"/>
      <c r="I5" s="27"/>
      <c r="J5" s="28"/>
    </row>
    <row r="6" spans="1:15" x14ac:dyDescent="0.35">
      <c r="E6" s="27"/>
      <c r="F6" s="27"/>
      <c r="G6" s="27"/>
      <c r="H6" s="27"/>
      <c r="I6" s="27"/>
      <c r="J6" s="28"/>
    </row>
    <row r="7" spans="1:15" x14ac:dyDescent="0.35">
      <c r="E7" s="27"/>
      <c r="F7" s="27"/>
      <c r="G7" s="27"/>
      <c r="H7" s="27"/>
      <c r="I7" s="27"/>
      <c r="J7" s="28"/>
    </row>
    <row r="8" spans="1:15" x14ac:dyDescent="0.35">
      <c r="E8" s="27"/>
      <c r="F8" s="27"/>
      <c r="G8" s="27"/>
      <c r="H8" s="27"/>
      <c r="I8" s="27"/>
      <c r="J8" s="28"/>
    </row>
    <row r="9" spans="1:15" x14ac:dyDescent="0.35">
      <c r="A9" s="26" t="str">
        <f>Input!A1</f>
        <v>Subcontractor:</v>
      </c>
      <c r="B9" s="26" t="str">
        <f>Input!B1</f>
        <v>Subcontract Number:</v>
      </c>
      <c r="C9" s="26" t="str">
        <f>Input!C1</f>
        <v>Change Order Number:</v>
      </c>
      <c r="D9" s="26" t="str">
        <f>Input!D1</f>
        <v>Owner's Change Order No.</v>
      </c>
      <c r="E9" s="27" t="str">
        <f>Input!E1</f>
        <v>Previous Contract</v>
      </c>
      <c r="F9" s="27" t="str">
        <f>Input!F1</f>
        <v>Increase</v>
      </c>
      <c r="G9" s="27" t="str">
        <f>Input!G1</f>
        <v>Decrease</v>
      </c>
      <c r="H9" s="27" t="str">
        <f>Input!H1</f>
        <v>Net Change</v>
      </c>
      <c r="I9" s="27" t="str">
        <f>Input!I1</f>
        <v>Revised Contract</v>
      </c>
      <c r="J9" s="28" t="str">
        <f>Input!J1</f>
        <v>Date:</v>
      </c>
      <c r="K9" s="26" t="str">
        <f>Input!K1</f>
        <v>Log 11</v>
      </c>
      <c r="L9" s="26" t="str">
        <f>Input!L1</f>
        <v>Log 12</v>
      </c>
      <c r="M9" s="26" t="str">
        <f>Input!M1</f>
        <v>ACCEPTED:</v>
      </c>
      <c r="N9" s="26" t="str">
        <f>Input!N1</f>
        <v>Date:</v>
      </c>
      <c r="O9" s="26" t="str">
        <f>Input!O1</f>
        <v>Update 3</v>
      </c>
    </row>
    <row r="10" spans="1:15" x14ac:dyDescent="0.35">
      <c r="E10" s="27"/>
      <c r="F10" s="27"/>
      <c r="G10" s="27"/>
      <c r="H10" s="27"/>
      <c r="I10" s="27"/>
      <c r="J10" s="28"/>
    </row>
    <row r="11" spans="1:15" x14ac:dyDescent="0.35">
      <c r="E11" s="27"/>
      <c r="F11" s="27"/>
      <c r="G11" s="27"/>
      <c r="H11" s="27"/>
      <c r="I11" s="27"/>
      <c r="J11" s="28"/>
    </row>
    <row r="12" spans="1:15" x14ac:dyDescent="0.35">
      <c r="E12" s="27"/>
      <c r="F12" s="27"/>
      <c r="G12" s="27"/>
      <c r="H12" s="27"/>
      <c r="I12" s="27"/>
      <c r="J12" s="28"/>
    </row>
    <row r="13" spans="1:15" x14ac:dyDescent="0.35">
      <c r="E13" s="27"/>
      <c r="F13" s="27"/>
      <c r="G13" s="27"/>
      <c r="H13" s="27"/>
      <c r="I13" s="27"/>
      <c r="J13" s="28"/>
    </row>
    <row r="14" spans="1:15" x14ac:dyDescent="0.35">
      <c r="E14" s="27"/>
      <c r="F14" s="27"/>
      <c r="G14" s="27"/>
      <c r="H14" s="27"/>
      <c r="I14" s="27"/>
      <c r="J14" s="28"/>
    </row>
    <row r="15" spans="1:15" x14ac:dyDescent="0.35">
      <c r="E15" s="27"/>
      <c r="F15" s="27"/>
      <c r="G15" s="27"/>
      <c r="H15" s="27"/>
      <c r="I15" s="27"/>
      <c r="J15" s="28"/>
    </row>
    <row r="16" spans="1:15" x14ac:dyDescent="0.35">
      <c r="E16" s="27"/>
      <c r="F16" s="27"/>
      <c r="G16" s="27"/>
      <c r="H16" s="27"/>
      <c r="I16" s="27"/>
      <c r="J16" s="28"/>
    </row>
    <row r="17" spans="5:10" x14ac:dyDescent="0.35">
      <c r="E17" s="27"/>
      <c r="F17" s="27"/>
      <c r="G17" s="27"/>
      <c r="H17" s="27"/>
      <c r="I17" s="27"/>
      <c r="J17" s="28"/>
    </row>
    <row r="18" spans="5:10" x14ac:dyDescent="0.35">
      <c r="E18" s="27"/>
      <c r="F18" s="27"/>
      <c r="G18" s="27"/>
      <c r="H18" s="27"/>
      <c r="I18" s="27"/>
      <c r="J18" s="28"/>
    </row>
    <row r="19" spans="5:10" x14ac:dyDescent="0.35">
      <c r="E19" s="27"/>
      <c r="F19" s="27"/>
      <c r="G19" s="27"/>
      <c r="H19" s="27"/>
      <c r="I19" s="27"/>
      <c r="J19" s="28"/>
    </row>
    <row r="20" spans="5:10" x14ac:dyDescent="0.35">
      <c r="E20" s="27"/>
      <c r="F20" s="27"/>
      <c r="G20" s="27"/>
      <c r="H20" s="27"/>
      <c r="I20" s="27"/>
      <c r="J20" s="28"/>
    </row>
    <row r="21" spans="5:10" x14ac:dyDescent="0.35">
      <c r="E21" s="27"/>
      <c r="F21" s="27"/>
      <c r="G21" s="27"/>
      <c r="H21" s="27"/>
      <c r="I21" s="27"/>
      <c r="J21" s="28"/>
    </row>
    <row r="22" spans="5:10" x14ac:dyDescent="0.35">
      <c r="E22" s="27"/>
      <c r="F22" s="27"/>
      <c r="G22" s="27"/>
      <c r="H22" s="27"/>
      <c r="I22" s="27"/>
      <c r="J22" s="28"/>
    </row>
    <row r="23" spans="5:10" x14ac:dyDescent="0.35">
      <c r="E23" s="27"/>
      <c r="F23" s="27"/>
      <c r="G23" s="27"/>
      <c r="H23" s="27"/>
      <c r="I23" s="27"/>
      <c r="J23" s="28"/>
    </row>
    <row r="24" spans="5:10" x14ac:dyDescent="0.35">
      <c r="E24" s="27"/>
      <c r="F24" s="27"/>
      <c r="G24" s="27"/>
      <c r="H24" s="27"/>
      <c r="I24" s="27"/>
      <c r="J24" s="28"/>
    </row>
    <row r="25" spans="5:10" x14ac:dyDescent="0.35">
      <c r="E25" s="27"/>
      <c r="F25" s="27"/>
      <c r="G25" s="27"/>
      <c r="H25" s="27"/>
      <c r="I25" s="27"/>
      <c r="J25" s="28"/>
    </row>
    <row r="26" spans="5:10" x14ac:dyDescent="0.35">
      <c r="E26" s="27"/>
      <c r="F26" s="27"/>
      <c r="G26" s="27"/>
      <c r="H26" s="27"/>
      <c r="I26" s="27"/>
      <c r="J26" s="28"/>
    </row>
    <row r="27" spans="5:10" x14ac:dyDescent="0.35">
      <c r="E27" s="27"/>
      <c r="F27" s="27"/>
      <c r="G27" s="27"/>
      <c r="H27" s="27"/>
      <c r="I27" s="27"/>
      <c r="J27" s="28"/>
    </row>
    <row r="28" spans="5:10" x14ac:dyDescent="0.35">
      <c r="E28" s="27"/>
      <c r="F28" s="27"/>
      <c r="G28" s="27"/>
      <c r="H28" s="27"/>
      <c r="I28" s="27"/>
      <c r="J28" s="28"/>
    </row>
    <row r="29" spans="5:10" x14ac:dyDescent="0.35">
      <c r="E29" s="27"/>
      <c r="F29" s="27"/>
      <c r="G29" s="27"/>
      <c r="H29" s="27"/>
      <c r="I29" s="27"/>
      <c r="J29" s="28"/>
    </row>
    <row r="30" spans="5:10" x14ac:dyDescent="0.35">
      <c r="E30" s="27"/>
      <c r="F30" s="27"/>
      <c r="G30" s="27"/>
      <c r="H30" s="27"/>
      <c r="I30" s="27"/>
      <c r="J30" s="28"/>
    </row>
    <row r="31" spans="5:10" x14ac:dyDescent="0.35">
      <c r="E31" s="27"/>
      <c r="F31" s="27"/>
      <c r="G31" s="27"/>
      <c r="H31" s="27"/>
      <c r="I31" s="27"/>
      <c r="J31" s="28"/>
    </row>
    <row r="32" spans="5:10" x14ac:dyDescent="0.35">
      <c r="E32" s="27"/>
      <c r="F32" s="27"/>
      <c r="G32" s="27"/>
      <c r="H32" s="27"/>
      <c r="I32" s="27"/>
      <c r="J32" s="28"/>
    </row>
    <row r="33" spans="5:10" x14ac:dyDescent="0.35">
      <c r="E33" s="27"/>
      <c r="F33" s="27"/>
      <c r="G33" s="27"/>
      <c r="H33" s="27"/>
      <c r="I33" s="27"/>
      <c r="J33" s="28"/>
    </row>
    <row r="34" spans="5:10" x14ac:dyDescent="0.35">
      <c r="E34" s="27"/>
      <c r="F34" s="27"/>
      <c r="G34" s="27"/>
      <c r="H34" s="27"/>
      <c r="I34" s="27"/>
      <c r="J34" s="28"/>
    </row>
    <row r="35" spans="5:10" x14ac:dyDescent="0.35">
      <c r="E35" s="27"/>
      <c r="F35" s="27"/>
      <c r="G35" s="27"/>
      <c r="H35" s="27"/>
      <c r="I35" s="27"/>
      <c r="J35" s="28"/>
    </row>
    <row r="36" spans="5:10" x14ac:dyDescent="0.35">
      <c r="E36" s="27"/>
      <c r="F36" s="27"/>
      <c r="G36" s="27"/>
      <c r="H36" s="27"/>
      <c r="I36" s="27"/>
      <c r="J36" s="28"/>
    </row>
    <row r="37" spans="5:10" x14ac:dyDescent="0.35">
      <c r="E37" s="27"/>
      <c r="F37" s="27"/>
      <c r="G37" s="27"/>
      <c r="H37" s="27"/>
      <c r="I37" s="27"/>
      <c r="J37" s="28"/>
    </row>
    <row r="38" spans="5:10" x14ac:dyDescent="0.35">
      <c r="E38" s="27"/>
      <c r="F38" s="27"/>
      <c r="G38" s="27"/>
      <c r="H38" s="27"/>
      <c r="I38" s="27"/>
      <c r="J38" s="28"/>
    </row>
    <row r="39" spans="5:10" x14ac:dyDescent="0.35">
      <c r="E39" s="27"/>
      <c r="F39" s="27"/>
      <c r="G39" s="27"/>
      <c r="H39" s="27"/>
      <c r="I39" s="27"/>
      <c r="J39" s="28"/>
    </row>
    <row r="40" spans="5:10" x14ac:dyDescent="0.35">
      <c r="E40" s="27"/>
      <c r="F40" s="27"/>
      <c r="G40" s="27"/>
      <c r="H40" s="27"/>
      <c r="I40" s="27"/>
      <c r="J40" s="28"/>
    </row>
    <row r="41" spans="5:10" ht="14.5" x14ac:dyDescent="0.35">
      <c r="E41" s="27"/>
      <c r="F41" s="27"/>
      <c r="G41" s="27"/>
      <c r="H41" s="27"/>
      <c r="I41" s="27"/>
      <c r="J41" s="28"/>
    </row>
    <row r="42" spans="5:10" ht="14.5" x14ac:dyDescent="0.35">
      <c r="E42" s="27"/>
      <c r="F42" s="27"/>
      <c r="G42" s="27"/>
      <c r="H42" s="27"/>
      <c r="I42" s="27"/>
      <c r="J42" s="28"/>
    </row>
    <row r="43" spans="5:10" ht="14.5" x14ac:dyDescent="0.35">
      <c r="E43" s="27"/>
      <c r="F43" s="27"/>
      <c r="G43" s="27"/>
      <c r="H43" s="27"/>
      <c r="I43" s="27"/>
      <c r="J43" s="28"/>
    </row>
    <row r="44" spans="5:10" ht="14.5" x14ac:dyDescent="0.35">
      <c r="E44" s="27"/>
      <c r="F44" s="27"/>
      <c r="G44" s="27"/>
      <c r="H44" s="27"/>
      <c r="I44" s="27"/>
      <c r="J44" s="28"/>
    </row>
    <row r="45" spans="5:10" ht="14.5" x14ac:dyDescent="0.35">
      <c r="E45" s="27"/>
      <c r="F45" s="27"/>
      <c r="G45" s="27"/>
      <c r="H45" s="27"/>
      <c r="I45" s="27"/>
      <c r="J45" s="28"/>
    </row>
    <row r="46" spans="5:10" ht="14.5" x14ac:dyDescent="0.35">
      <c r="E46" s="27"/>
      <c r="F46" s="27"/>
      <c r="G46" s="27"/>
      <c r="H46" s="27"/>
      <c r="I46" s="27"/>
      <c r="J46" s="28"/>
    </row>
    <row r="47" spans="5:10" ht="14.5" x14ac:dyDescent="0.35">
      <c r="E47" s="27"/>
      <c r="F47" s="27"/>
      <c r="G47" s="27"/>
      <c r="H47" s="27"/>
      <c r="I47" s="27"/>
      <c r="J47" s="28"/>
    </row>
    <row r="48" spans="5:10" ht="14.5" x14ac:dyDescent="0.35">
      <c r="E48" s="27"/>
      <c r="F48" s="27"/>
      <c r="G48" s="27"/>
      <c r="H48" s="27"/>
      <c r="I48" s="27"/>
      <c r="J48" s="28"/>
    </row>
    <row r="49" spans="5:10" ht="14.5" x14ac:dyDescent="0.35">
      <c r="E49" s="27"/>
      <c r="F49" s="27"/>
      <c r="G49" s="27"/>
      <c r="H49" s="27"/>
      <c r="I49" s="27"/>
      <c r="J49" s="28"/>
    </row>
    <row r="50" spans="5:10" ht="14.5" x14ac:dyDescent="0.35">
      <c r="E50" s="27"/>
      <c r="F50" s="27"/>
      <c r="G50" s="27"/>
      <c r="H50" s="27"/>
      <c r="I50" s="27"/>
      <c r="J50" s="28"/>
    </row>
    <row r="51" spans="5:10" ht="14.5" x14ac:dyDescent="0.35">
      <c r="E51" s="27"/>
      <c r="F51" s="27"/>
      <c r="G51" s="27"/>
      <c r="H51" s="27"/>
      <c r="I51" s="27"/>
      <c r="J51" s="28"/>
    </row>
    <row r="52" spans="5:10" ht="14.5" x14ac:dyDescent="0.35">
      <c r="E52" s="27"/>
      <c r="F52" s="27"/>
      <c r="G52" s="27"/>
      <c r="H52" s="27"/>
      <c r="I52" s="27"/>
      <c r="J52" s="28"/>
    </row>
    <row r="53" spans="5:10" ht="14.5" x14ac:dyDescent="0.35">
      <c r="E53" s="27"/>
      <c r="F53" s="27"/>
      <c r="G53" s="27"/>
      <c r="H53" s="27"/>
      <c r="I53" s="27"/>
      <c r="J53" s="28"/>
    </row>
    <row r="54" spans="5:10" ht="14.5" x14ac:dyDescent="0.35">
      <c r="E54" s="27"/>
      <c r="F54" s="27"/>
      <c r="G54" s="27"/>
      <c r="H54" s="27"/>
      <c r="I54" s="27"/>
      <c r="J54" s="28"/>
    </row>
    <row r="55" spans="5:10" ht="14.5" x14ac:dyDescent="0.35">
      <c r="E55" s="27"/>
      <c r="F55" s="27"/>
      <c r="G55" s="27"/>
      <c r="H55" s="27"/>
      <c r="I55" s="27"/>
      <c r="J55" s="28"/>
    </row>
    <row r="56" spans="5:10" ht="14.5" x14ac:dyDescent="0.35">
      <c r="E56" s="27"/>
      <c r="F56" s="27"/>
      <c r="G56" s="27"/>
      <c r="H56" s="27"/>
      <c r="I56" s="27"/>
      <c r="J56" s="28"/>
    </row>
    <row r="57" spans="5:10" ht="14.5" x14ac:dyDescent="0.35">
      <c r="E57" s="27"/>
      <c r="F57" s="27"/>
      <c r="G57" s="27"/>
      <c r="H57" s="27"/>
      <c r="I57" s="27"/>
      <c r="J57" s="28"/>
    </row>
    <row r="58" spans="5:10" ht="14.5" x14ac:dyDescent="0.35">
      <c r="E58" s="27"/>
      <c r="F58" s="27"/>
      <c r="G58" s="27"/>
      <c r="H58" s="27"/>
      <c r="I58" s="27"/>
      <c r="J58" s="28"/>
    </row>
    <row r="59" spans="5:10" ht="14.5" x14ac:dyDescent="0.35">
      <c r="E59" s="27"/>
      <c r="F59" s="27"/>
      <c r="G59" s="27"/>
      <c r="H59" s="27"/>
      <c r="I59" s="27"/>
      <c r="J59" s="28"/>
    </row>
    <row r="60" spans="5:10" ht="14.5" x14ac:dyDescent="0.35">
      <c r="E60" s="27"/>
      <c r="F60" s="27"/>
      <c r="G60" s="27"/>
      <c r="H60" s="27"/>
      <c r="I60" s="27"/>
      <c r="J60" s="28"/>
    </row>
    <row r="61" spans="5:10" ht="14.5" x14ac:dyDescent="0.35">
      <c r="E61" s="27"/>
      <c r="F61" s="27"/>
      <c r="G61" s="27"/>
      <c r="H61" s="27"/>
      <c r="I61" s="27"/>
      <c r="J61" s="28"/>
    </row>
    <row r="62" spans="5:10" ht="14.5" x14ac:dyDescent="0.35">
      <c r="E62" s="27"/>
      <c r="F62" s="27"/>
      <c r="G62" s="27"/>
      <c r="H62" s="27"/>
      <c r="I62" s="27"/>
      <c r="J62" s="28"/>
    </row>
    <row r="63" spans="5:10" ht="14.5" x14ac:dyDescent="0.35">
      <c r="E63" s="27"/>
      <c r="F63" s="27"/>
      <c r="G63" s="27"/>
      <c r="H63" s="27"/>
      <c r="I63" s="27"/>
      <c r="J63" s="28"/>
    </row>
    <row r="64" spans="5:10" ht="14.5" x14ac:dyDescent="0.35">
      <c r="E64" s="27"/>
      <c r="F64" s="27"/>
      <c r="G64" s="27"/>
      <c r="H64" s="27"/>
      <c r="I64" s="27"/>
      <c r="J64" s="28"/>
    </row>
    <row r="65" spans="5:10" ht="14.5" x14ac:dyDescent="0.35">
      <c r="E65" s="27"/>
      <c r="F65" s="27"/>
      <c r="G65" s="27"/>
      <c r="H65" s="27"/>
      <c r="I65" s="27"/>
      <c r="J65" s="28"/>
    </row>
    <row r="66" spans="5:10" ht="14.5" x14ac:dyDescent="0.35">
      <c r="E66" s="27"/>
      <c r="F66" s="27"/>
      <c r="G66" s="27"/>
      <c r="H66" s="27"/>
      <c r="I66" s="27"/>
      <c r="J66" s="28"/>
    </row>
    <row r="67" spans="5:10" ht="14.5" x14ac:dyDescent="0.35">
      <c r="E67" s="27"/>
      <c r="F67" s="27"/>
      <c r="G67" s="27"/>
      <c r="H67" s="27"/>
      <c r="I67" s="27"/>
      <c r="J67" s="28"/>
    </row>
    <row r="68" spans="5:10" ht="14.5" x14ac:dyDescent="0.35">
      <c r="E68" s="27"/>
      <c r="F68" s="27"/>
      <c r="G68" s="27"/>
      <c r="H68" s="27"/>
      <c r="I68" s="27"/>
      <c r="J68" s="28"/>
    </row>
    <row r="69" spans="5:10" ht="14.5" x14ac:dyDescent="0.35">
      <c r="E69" s="27"/>
      <c r="F69" s="27"/>
      <c r="G69" s="27"/>
      <c r="H69" s="27"/>
      <c r="I69" s="27"/>
      <c r="J69" s="28"/>
    </row>
    <row r="70" spans="5:10" ht="14.5" x14ac:dyDescent="0.35">
      <c r="E70" s="27"/>
      <c r="F70" s="27"/>
      <c r="G70" s="27"/>
      <c r="H70" s="27"/>
      <c r="I70" s="27"/>
      <c r="J70" s="28"/>
    </row>
    <row r="71" spans="5:10" ht="14.5" x14ac:dyDescent="0.35">
      <c r="E71" s="27"/>
      <c r="F71" s="27"/>
      <c r="G71" s="27"/>
      <c r="H71" s="27"/>
      <c r="I71" s="27"/>
      <c r="J71" s="28"/>
    </row>
    <row r="72" spans="5:10" ht="14.5" x14ac:dyDescent="0.35">
      <c r="E72" s="27"/>
      <c r="F72" s="27"/>
      <c r="G72" s="27"/>
      <c r="H72" s="27"/>
      <c r="I72" s="27"/>
      <c r="J72" s="28"/>
    </row>
    <row r="73" spans="5:10" ht="14.5" x14ac:dyDescent="0.35">
      <c r="E73" s="27"/>
      <c r="F73" s="27"/>
      <c r="G73" s="27"/>
      <c r="H73" s="27"/>
      <c r="I73" s="27"/>
      <c r="J73" s="28"/>
    </row>
    <row r="74" spans="5:10" ht="14.5" x14ac:dyDescent="0.35">
      <c r="E74" s="27"/>
      <c r="F74" s="27"/>
      <c r="G74" s="27"/>
      <c r="H74" s="27"/>
      <c r="I74" s="27"/>
      <c r="J74" s="28"/>
    </row>
    <row r="75" spans="5:10" ht="14.5" x14ac:dyDescent="0.35">
      <c r="E75" s="27"/>
      <c r="F75" s="27"/>
      <c r="G75" s="27"/>
      <c r="H75" s="27"/>
      <c r="I75" s="27"/>
      <c r="J75" s="28"/>
    </row>
    <row r="76" spans="5:10" ht="14.5" x14ac:dyDescent="0.35">
      <c r="E76" s="27"/>
      <c r="F76" s="27"/>
      <c r="G76" s="27"/>
      <c r="H76" s="27"/>
      <c r="I76" s="27"/>
      <c r="J76" s="28"/>
    </row>
    <row r="77" spans="5:10" ht="14.5" x14ac:dyDescent="0.35">
      <c r="E77" s="27"/>
      <c r="F77" s="27"/>
      <c r="G77" s="27"/>
      <c r="H77" s="27"/>
      <c r="I77" s="27"/>
      <c r="J77" s="28"/>
    </row>
    <row r="78" spans="5:10" ht="14.5" x14ac:dyDescent="0.35">
      <c r="E78" s="27"/>
      <c r="F78" s="27"/>
      <c r="G78" s="27"/>
      <c r="H78" s="27"/>
      <c r="I78" s="27"/>
      <c r="J78" s="28"/>
    </row>
    <row r="79" spans="5:10" ht="14.5" x14ac:dyDescent="0.35">
      <c r="E79" s="27"/>
      <c r="F79" s="27"/>
      <c r="G79" s="27"/>
      <c r="H79" s="27"/>
      <c r="I79" s="27"/>
      <c r="J79" s="28"/>
    </row>
    <row r="80" spans="5:10" ht="14.5" x14ac:dyDescent="0.35">
      <c r="E80" s="27"/>
      <c r="F80" s="27"/>
      <c r="G80" s="27"/>
      <c r="H80" s="27"/>
      <c r="I80" s="27"/>
      <c r="J80" s="28"/>
    </row>
    <row r="81" spans="5:10" ht="14.5" x14ac:dyDescent="0.35">
      <c r="E81" s="27"/>
      <c r="F81" s="27"/>
      <c r="G81" s="27"/>
      <c r="H81" s="27"/>
      <c r="I81" s="27"/>
      <c r="J81" s="28"/>
    </row>
    <row r="82" spans="5:10" ht="14.5" x14ac:dyDescent="0.35">
      <c r="E82" s="27"/>
      <c r="F82" s="27"/>
      <c r="G82" s="27"/>
      <c r="H82" s="27"/>
      <c r="I82" s="27"/>
      <c r="J82" s="28"/>
    </row>
    <row r="83" spans="5:10" ht="14.5" x14ac:dyDescent="0.35">
      <c r="E83" s="27"/>
      <c r="F83" s="27"/>
      <c r="G83" s="27"/>
      <c r="H83" s="27"/>
      <c r="I83" s="27"/>
      <c r="J83" s="28"/>
    </row>
    <row r="84" spans="5:10" ht="14.5" x14ac:dyDescent="0.35">
      <c r="E84" s="27"/>
      <c r="F84" s="27"/>
      <c r="G84" s="27"/>
      <c r="H84" s="27"/>
      <c r="I84" s="27"/>
      <c r="J84" s="28"/>
    </row>
    <row r="85" spans="5:10" ht="14.5" x14ac:dyDescent="0.35">
      <c r="E85" s="27"/>
      <c r="F85" s="27"/>
      <c r="G85" s="27"/>
      <c r="H85" s="27"/>
      <c r="I85" s="27"/>
      <c r="J85" s="28"/>
    </row>
    <row r="86" spans="5:10" ht="14.5" x14ac:dyDescent="0.35">
      <c r="E86" s="27"/>
      <c r="F86" s="27"/>
      <c r="G86" s="27"/>
      <c r="H86" s="27"/>
      <c r="I86" s="27"/>
      <c r="J86" s="28"/>
    </row>
    <row r="87" spans="5:10" ht="14.5" x14ac:dyDescent="0.35">
      <c r="E87" s="27"/>
      <c r="F87" s="27"/>
      <c r="G87" s="27"/>
      <c r="H87" s="27"/>
      <c r="I87" s="27"/>
      <c r="J87" s="28"/>
    </row>
    <row r="88" spans="5:10" ht="14.5" x14ac:dyDescent="0.35">
      <c r="E88" s="27"/>
      <c r="F88" s="27"/>
      <c r="G88" s="27"/>
      <c r="H88" s="27"/>
      <c r="I88" s="27"/>
      <c r="J88" s="28"/>
    </row>
    <row r="89" spans="5:10" ht="14.5" x14ac:dyDescent="0.35">
      <c r="E89" s="27"/>
      <c r="F89" s="27"/>
      <c r="G89" s="27"/>
      <c r="H89" s="27"/>
      <c r="I89" s="27"/>
      <c r="J89" s="28"/>
    </row>
    <row r="90" spans="5:10" ht="14.5" x14ac:dyDescent="0.35">
      <c r="E90" s="27"/>
      <c r="F90" s="27"/>
      <c r="G90" s="27"/>
      <c r="H90" s="27"/>
      <c r="I90" s="27"/>
      <c r="J90" s="28"/>
    </row>
    <row r="91" spans="5:10" ht="14.5" x14ac:dyDescent="0.35">
      <c r="E91" s="27"/>
      <c r="F91" s="27"/>
      <c r="G91" s="27"/>
      <c r="H91" s="27"/>
      <c r="I91" s="27"/>
      <c r="J91" s="28"/>
    </row>
    <row r="92" spans="5:10" ht="14.5" x14ac:dyDescent="0.35">
      <c r="E92" s="27"/>
      <c r="F92" s="27"/>
      <c r="G92" s="27"/>
      <c r="H92" s="27"/>
      <c r="I92" s="27"/>
      <c r="J92" s="28"/>
    </row>
    <row r="93" spans="5:10" ht="14.5" x14ac:dyDescent="0.35">
      <c r="E93" s="27"/>
      <c r="F93" s="27"/>
      <c r="G93" s="27"/>
      <c r="H93" s="27"/>
      <c r="I93" s="27"/>
      <c r="J93" s="28"/>
    </row>
    <row r="94" spans="5:10" ht="14.5" x14ac:dyDescent="0.35">
      <c r="E94" s="27"/>
      <c r="F94" s="27"/>
      <c r="G94" s="27"/>
      <c r="H94" s="27"/>
      <c r="I94" s="27"/>
      <c r="J94" s="28"/>
    </row>
    <row r="95" spans="5:10" ht="14.5" x14ac:dyDescent="0.35">
      <c r="E95" s="27"/>
      <c r="F95" s="27"/>
      <c r="G95" s="27"/>
      <c r="H95" s="27"/>
      <c r="I95" s="27"/>
      <c r="J95" s="28"/>
    </row>
    <row r="96" spans="5:10" ht="14.5" x14ac:dyDescent="0.35">
      <c r="E96" s="27"/>
      <c r="F96" s="27"/>
      <c r="G96" s="27"/>
      <c r="H96" s="27"/>
      <c r="I96" s="27"/>
      <c r="J96" s="28"/>
    </row>
    <row r="97" spans="5:10" ht="14.5" x14ac:dyDescent="0.35">
      <c r="E97" s="27"/>
      <c r="F97" s="27"/>
      <c r="G97" s="27"/>
      <c r="H97" s="27"/>
      <c r="I97" s="27"/>
      <c r="J97" s="28"/>
    </row>
    <row r="98" spans="5:10" ht="14.5" x14ac:dyDescent="0.35">
      <c r="E98" s="27"/>
      <c r="F98" s="27"/>
      <c r="G98" s="27"/>
      <c r="H98" s="27"/>
      <c r="I98" s="27"/>
      <c r="J98" s="28"/>
    </row>
    <row r="99" spans="5:10" ht="14.5" x14ac:dyDescent="0.35">
      <c r="E99" s="27"/>
      <c r="F99" s="27"/>
      <c r="G99" s="27"/>
      <c r="H99" s="27"/>
      <c r="I99" s="27"/>
      <c r="J99" s="28"/>
    </row>
    <row r="100" spans="5:10" ht="14.5" x14ac:dyDescent="0.35">
      <c r="E100" s="27"/>
      <c r="F100" s="27"/>
      <c r="G100" s="27"/>
      <c r="H100" s="27"/>
      <c r="I100" s="27"/>
      <c r="J100" s="28"/>
    </row>
    <row r="101" spans="5:10" ht="14.5" x14ac:dyDescent="0.35">
      <c r="E101" s="27"/>
      <c r="F101" s="27"/>
      <c r="G101" s="27"/>
      <c r="H101" s="27"/>
      <c r="I101" s="27"/>
      <c r="J101" s="28"/>
    </row>
    <row r="102" spans="5:10" ht="14.5" x14ac:dyDescent="0.35">
      <c r="E102" s="27"/>
      <c r="F102" s="27"/>
      <c r="G102" s="27"/>
      <c r="H102" s="27"/>
      <c r="I102" s="27"/>
      <c r="J102" s="28"/>
    </row>
    <row r="103" spans="5:10" ht="14.5" x14ac:dyDescent="0.35">
      <c r="E103" s="27"/>
      <c r="F103" s="27"/>
      <c r="G103" s="27"/>
      <c r="H103" s="27"/>
      <c r="I103" s="27"/>
      <c r="J103" s="28"/>
    </row>
    <row r="104" spans="5:10" ht="14.5" x14ac:dyDescent="0.35">
      <c r="E104" s="27"/>
      <c r="F104" s="27"/>
      <c r="G104" s="27"/>
      <c r="H104" s="27"/>
      <c r="I104" s="27"/>
      <c r="J104" s="28"/>
    </row>
    <row r="105" spans="5:10" ht="14.5" x14ac:dyDescent="0.35">
      <c r="E105" s="27"/>
      <c r="F105" s="27"/>
      <c r="G105" s="27"/>
      <c r="H105" s="27"/>
      <c r="I105" s="27"/>
      <c r="J105" s="28"/>
    </row>
    <row r="106" spans="5:10" ht="14.5" x14ac:dyDescent="0.35">
      <c r="E106" s="27"/>
      <c r="F106" s="27"/>
      <c r="G106" s="27"/>
      <c r="H106" s="27"/>
      <c r="I106" s="27"/>
      <c r="J106" s="28"/>
    </row>
    <row r="107" spans="5:10" ht="14.5" x14ac:dyDescent="0.35">
      <c r="E107" s="27"/>
      <c r="F107" s="27"/>
      <c r="G107" s="27"/>
      <c r="H107" s="27"/>
      <c r="I107" s="27"/>
      <c r="J107" s="28"/>
    </row>
    <row r="108" spans="5:10" ht="14.5" x14ac:dyDescent="0.35">
      <c r="E108" s="27"/>
      <c r="F108" s="27"/>
      <c r="G108" s="27"/>
      <c r="H108" s="27"/>
      <c r="I108" s="27"/>
      <c r="J108" s="28"/>
    </row>
    <row r="109" spans="5:10" ht="14.5" x14ac:dyDescent="0.35">
      <c r="E109" s="27"/>
      <c r="F109" s="27"/>
      <c r="G109" s="27"/>
      <c r="H109" s="27"/>
      <c r="I109" s="27"/>
      <c r="J109" s="28"/>
    </row>
    <row r="110" spans="5:10" ht="14.5" x14ac:dyDescent="0.35">
      <c r="E110" s="27"/>
      <c r="F110" s="27"/>
      <c r="G110" s="27"/>
      <c r="H110" s="27"/>
      <c r="I110" s="27"/>
      <c r="J110" s="28"/>
    </row>
    <row r="111" spans="5:10" ht="14.5" x14ac:dyDescent="0.35">
      <c r="E111" s="27"/>
      <c r="F111" s="27"/>
      <c r="G111" s="27"/>
      <c r="H111" s="27"/>
      <c r="I111" s="27"/>
      <c r="J111" s="28"/>
    </row>
    <row r="112" spans="5:10" ht="14.5" x14ac:dyDescent="0.35">
      <c r="E112" s="27"/>
      <c r="F112" s="27"/>
      <c r="G112" s="27"/>
      <c r="H112" s="27"/>
      <c r="I112" s="27"/>
      <c r="J112" s="28"/>
    </row>
    <row r="113" spans="5:10" ht="14.5" x14ac:dyDescent="0.35">
      <c r="E113" s="27"/>
      <c r="F113" s="27"/>
      <c r="G113" s="27"/>
      <c r="H113" s="27"/>
      <c r="I113" s="27"/>
      <c r="J113" s="28"/>
    </row>
    <row r="114" spans="5:10" ht="14.5" x14ac:dyDescent="0.35">
      <c r="E114" s="27"/>
      <c r="F114" s="27"/>
      <c r="G114" s="27"/>
      <c r="H114" s="27"/>
      <c r="I114" s="27"/>
      <c r="J114" s="28"/>
    </row>
    <row r="115" spans="5:10" ht="14.5" x14ac:dyDescent="0.35">
      <c r="E115" s="27"/>
      <c r="F115" s="27"/>
      <c r="G115" s="27"/>
      <c r="H115" s="27"/>
      <c r="I115" s="27"/>
      <c r="J115" s="28"/>
    </row>
    <row r="116" spans="5:10" ht="14.5" x14ac:dyDescent="0.35">
      <c r="E116" s="27"/>
      <c r="F116" s="27"/>
      <c r="G116" s="27"/>
      <c r="H116" s="27"/>
      <c r="I116" s="27"/>
      <c r="J116" s="28"/>
    </row>
    <row r="117" spans="5:10" ht="14.5" x14ac:dyDescent="0.35">
      <c r="E117" s="27"/>
      <c r="F117" s="27"/>
      <c r="G117" s="27"/>
      <c r="H117" s="27"/>
      <c r="I117" s="27"/>
      <c r="J117" s="28"/>
    </row>
    <row r="118" spans="5:10" ht="14.5" x14ac:dyDescent="0.35">
      <c r="E118" s="27"/>
      <c r="F118" s="27"/>
      <c r="G118" s="27"/>
      <c r="H118" s="27"/>
      <c r="I118" s="27"/>
      <c r="J118" s="28"/>
    </row>
    <row r="119" spans="5:10" ht="14.5" x14ac:dyDescent="0.35">
      <c r="E119" s="27"/>
      <c r="F119" s="27"/>
      <c r="G119" s="27"/>
      <c r="H119" s="27"/>
      <c r="I119" s="27"/>
      <c r="J119" s="28"/>
    </row>
    <row r="120" spans="5:10" ht="14.5" x14ac:dyDescent="0.35">
      <c r="E120" s="27"/>
      <c r="F120" s="27"/>
      <c r="G120" s="27"/>
      <c r="H120" s="27"/>
      <c r="I120" s="27"/>
      <c r="J120" s="28"/>
    </row>
    <row r="121" spans="5:10" ht="14.5" x14ac:dyDescent="0.35">
      <c r="E121" s="27"/>
      <c r="F121" s="27"/>
      <c r="G121" s="27"/>
      <c r="H121" s="27"/>
      <c r="I121" s="27"/>
      <c r="J121" s="28"/>
    </row>
    <row r="122" spans="5:10" ht="14.5" x14ac:dyDescent="0.35">
      <c r="E122" s="27"/>
      <c r="F122" s="27"/>
      <c r="G122" s="27"/>
      <c r="H122" s="27"/>
      <c r="I122" s="27"/>
      <c r="J122" s="28"/>
    </row>
    <row r="123" spans="5:10" ht="14.5" x14ac:dyDescent="0.35">
      <c r="E123" s="27"/>
      <c r="F123" s="27"/>
      <c r="G123" s="27"/>
      <c r="H123" s="27"/>
      <c r="I123" s="27"/>
      <c r="J123" s="28"/>
    </row>
    <row r="124" spans="5:10" ht="14.5" x14ac:dyDescent="0.35">
      <c r="E124" s="27"/>
      <c r="F124" s="27"/>
      <c r="G124" s="27"/>
      <c r="H124" s="27"/>
      <c r="I124" s="27"/>
      <c r="J124" s="28"/>
    </row>
    <row r="125" spans="5:10" ht="14.5" x14ac:dyDescent="0.35">
      <c r="E125" s="27"/>
      <c r="F125" s="27"/>
      <c r="G125" s="27"/>
      <c r="H125" s="27"/>
      <c r="I125" s="27"/>
      <c r="J125" s="28"/>
    </row>
    <row r="126" spans="5:10" ht="14.5" x14ac:dyDescent="0.35">
      <c r="E126" s="27"/>
      <c r="F126" s="27"/>
      <c r="G126" s="27"/>
      <c r="H126" s="27"/>
      <c r="I126" s="27"/>
      <c r="J126" s="28"/>
    </row>
    <row r="127" spans="5:10" ht="14.5" x14ac:dyDescent="0.35">
      <c r="E127" s="27"/>
      <c r="F127" s="27"/>
      <c r="G127" s="27"/>
      <c r="H127" s="27"/>
      <c r="I127" s="27"/>
      <c r="J127" s="28"/>
    </row>
    <row r="128" spans="5:10" ht="14.5" x14ac:dyDescent="0.35">
      <c r="E128" s="27"/>
      <c r="F128" s="27"/>
      <c r="G128" s="27"/>
      <c r="H128" s="27"/>
      <c r="I128" s="27"/>
      <c r="J128" s="28"/>
    </row>
    <row r="129" spans="5:10" ht="14.5" x14ac:dyDescent="0.35">
      <c r="E129" s="27"/>
      <c r="F129" s="27"/>
      <c r="G129" s="27"/>
      <c r="H129" s="27"/>
      <c r="I129" s="27"/>
      <c r="J129" s="28"/>
    </row>
    <row r="130" spans="5:10" ht="14.5" x14ac:dyDescent="0.35">
      <c r="E130" s="27"/>
      <c r="F130" s="27"/>
      <c r="G130" s="27"/>
      <c r="H130" s="27"/>
      <c r="I130" s="27"/>
      <c r="J130" s="28"/>
    </row>
    <row r="131" spans="5:10" ht="14.5" x14ac:dyDescent="0.35">
      <c r="E131" s="27"/>
      <c r="F131" s="27"/>
      <c r="G131" s="27"/>
      <c r="H131" s="27"/>
      <c r="I131" s="27"/>
      <c r="J131" s="28"/>
    </row>
    <row r="132" spans="5:10" ht="14.5" x14ac:dyDescent="0.35">
      <c r="E132" s="27"/>
      <c r="F132" s="27"/>
      <c r="G132" s="27"/>
      <c r="H132" s="27"/>
      <c r="I132" s="27"/>
      <c r="J132" s="28"/>
    </row>
    <row r="133" spans="5:10" ht="14.5" x14ac:dyDescent="0.35">
      <c r="E133" s="27"/>
      <c r="F133" s="27"/>
      <c r="G133" s="27"/>
      <c r="H133" s="27"/>
      <c r="I133" s="27"/>
      <c r="J133" s="28"/>
    </row>
    <row r="134" spans="5:10" ht="14.5" x14ac:dyDescent="0.35">
      <c r="E134" s="27"/>
      <c r="F134" s="27"/>
      <c r="G134" s="27"/>
      <c r="H134" s="27"/>
      <c r="I134" s="27"/>
      <c r="J134" s="28"/>
    </row>
    <row r="135" spans="5:10" ht="14.5" x14ac:dyDescent="0.35">
      <c r="E135" s="27"/>
      <c r="F135" s="27"/>
      <c r="G135" s="27"/>
      <c r="H135" s="27"/>
      <c r="I135" s="27"/>
      <c r="J135" s="28"/>
    </row>
    <row r="136" spans="5:10" ht="14.5" x14ac:dyDescent="0.35">
      <c r="E136" s="27"/>
      <c r="F136" s="27"/>
      <c r="G136" s="27"/>
      <c r="H136" s="27"/>
      <c r="I136" s="27"/>
      <c r="J136" s="28"/>
    </row>
    <row r="137" spans="5:10" ht="14.5" x14ac:dyDescent="0.35">
      <c r="E137" s="27"/>
      <c r="F137" s="27"/>
      <c r="G137" s="27"/>
      <c r="H137" s="27"/>
      <c r="I137" s="27"/>
      <c r="J137" s="28"/>
    </row>
    <row r="138" spans="5:10" ht="14.5" x14ac:dyDescent="0.35">
      <c r="E138" s="27"/>
      <c r="F138" s="27"/>
      <c r="G138" s="27"/>
      <c r="H138" s="27"/>
      <c r="I138" s="27"/>
      <c r="J138" s="28"/>
    </row>
    <row r="139" spans="5:10" ht="14.5" x14ac:dyDescent="0.35">
      <c r="E139" s="27"/>
      <c r="F139" s="27"/>
      <c r="G139" s="27"/>
      <c r="H139" s="27"/>
      <c r="I139" s="27"/>
      <c r="J139" s="28"/>
    </row>
    <row r="140" spans="5:10" ht="14.5" x14ac:dyDescent="0.35">
      <c r="E140" s="27"/>
      <c r="F140" s="27"/>
      <c r="G140" s="27"/>
      <c r="H140" s="27"/>
      <c r="I140" s="27"/>
      <c r="J140" s="28"/>
    </row>
    <row r="141" spans="5:10" ht="14.5" x14ac:dyDescent="0.35">
      <c r="E141" s="27"/>
      <c r="F141" s="27"/>
      <c r="G141" s="27"/>
      <c r="H141" s="27"/>
      <c r="I141" s="27"/>
      <c r="J141" s="28"/>
    </row>
    <row r="142" spans="5:10" ht="14.5" x14ac:dyDescent="0.35">
      <c r="E142" s="27"/>
      <c r="F142" s="27"/>
      <c r="G142" s="27"/>
      <c r="H142" s="27"/>
      <c r="I142" s="27"/>
      <c r="J142" s="28"/>
    </row>
    <row r="143" spans="5:10" ht="14.5" x14ac:dyDescent="0.35">
      <c r="E143" s="27"/>
      <c r="F143" s="27"/>
      <c r="G143" s="27"/>
      <c r="H143" s="27"/>
      <c r="I143" s="27"/>
      <c r="J143" s="28"/>
    </row>
    <row r="144" spans="5:10" ht="14.5" x14ac:dyDescent="0.35">
      <c r="E144" s="27"/>
      <c r="F144" s="27"/>
      <c r="G144" s="27"/>
      <c r="H144" s="27"/>
      <c r="I144" s="27"/>
      <c r="J144" s="28"/>
    </row>
    <row r="145" spans="5:10" ht="14.5" x14ac:dyDescent="0.35">
      <c r="E145" s="27"/>
      <c r="F145" s="27"/>
      <c r="G145" s="27"/>
      <c r="H145" s="27"/>
      <c r="I145" s="27"/>
      <c r="J145" s="28"/>
    </row>
    <row r="146" spans="5:10" ht="14.5" x14ac:dyDescent="0.35">
      <c r="E146" s="27"/>
      <c r="F146" s="27"/>
      <c r="G146" s="27"/>
      <c r="H146" s="27"/>
      <c r="I146" s="27"/>
      <c r="J146" s="28"/>
    </row>
    <row r="147" spans="5:10" ht="14.5" x14ac:dyDescent="0.35">
      <c r="E147" s="27"/>
      <c r="F147" s="27"/>
      <c r="G147" s="27"/>
      <c r="H147" s="27"/>
      <c r="I147" s="27"/>
      <c r="J147" s="28"/>
    </row>
    <row r="148" spans="5:10" ht="14.5" x14ac:dyDescent="0.35">
      <c r="E148" s="27"/>
      <c r="F148" s="27"/>
      <c r="G148" s="27"/>
      <c r="H148" s="27"/>
      <c r="I148" s="27"/>
      <c r="J148" s="28"/>
    </row>
    <row r="149" spans="5:10" ht="14.5" x14ac:dyDescent="0.35">
      <c r="E149" s="27"/>
      <c r="F149" s="27"/>
      <c r="G149" s="27"/>
      <c r="H149" s="27"/>
      <c r="I149" s="27"/>
      <c r="J149" s="28"/>
    </row>
    <row r="150" spans="5:10" ht="14.5" x14ac:dyDescent="0.35">
      <c r="E150" s="27"/>
      <c r="F150" s="27"/>
      <c r="G150" s="27"/>
      <c r="H150" s="27"/>
      <c r="I150" s="27"/>
      <c r="J150" s="28"/>
    </row>
    <row r="151" spans="5:10" ht="14.5" x14ac:dyDescent="0.35">
      <c r="E151" s="27"/>
      <c r="F151" s="27"/>
      <c r="G151" s="27"/>
      <c r="H151" s="27"/>
      <c r="I151" s="27"/>
      <c r="J151" s="28"/>
    </row>
    <row r="152" spans="5:10" ht="14.5" x14ac:dyDescent="0.35">
      <c r="E152" s="27"/>
      <c r="F152" s="27"/>
      <c r="G152" s="27"/>
      <c r="H152" s="27"/>
      <c r="I152" s="27"/>
      <c r="J152" s="28"/>
    </row>
    <row r="153" spans="5:10" ht="14.5" x14ac:dyDescent="0.35">
      <c r="E153" s="27"/>
      <c r="F153" s="27"/>
      <c r="G153" s="27"/>
      <c r="H153" s="27"/>
      <c r="I153" s="27"/>
      <c r="J153" s="28"/>
    </row>
    <row r="154" spans="5:10" ht="14.5" x14ac:dyDescent="0.35">
      <c r="E154" s="27"/>
      <c r="F154" s="27"/>
      <c r="G154" s="27"/>
      <c r="H154" s="27"/>
      <c r="I154" s="27"/>
      <c r="J154" s="28"/>
    </row>
    <row r="155" spans="5:10" ht="14.5" x14ac:dyDescent="0.35">
      <c r="E155" s="27"/>
      <c r="F155" s="27"/>
      <c r="G155" s="27"/>
      <c r="H155" s="27"/>
      <c r="I155" s="27"/>
      <c r="J155" s="28"/>
    </row>
    <row r="156" spans="5:10" ht="14.5" x14ac:dyDescent="0.35">
      <c r="E156" s="27"/>
      <c r="F156" s="27"/>
      <c r="G156" s="27"/>
      <c r="H156" s="27"/>
      <c r="I156" s="27"/>
      <c r="J156" s="28"/>
    </row>
    <row r="157" spans="5:10" ht="14.5" x14ac:dyDescent="0.35">
      <c r="E157" s="27"/>
      <c r="F157" s="27"/>
      <c r="G157" s="27"/>
      <c r="H157" s="27"/>
      <c r="I157" s="27"/>
      <c r="J157" s="28"/>
    </row>
    <row r="158" spans="5:10" ht="14.5" x14ac:dyDescent="0.35">
      <c r="E158" s="27"/>
      <c r="F158" s="27"/>
      <c r="G158" s="27"/>
      <c r="H158" s="27"/>
      <c r="I158" s="27"/>
      <c r="J158" s="28"/>
    </row>
    <row r="159" spans="5:10" ht="14.5" x14ac:dyDescent="0.35">
      <c r="E159" s="27"/>
      <c r="F159" s="27"/>
      <c r="G159" s="27"/>
      <c r="H159" s="27"/>
      <c r="I159" s="27"/>
      <c r="J159" s="28"/>
    </row>
    <row r="160" spans="5:10" ht="14.5" x14ac:dyDescent="0.35">
      <c r="E160" s="27"/>
      <c r="F160" s="27"/>
      <c r="G160" s="27"/>
      <c r="H160" s="27"/>
      <c r="I160" s="27"/>
      <c r="J160" s="28"/>
    </row>
    <row r="161" spans="5:10" ht="14.5" x14ac:dyDescent="0.35">
      <c r="E161" s="27"/>
      <c r="F161" s="27"/>
      <c r="G161" s="27"/>
      <c r="H161" s="27"/>
      <c r="I161" s="27"/>
      <c r="J161" s="28"/>
    </row>
    <row r="162" spans="5:10" ht="14.5" x14ac:dyDescent="0.35">
      <c r="E162" s="27"/>
      <c r="F162" s="27"/>
      <c r="G162" s="27"/>
      <c r="H162" s="27"/>
      <c r="I162" s="27"/>
      <c r="J162" s="28"/>
    </row>
    <row r="163" spans="5:10" ht="14.5" x14ac:dyDescent="0.35">
      <c r="E163" s="27"/>
      <c r="F163" s="27"/>
      <c r="G163" s="27"/>
      <c r="H163" s="27"/>
      <c r="I163" s="27"/>
      <c r="J163" s="28"/>
    </row>
    <row r="164" spans="5:10" ht="14.5" x14ac:dyDescent="0.35">
      <c r="E164" s="27"/>
      <c r="F164" s="27"/>
      <c r="G164" s="27"/>
      <c r="H164" s="27"/>
      <c r="I164" s="27"/>
      <c r="J164" s="28"/>
    </row>
    <row r="165" spans="5:10" ht="14.5" x14ac:dyDescent="0.35">
      <c r="E165" s="27"/>
      <c r="F165" s="27"/>
      <c r="G165" s="27"/>
      <c r="H165" s="27"/>
      <c r="I165" s="27"/>
      <c r="J165" s="28"/>
    </row>
    <row r="166" spans="5:10" ht="14.5" x14ac:dyDescent="0.35">
      <c r="E166" s="27"/>
      <c r="F166" s="27"/>
      <c r="G166" s="27"/>
      <c r="H166" s="27"/>
      <c r="I166" s="27"/>
      <c r="J166" s="28"/>
    </row>
    <row r="167" spans="5:10" ht="14.5" x14ac:dyDescent="0.35">
      <c r="E167" s="27"/>
      <c r="F167" s="27"/>
      <c r="G167" s="27"/>
      <c r="H167" s="27"/>
      <c r="I167" s="27"/>
      <c r="J167" s="28"/>
    </row>
    <row r="168" spans="5:10" ht="14.5" x14ac:dyDescent="0.35">
      <c r="E168" s="27"/>
      <c r="F168" s="27"/>
      <c r="G168" s="27"/>
      <c r="H168" s="27"/>
      <c r="I168" s="27"/>
      <c r="J168" s="28"/>
    </row>
    <row r="169" spans="5:10" ht="14.5" x14ac:dyDescent="0.35">
      <c r="E169" s="27"/>
      <c r="F169" s="27"/>
      <c r="G169" s="27"/>
      <c r="H169" s="27"/>
      <c r="I169" s="27"/>
      <c r="J169" s="28"/>
    </row>
    <row r="170" spans="5:10" ht="14.5" x14ac:dyDescent="0.35">
      <c r="E170" s="27"/>
      <c r="F170" s="27"/>
      <c r="G170" s="27"/>
      <c r="H170" s="27"/>
      <c r="I170" s="27"/>
      <c r="J170" s="28"/>
    </row>
    <row r="171" spans="5:10" ht="14.5" x14ac:dyDescent="0.35">
      <c r="E171" s="27"/>
      <c r="F171" s="27"/>
      <c r="G171" s="27"/>
      <c r="H171" s="27"/>
      <c r="I171" s="27"/>
      <c r="J171" s="28"/>
    </row>
    <row r="172" spans="5:10" ht="14.5" x14ac:dyDescent="0.35">
      <c r="E172" s="27"/>
      <c r="F172" s="27"/>
      <c r="G172" s="27"/>
      <c r="H172" s="27"/>
      <c r="I172" s="27"/>
      <c r="J172" s="28"/>
    </row>
    <row r="173" spans="5:10" ht="14.5" x14ac:dyDescent="0.35">
      <c r="E173" s="27"/>
      <c r="F173" s="27"/>
      <c r="G173" s="27"/>
      <c r="H173" s="27"/>
      <c r="I173" s="27"/>
      <c r="J173" s="28"/>
    </row>
    <row r="174" spans="5:10" ht="14.5" x14ac:dyDescent="0.35">
      <c r="E174" s="27"/>
      <c r="F174" s="27"/>
      <c r="G174" s="27"/>
      <c r="H174" s="27"/>
      <c r="I174" s="27"/>
      <c r="J174" s="28"/>
    </row>
    <row r="175" spans="5:10" ht="14.5" x14ac:dyDescent="0.35">
      <c r="E175" s="27"/>
      <c r="F175" s="27"/>
      <c r="G175" s="27"/>
      <c r="H175" s="27"/>
      <c r="I175" s="27"/>
      <c r="J175" s="28"/>
    </row>
    <row r="176" spans="5:10" ht="14.5" x14ac:dyDescent="0.35">
      <c r="E176" s="27"/>
      <c r="F176" s="27"/>
      <c r="G176" s="27"/>
      <c r="H176" s="27"/>
      <c r="I176" s="27"/>
      <c r="J176" s="28"/>
    </row>
    <row r="177" spans="5:10" ht="14.5" x14ac:dyDescent="0.35">
      <c r="E177" s="27"/>
      <c r="F177" s="27"/>
      <c r="G177" s="27"/>
      <c r="H177" s="27"/>
      <c r="I177" s="27"/>
      <c r="J177" s="28"/>
    </row>
    <row r="178" spans="5:10" ht="14.5" x14ac:dyDescent="0.35">
      <c r="E178" s="27"/>
      <c r="F178" s="27"/>
      <c r="G178" s="27"/>
      <c r="H178" s="27"/>
      <c r="I178" s="27"/>
      <c r="J178" s="28"/>
    </row>
    <row r="179" spans="5:10" ht="14.5" x14ac:dyDescent="0.35">
      <c r="E179" s="27"/>
      <c r="F179" s="27"/>
      <c r="G179" s="27"/>
      <c r="H179" s="27"/>
      <c r="I179" s="27"/>
      <c r="J179" s="28"/>
    </row>
    <row r="180" spans="5:10" ht="14.5" x14ac:dyDescent="0.35">
      <c r="E180" s="27"/>
      <c r="F180" s="27"/>
      <c r="G180" s="27"/>
      <c r="H180" s="27"/>
      <c r="I180" s="27"/>
      <c r="J180" s="28"/>
    </row>
    <row r="181" spans="5:10" ht="14.5" x14ac:dyDescent="0.35">
      <c r="E181" s="27"/>
      <c r="F181" s="27"/>
      <c r="G181" s="27"/>
      <c r="H181" s="27"/>
      <c r="I181" s="27"/>
      <c r="J181" s="28"/>
    </row>
    <row r="182" spans="5:10" ht="14.5" x14ac:dyDescent="0.35">
      <c r="E182" s="27"/>
      <c r="F182" s="27"/>
      <c r="G182" s="27"/>
      <c r="H182" s="27"/>
      <c r="I182" s="27"/>
      <c r="J182" s="28"/>
    </row>
    <row r="183" spans="5:10" ht="14.5" x14ac:dyDescent="0.35">
      <c r="E183" s="27"/>
      <c r="F183" s="27"/>
      <c r="G183" s="27"/>
      <c r="H183" s="27"/>
      <c r="I183" s="27"/>
      <c r="J183" s="28"/>
    </row>
    <row r="184" spans="5:10" ht="14.5" x14ac:dyDescent="0.35">
      <c r="E184" s="27"/>
      <c r="F184" s="27"/>
      <c r="G184" s="27"/>
      <c r="H184" s="27"/>
      <c r="I184" s="27"/>
      <c r="J184" s="28"/>
    </row>
    <row r="185" spans="5:10" ht="14.5" x14ac:dyDescent="0.35">
      <c r="E185" s="27"/>
      <c r="F185" s="27"/>
      <c r="G185" s="27"/>
      <c r="H185" s="27"/>
      <c r="I185" s="27"/>
      <c r="J185" s="28"/>
    </row>
    <row r="186" spans="5:10" ht="14.5" x14ac:dyDescent="0.35">
      <c r="E186" s="27"/>
      <c r="F186" s="27"/>
      <c r="G186" s="27"/>
      <c r="H186" s="27"/>
      <c r="I186" s="27"/>
      <c r="J186" s="28"/>
    </row>
    <row r="187" spans="5:10" ht="14.5" x14ac:dyDescent="0.35">
      <c r="E187" s="27"/>
      <c r="F187" s="27"/>
      <c r="G187" s="27"/>
      <c r="H187" s="27"/>
      <c r="I187" s="27"/>
      <c r="J187" s="28"/>
    </row>
    <row r="188" spans="5:10" ht="14.5" x14ac:dyDescent="0.35">
      <c r="E188" s="27"/>
      <c r="F188" s="27"/>
      <c r="G188" s="27"/>
      <c r="H188" s="27"/>
      <c r="I188" s="27"/>
      <c r="J188" s="28"/>
    </row>
    <row r="189" spans="5:10" ht="14.5" x14ac:dyDescent="0.35">
      <c r="E189" s="27"/>
      <c r="F189" s="27"/>
      <c r="G189" s="27"/>
      <c r="H189" s="27"/>
      <c r="I189" s="27"/>
      <c r="J189" s="28"/>
    </row>
    <row r="190" spans="5:10" ht="14.5" x14ac:dyDescent="0.35">
      <c r="E190" s="27"/>
      <c r="F190" s="27"/>
      <c r="G190" s="27"/>
      <c r="H190" s="27"/>
      <c r="I190" s="27"/>
      <c r="J190" s="28"/>
    </row>
    <row r="191" spans="5:10" ht="14.5" x14ac:dyDescent="0.35">
      <c r="E191" s="27"/>
      <c r="F191" s="27"/>
      <c r="G191" s="27"/>
      <c r="H191" s="27"/>
      <c r="I191" s="27"/>
      <c r="J191" s="28"/>
    </row>
    <row r="192" spans="5:10" ht="14.5" x14ac:dyDescent="0.35">
      <c r="E192" s="27"/>
      <c r="F192" s="27"/>
      <c r="G192" s="27"/>
      <c r="H192" s="27"/>
      <c r="I192" s="27"/>
      <c r="J192" s="28"/>
    </row>
    <row r="193" spans="5:10" ht="14.5" x14ac:dyDescent="0.35">
      <c r="E193" s="27"/>
      <c r="F193" s="27"/>
      <c r="G193" s="27"/>
      <c r="H193" s="27"/>
      <c r="I193" s="27"/>
      <c r="J193" s="28"/>
    </row>
    <row r="194" spans="5:10" ht="14.5" x14ac:dyDescent="0.35">
      <c r="E194" s="27"/>
      <c r="F194" s="27"/>
      <c r="G194" s="27"/>
      <c r="H194" s="27"/>
      <c r="I194" s="27"/>
      <c r="J194" s="28"/>
    </row>
    <row r="195" spans="5:10" ht="14.5" x14ac:dyDescent="0.35">
      <c r="E195" s="27"/>
      <c r="F195" s="27"/>
      <c r="G195" s="27"/>
      <c r="H195" s="27"/>
      <c r="I195" s="27"/>
      <c r="J195" s="28"/>
    </row>
    <row r="196" spans="5:10" ht="14.5" x14ac:dyDescent="0.35">
      <c r="E196" s="27"/>
      <c r="F196" s="27"/>
      <c r="G196" s="27"/>
      <c r="H196" s="27"/>
      <c r="I196" s="27"/>
      <c r="J196" s="28"/>
    </row>
    <row r="197" spans="5:10" ht="14.5" x14ac:dyDescent="0.35">
      <c r="E197" s="27"/>
      <c r="F197" s="27"/>
      <c r="G197" s="27"/>
      <c r="H197" s="27"/>
      <c r="I197" s="27"/>
      <c r="J197" s="28"/>
    </row>
    <row r="198" spans="5:10" ht="14.5" x14ac:dyDescent="0.35">
      <c r="E198" s="27"/>
      <c r="F198" s="27"/>
      <c r="G198" s="27"/>
      <c r="H198" s="27"/>
      <c r="I198" s="27"/>
      <c r="J198" s="28"/>
    </row>
    <row r="199" spans="5:10" ht="14.5" x14ac:dyDescent="0.35">
      <c r="E199" s="27"/>
      <c r="F199" s="27"/>
      <c r="G199" s="27"/>
      <c r="H199" s="27"/>
      <c r="I199" s="27"/>
      <c r="J199" s="28"/>
    </row>
    <row r="200" spans="5:10" ht="14.5" x14ac:dyDescent="0.35">
      <c r="E200" s="27"/>
      <c r="F200" s="27"/>
      <c r="G200" s="27"/>
      <c r="H200" s="27"/>
      <c r="I200" s="27"/>
      <c r="J200" s="28"/>
    </row>
    <row r="201" spans="5:10" ht="14.5" x14ac:dyDescent="0.35">
      <c r="E201" s="27"/>
      <c r="F201" s="27"/>
      <c r="G201" s="27"/>
      <c r="H201" s="27"/>
      <c r="I201" s="27"/>
      <c r="J201" s="28"/>
    </row>
    <row r="202" spans="5:10" ht="14.5" x14ac:dyDescent="0.35">
      <c r="E202" s="27"/>
      <c r="F202" s="27"/>
      <c r="G202" s="27"/>
      <c r="H202" s="27"/>
      <c r="I202" s="27"/>
      <c r="J202" s="28"/>
    </row>
    <row r="203" spans="5:10" ht="14.5" x14ac:dyDescent="0.35">
      <c r="E203" s="27"/>
      <c r="F203" s="27"/>
      <c r="G203" s="27"/>
      <c r="H203" s="27"/>
      <c r="I203" s="27"/>
      <c r="J203" s="28"/>
    </row>
    <row r="204" spans="5:10" ht="14.5" x14ac:dyDescent="0.35">
      <c r="E204" s="27"/>
      <c r="F204" s="27"/>
      <c r="G204" s="27"/>
      <c r="H204" s="27"/>
      <c r="I204" s="27"/>
      <c r="J204" s="28"/>
    </row>
    <row r="205" spans="5:10" ht="14.5" x14ac:dyDescent="0.35">
      <c r="E205" s="27"/>
      <c r="F205" s="27"/>
      <c r="G205" s="27"/>
      <c r="H205" s="27"/>
      <c r="I205" s="27"/>
      <c r="J205" s="28"/>
    </row>
    <row r="206" spans="5:10" ht="14.5" x14ac:dyDescent="0.35">
      <c r="E206" s="27"/>
      <c r="F206" s="27"/>
      <c r="G206" s="27"/>
      <c r="H206" s="27"/>
      <c r="I206" s="27"/>
      <c r="J206" s="28"/>
    </row>
    <row r="207" spans="5:10" ht="14.5" x14ac:dyDescent="0.35">
      <c r="E207" s="27"/>
      <c r="F207" s="27"/>
      <c r="G207" s="27"/>
      <c r="H207" s="27"/>
      <c r="I207" s="27"/>
      <c r="J207" s="28"/>
    </row>
    <row r="208" spans="5:10" ht="14.5" x14ac:dyDescent="0.35">
      <c r="E208" s="27"/>
      <c r="F208" s="27"/>
      <c r="G208" s="27"/>
      <c r="H208" s="27"/>
      <c r="I208" s="27"/>
      <c r="J208" s="28"/>
    </row>
    <row r="209" spans="5:10" ht="14.5" x14ac:dyDescent="0.35">
      <c r="E209" s="27"/>
      <c r="F209" s="27"/>
      <c r="G209" s="27"/>
      <c r="H209" s="27"/>
      <c r="I209" s="27"/>
      <c r="J209" s="28"/>
    </row>
    <row r="210" spans="5:10" ht="14.5" x14ac:dyDescent="0.35">
      <c r="E210" s="27"/>
      <c r="F210" s="27"/>
      <c r="G210" s="27"/>
      <c r="H210" s="27"/>
      <c r="I210" s="27"/>
      <c r="J210" s="28"/>
    </row>
    <row r="211" spans="5:10" ht="14.5" x14ac:dyDescent="0.35">
      <c r="E211" s="27"/>
      <c r="F211" s="27"/>
      <c r="G211" s="27"/>
      <c r="H211" s="27"/>
      <c r="I211" s="27"/>
      <c r="J211" s="28"/>
    </row>
    <row r="212" spans="5:10" ht="14.5" x14ac:dyDescent="0.35">
      <c r="E212" s="27"/>
      <c r="F212" s="27"/>
      <c r="G212" s="27"/>
      <c r="H212" s="27"/>
      <c r="I212" s="27"/>
      <c r="J212" s="28"/>
    </row>
    <row r="213" spans="5:10" ht="14.5" x14ac:dyDescent="0.35">
      <c r="E213" s="27"/>
      <c r="F213" s="27"/>
      <c r="G213" s="27"/>
      <c r="H213" s="27"/>
      <c r="I213" s="27"/>
      <c r="J213" s="28"/>
    </row>
    <row r="214" spans="5:10" ht="14.5" x14ac:dyDescent="0.35">
      <c r="E214" s="27"/>
      <c r="F214" s="27"/>
      <c r="G214" s="27"/>
      <c r="H214" s="27"/>
      <c r="I214" s="27"/>
      <c r="J214" s="28"/>
    </row>
    <row r="215" spans="5:10" ht="14.5" x14ac:dyDescent="0.35">
      <c r="E215" s="27"/>
      <c r="F215" s="27"/>
      <c r="G215" s="27"/>
      <c r="H215" s="27"/>
      <c r="I215" s="27"/>
      <c r="J215" s="28"/>
    </row>
    <row r="216" spans="5:10" ht="14.5" x14ac:dyDescent="0.35">
      <c r="E216" s="27"/>
      <c r="F216" s="27"/>
      <c r="G216" s="27"/>
      <c r="H216" s="27"/>
      <c r="I216" s="27"/>
      <c r="J216" s="28"/>
    </row>
    <row r="217" spans="5:10" ht="14.5" x14ac:dyDescent="0.35">
      <c r="E217" s="27"/>
      <c r="F217" s="27"/>
      <c r="G217" s="27"/>
      <c r="H217" s="27"/>
      <c r="I217" s="27"/>
      <c r="J217" s="28"/>
    </row>
    <row r="218" spans="5:10" ht="14.5" x14ac:dyDescent="0.35">
      <c r="E218" s="27"/>
      <c r="F218" s="27"/>
      <c r="G218" s="27"/>
      <c r="H218" s="27"/>
      <c r="I218" s="27"/>
      <c r="J218" s="28"/>
    </row>
    <row r="219" spans="5:10" ht="14.5" x14ac:dyDescent="0.35">
      <c r="E219" s="27"/>
      <c r="F219" s="27"/>
      <c r="G219" s="27"/>
      <c r="H219" s="27"/>
      <c r="I219" s="27"/>
      <c r="J219" s="28"/>
    </row>
    <row r="220" spans="5:10" ht="14.5" x14ac:dyDescent="0.35">
      <c r="E220" s="27"/>
      <c r="F220" s="27"/>
      <c r="G220" s="27"/>
      <c r="H220" s="27"/>
      <c r="I220" s="27"/>
      <c r="J220" s="28"/>
    </row>
    <row r="221" spans="5:10" ht="14.5" x14ac:dyDescent="0.35">
      <c r="E221" s="27"/>
      <c r="F221" s="27"/>
      <c r="G221" s="27"/>
      <c r="H221" s="27"/>
      <c r="I221" s="27"/>
      <c r="J221" s="28"/>
    </row>
    <row r="222" spans="5:10" ht="14.5" x14ac:dyDescent="0.35">
      <c r="E222" s="27"/>
      <c r="F222" s="27"/>
      <c r="G222" s="27"/>
      <c r="H222" s="27"/>
      <c r="I222" s="27"/>
      <c r="J222" s="28"/>
    </row>
    <row r="223" spans="5:10" ht="14.5" x14ac:dyDescent="0.35">
      <c r="E223" s="27"/>
      <c r="F223" s="27"/>
      <c r="G223" s="27"/>
      <c r="H223" s="27"/>
      <c r="I223" s="27"/>
      <c r="J223" s="28"/>
    </row>
    <row r="224" spans="5:10" ht="14.5" x14ac:dyDescent="0.35">
      <c r="E224" s="27"/>
      <c r="F224" s="27"/>
      <c r="G224" s="27"/>
      <c r="H224" s="27"/>
      <c r="I224" s="27"/>
      <c r="J224" s="28"/>
    </row>
    <row r="225" spans="5:10" ht="14.5" x14ac:dyDescent="0.35">
      <c r="E225" s="27"/>
      <c r="F225" s="27"/>
      <c r="G225" s="27"/>
      <c r="H225" s="27"/>
      <c r="I225" s="27"/>
      <c r="J225" s="28"/>
    </row>
    <row r="226" spans="5:10" ht="14.5" x14ac:dyDescent="0.35">
      <c r="E226" s="27"/>
      <c r="F226" s="27"/>
      <c r="G226" s="27"/>
      <c r="H226" s="27"/>
      <c r="I226" s="27"/>
      <c r="J226" s="28"/>
    </row>
    <row r="227" spans="5:10" ht="14.5" x14ac:dyDescent="0.35">
      <c r="E227" s="27"/>
      <c r="F227" s="27"/>
      <c r="G227" s="27"/>
      <c r="H227" s="27"/>
      <c r="I227" s="27"/>
      <c r="J227" s="28"/>
    </row>
    <row r="228" spans="5:10" ht="14.5" x14ac:dyDescent="0.35">
      <c r="E228" s="27"/>
      <c r="F228" s="27"/>
      <c r="G228" s="27"/>
      <c r="H228" s="27"/>
      <c r="I228" s="27"/>
      <c r="J228" s="28"/>
    </row>
    <row r="229" spans="5:10" ht="14.5" x14ac:dyDescent="0.35">
      <c r="E229" s="27"/>
      <c r="F229" s="27"/>
      <c r="G229" s="27"/>
      <c r="H229" s="27"/>
      <c r="I229" s="27"/>
      <c r="J229" s="28"/>
    </row>
    <row r="230" spans="5:10" ht="14.5" x14ac:dyDescent="0.35">
      <c r="E230" s="27"/>
      <c r="F230" s="27"/>
      <c r="G230" s="27"/>
      <c r="H230" s="27"/>
      <c r="I230" s="27"/>
      <c r="J230" s="28"/>
    </row>
    <row r="231" spans="5:10" ht="14.5" x14ac:dyDescent="0.35">
      <c r="E231" s="27"/>
      <c r="F231" s="27"/>
      <c r="G231" s="27"/>
      <c r="H231" s="27"/>
      <c r="I231" s="27"/>
      <c r="J231" s="28"/>
    </row>
    <row r="232" spans="5:10" ht="14.5" x14ac:dyDescent="0.35">
      <c r="E232" s="27"/>
      <c r="F232" s="27"/>
      <c r="G232" s="27"/>
      <c r="H232" s="27"/>
      <c r="I232" s="27"/>
      <c r="J232" s="28"/>
    </row>
    <row r="233" spans="5:10" ht="14.5" x14ac:dyDescent="0.35">
      <c r="E233" s="27"/>
      <c r="F233" s="27"/>
      <c r="G233" s="27"/>
      <c r="H233" s="27"/>
      <c r="I233" s="27"/>
      <c r="J233" s="28"/>
    </row>
    <row r="234" spans="5:10" ht="14.5" x14ac:dyDescent="0.35">
      <c r="E234" s="27"/>
      <c r="F234" s="27"/>
      <c r="G234" s="27"/>
      <c r="H234" s="27"/>
      <c r="I234" s="27"/>
      <c r="J234" s="28"/>
    </row>
    <row r="235" spans="5:10" ht="14.5" x14ac:dyDescent="0.35">
      <c r="E235" s="27"/>
      <c r="F235" s="27"/>
      <c r="G235" s="27"/>
      <c r="H235" s="27"/>
      <c r="I235" s="27"/>
      <c r="J235" s="28"/>
    </row>
    <row r="236" spans="5:10" ht="14.5" x14ac:dyDescent="0.35">
      <c r="E236" s="27"/>
      <c r="F236" s="27"/>
      <c r="G236" s="27"/>
      <c r="H236" s="27"/>
      <c r="I236" s="27"/>
      <c r="J236" s="28"/>
    </row>
    <row r="237" spans="5:10" ht="14.5" x14ac:dyDescent="0.35">
      <c r="E237" s="27"/>
      <c r="F237" s="27"/>
      <c r="G237" s="27"/>
      <c r="H237" s="27"/>
      <c r="I237" s="27"/>
      <c r="J237" s="28"/>
    </row>
    <row r="238" spans="5:10" ht="14.5" x14ac:dyDescent="0.35">
      <c r="E238" s="27"/>
      <c r="F238" s="27"/>
      <c r="G238" s="27"/>
      <c r="H238" s="27"/>
      <c r="I238" s="27"/>
      <c r="J238" s="28"/>
    </row>
    <row r="239" spans="5:10" ht="14.5" x14ac:dyDescent="0.35">
      <c r="E239" s="27"/>
      <c r="F239" s="27"/>
      <c r="G239" s="27"/>
      <c r="H239" s="27"/>
      <c r="I239" s="27"/>
      <c r="J239" s="28"/>
    </row>
    <row r="240" spans="5:10" ht="14.5" x14ac:dyDescent="0.35">
      <c r="E240" s="27"/>
      <c r="F240" s="27"/>
      <c r="G240" s="27"/>
      <c r="H240" s="27"/>
      <c r="I240" s="27"/>
      <c r="J240" s="28"/>
    </row>
    <row r="241" spans="5:10" ht="14.5" x14ac:dyDescent="0.35">
      <c r="E241" s="27"/>
      <c r="F241" s="27"/>
      <c r="G241" s="27"/>
      <c r="H241" s="27"/>
      <c r="I241" s="27"/>
      <c r="J241" s="28"/>
    </row>
    <row r="242" spans="5:10" ht="14.5" x14ac:dyDescent="0.35">
      <c r="E242" s="27"/>
      <c r="F242" s="27"/>
      <c r="G242" s="27"/>
      <c r="H242" s="27"/>
      <c r="I242" s="27"/>
      <c r="J242" s="28"/>
    </row>
    <row r="243" spans="5:10" ht="14.5" x14ac:dyDescent="0.35">
      <c r="E243" s="27"/>
      <c r="F243" s="27"/>
      <c r="G243" s="27"/>
      <c r="H243" s="27"/>
      <c r="I243" s="27"/>
      <c r="J243" s="28"/>
    </row>
    <row r="244" spans="5:10" ht="14.5" x14ac:dyDescent="0.35">
      <c r="E244" s="27"/>
      <c r="F244" s="27"/>
      <c r="G244" s="27"/>
      <c r="H244" s="27"/>
      <c r="I244" s="27"/>
      <c r="J244" s="28"/>
    </row>
    <row r="245" spans="5:10" ht="14.5" x14ac:dyDescent="0.35">
      <c r="E245" s="27"/>
      <c r="F245" s="27"/>
      <c r="G245" s="27"/>
      <c r="H245" s="27"/>
      <c r="I245" s="27"/>
      <c r="J245" s="28"/>
    </row>
    <row r="246" spans="5:10" ht="14.5" x14ac:dyDescent="0.35">
      <c r="E246" s="27"/>
      <c r="F246" s="27"/>
      <c r="G246" s="27"/>
      <c r="H246" s="27"/>
      <c r="I246" s="27"/>
      <c r="J246" s="28"/>
    </row>
    <row r="247" spans="5:10" ht="14.5" x14ac:dyDescent="0.35">
      <c r="E247" s="27"/>
      <c r="F247" s="27"/>
      <c r="G247" s="27"/>
      <c r="H247" s="27"/>
      <c r="I247" s="27"/>
      <c r="J247" s="28"/>
    </row>
    <row r="248" spans="5:10" ht="14.5" x14ac:dyDescent="0.35">
      <c r="E248" s="27"/>
      <c r="F248" s="27"/>
      <c r="G248" s="27"/>
      <c r="H248" s="27"/>
      <c r="I248" s="27"/>
      <c r="J248" s="28"/>
    </row>
    <row r="249" spans="5:10" ht="14.5" x14ac:dyDescent="0.35">
      <c r="E249" s="27"/>
      <c r="F249" s="27"/>
      <c r="G249" s="27"/>
      <c r="H249" s="27"/>
      <c r="I249" s="27"/>
      <c r="J249" s="28"/>
    </row>
    <row r="250" spans="5:10" ht="14.5" x14ac:dyDescent="0.35">
      <c r="E250" s="27"/>
      <c r="F250" s="27"/>
      <c r="G250" s="27"/>
      <c r="H250" s="27"/>
      <c r="I250" s="27"/>
      <c r="J250" s="28"/>
    </row>
    <row r="251" spans="5:10" ht="14.5" x14ac:dyDescent="0.35">
      <c r="E251" s="27"/>
      <c r="F251" s="27"/>
      <c r="G251" s="27"/>
      <c r="H251" s="27"/>
      <c r="I251" s="27"/>
      <c r="J251" s="28"/>
    </row>
    <row r="252" spans="5:10" ht="14.5" x14ac:dyDescent="0.35">
      <c r="E252" s="27"/>
      <c r="F252" s="27"/>
      <c r="G252" s="27"/>
      <c r="H252" s="27"/>
      <c r="I252" s="27"/>
      <c r="J252" s="28"/>
    </row>
    <row r="253" spans="5:10" ht="14.5" x14ac:dyDescent="0.35">
      <c r="E253" s="27"/>
      <c r="F253" s="27"/>
      <c r="G253" s="27"/>
      <c r="H253" s="27"/>
      <c r="I253" s="27"/>
      <c r="J253" s="28"/>
    </row>
    <row r="254" spans="5:10" ht="14.5" x14ac:dyDescent="0.35">
      <c r="E254" s="27"/>
      <c r="F254" s="27"/>
      <c r="G254" s="27"/>
      <c r="H254" s="27"/>
      <c r="I254" s="27"/>
      <c r="J254" s="28"/>
    </row>
    <row r="255" spans="5:10" ht="14.5" x14ac:dyDescent="0.35">
      <c r="E255" s="27"/>
      <c r="F255" s="27"/>
      <c r="G255" s="27"/>
      <c r="H255" s="27"/>
      <c r="I255" s="27"/>
      <c r="J255" s="28"/>
    </row>
    <row r="256" spans="5:10" ht="14.5" x14ac:dyDescent="0.35">
      <c r="E256" s="27"/>
      <c r="F256" s="27"/>
      <c r="G256" s="27"/>
      <c r="H256" s="27"/>
      <c r="I256" s="27"/>
      <c r="J256" s="28"/>
    </row>
    <row r="257" spans="5:10" ht="14.5" x14ac:dyDescent="0.35">
      <c r="E257" s="27"/>
      <c r="F257" s="27"/>
      <c r="G257" s="27"/>
      <c r="H257" s="27"/>
      <c r="I257" s="27"/>
      <c r="J257" s="28"/>
    </row>
    <row r="258" spans="5:10" ht="14.5" x14ac:dyDescent="0.35">
      <c r="E258" s="27"/>
      <c r="F258" s="27"/>
      <c r="G258" s="27"/>
      <c r="H258" s="27"/>
      <c r="I258" s="27"/>
      <c r="J258" s="28"/>
    </row>
    <row r="259" spans="5:10" ht="14.5" x14ac:dyDescent="0.35">
      <c r="E259" s="27"/>
      <c r="F259" s="27"/>
      <c r="G259" s="27"/>
      <c r="H259" s="27"/>
      <c r="I259" s="27"/>
      <c r="J259" s="28"/>
    </row>
    <row r="260" spans="5:10" ht="14.5" x14ac:dyDescent="0.35">
      <c r="E260" s="27"/>
      <c r="F260" s="27"/>
      <c r="G260" s="27"/>
      <c r="H260" s="27"/>
      <c r="I260" s="27"/>
      <c r="J260" s="28"/>
    </row>
    <row r="261" spans="5:10" ht="14.5" x14ac:dyDescent="0.35">
      <c r="E261" s="27"/>
      <c r="F261" s="27"/>
      <c r="G261" s="27"/>
      <c r="H261" s="27"/>
      <c r="I261" s="27"/>
      <c r="J261" s="28"/>
    </row>
    <row r="262" spans="5:10" ht="14.5" x14ac:dyDescent="0.35">
      <c r="E262" s="27"/>
      <c r="F262" s="27"/>
      <c r="G262" s="27"/>
      <c r="H262" s="27"/>
      <c r="I262" s="27"/>
      <c r="J262" s="28"/>
    </row>
    <row r="263" spans="5:10" ht="14.5" x14ac:dyDescent="0.35">
      <c r="E263" s="27"/>
      <c r="F263" s="27"/>
      <c r="G263" s="27"/>
      <c r="H263" s="27"/>
      <c r="I263" s="27"/>
      <c r="J263" s="28"/>
    </row>
    <row r="264" spans="5:10" ht="14.5" x14ac:dyDescent="0.35">
      <c r="E264" s="27"/>
      <c r="F264" s="27"/>
      <c r="G264" s="27"/>
      <c r="H264" s="27"/>
      <c r="I264" s="27"/>
      <c r="J264" s="28"/>
    </row>
    <row r="265" spans="5:10" ht="14.5" x14ac:dyDescent="0.35">
      <c r="E265" s="27"/>
      <c r="F265" s="27"/>
      <c r="G265" s="27"/>
      <c r="H265" s="27"/>
      <c r="I265" s="27"/>
      <c r="J265" s="28"/>
    </row>
    <row r="266" spans="5:10" ht="14.5" x14ac:dyDescent="0.35">
      <c r="E266" s="27"/>
      <c r="F266" s="27"/>
      <c r="G266" s="27"/>
      <c r="H266" s="27"/>
      <c r="I266" s="27"/>
      <c r="J266" s="28"/>
    </row>
    <row r="267" spans="5:10" ht="14.5" x14ac:dyDescent="0.35">
      <c r="E267" s="27"/>
      <c r="F267" s="27"/>
      <c r="G267" s="27"/>
      <c r="H267" s="27"/>
      <c r="I267" s="27"/>
      <c r="J267" s="28"/>
    </row>
    <row r="268" spans="5:10" ht="14.5" x14ac:dyDescent="0.35">
      <c r="E268" s="27"/>
      <c r="F268" s="27"/>
      <c r="G268" s="27"/>
      <c r="H268" s="27"/>
      <c r="I268" s="27"/>
      <c r="J268" s="28"/>
    </row>
    <row r="269" spans="5:10" ht="14.5" x14ac:dyDescent="0.35">
      <c r="E269" s="27"/>
      <c r="F269" s="27"/>
      <c r="G269" s="27"/>
      <c r="H269" s="27"/>
      <c r="I269" s="27"/>
      <c r="J269" s="28"/>
    </row>
    <row r="270" spans="5:10" ht="14.5" x14ac:dyDescent="0.35">
      <c r="E270" s="27"/>
      <c r="F270" s="27"/>
      <c r="G270" s="27"/>
      <c r="H270" s="27"/>
      <c r="I270" s="27"/>
      <c r="J270" s="28"/>
    </row>
    <row r="271" spans="5:10" ht="14.5" x14ac:dyDescent="0.35">
      <c r="E271" s="27"/>
      <c r="F271" s="27"/>
      <c r="G271" s="27"/>
      <c r="H271" s="27"/>
      <c r="I271" s="27"/>
      <c r="J271" s="28"/>
    </row>
    <row r="272" spans="5:10" ht="14.5" x14ac:dyDescent="0.35">
      <c r="E272" s="27"/>
      <c r="F272" s="27"/>
      <c r="G272" s="27"/>
      <c r="H272" s="27"/>
      <c r="I272" s="27"/>
      <c r="J272" s="28"/>
    </row>
    <row r="273" spans="5:10" ht="14.5" x14ac:dyDescent="0.35">
      <c r="E273" s="27"/>
      <c r="F273" s="27"/>
      <c r="G273" s="27"/>
      <c r="H273" s="27"/>
      <c r="I273" s="27"/>
      <c r="J273" s="28"/>
    </row>
    <row r="274" spans="5:10" ht="14.5" x14ac:dyDescent="0.35">
      <c r="E274" s="27"/>
      <c r="F274" s="27"/>
      <c r="G274" s="27"/>
      <c r="H274" s="27"/>
      <c r="I274" s="27"/>
      <c r="J274" s="28"/>
    </row>
    <row r="275" spans="5:10" ht="14.5" x14ac:dyDescent="0.35">
      <c r="E275" s="27"/>
      <c r="F275" s="27"/>
      <c r="G275" s="27"/>
      <c r="H275" s="27"/>
      <c r="I275" s="27"/>
      <c r="J275" s="28"/>
    </row>
    <row r="276" spans="5:10" ht="14.5" x14ac:dyDescent="0.35">
      <c r="E276" s="27"/>
      <c r="F276" s="27"/>
      <c r="G276" s="27"/>
      <c r="H276" s="27"/>
      <c r="I276" s="27"/>
      <c r="J276" s="28"/>
    </row>
    <row r="277" spans="5:10" ht="14.5" x14ac:dyDescent="0.35">
      <c r="E277" s="27"/>
      <c r="F277" s="27"/>
      <c r="G277" s="27"/>
      <c r="H277" s="27"/>
      <c r="I277" s="27"/>
      <c r="J277" s="28"/>
    </row>
    <row r="278" spans="5:10" ht="14.5" x14ac:dyDescent="0.35">
      <c r="E278" s="27"/>
      <c r="F278" s="27"/>
      <c r="G278" s="27"/>
      <c r="H278" s="27"/>
      <c r="I278" s="27"/>
      <c r="J278" s="28"/>
    </row>
    <row r="279" spans="5:10" ht="14.5" x14ac:dyDescent="0.35">
      <c r="E279" s="27"/>
      <c r="F279" s="27"/>
      <c r="G279" s="27"/>
      <c r="H279" s="27"/>
      <c r="I279" s="27"/>
      <c r="J279" s="28"/>
    </row>
    <row r="280" spans="5:10" ht="14.5" x14ac:dyDescent="0.35">
      <c r="E280" s="27"/>
      <c r="F280" s="27"/>
      <c r="G280" s="27"/>
      <c r="H280" s="27"/>
      <c r="I280" s="27"/>
      <c r="J280" s="28"/>
    </row>
    <row r="281" spans="5:10" ht="14.5" x14ac:dyDescent="0.35">
      <c r="E281" s="27"/>
      <c r="F281" s="27"/>
      <c r="G281" s="27"/>
      <c r="H281" s="27"/>
      <c r="I281" s="27"/>
      <c r="J281" s="28"/>
    </row>
    <row r="282" spans="5:10" ht="14.5" x14ac:dyDescent="0.35">
      <c r="E282" s="27"/>
      <c r="F282" s="27"/>
      <c r="G282" s="27"/>
      <c r="H282" s="27"/>
      <c r="I282" s="27"/>
      <c r="J282" s="28"/>
    </row>
    <row r="283" spans="5:10" ht="14.5" x14ac:dyDescent="0.35">
      <c r="E283" s="27"/>
      <c r="F283" s="27"/>
      <c r="G283" s="27"/>
      <c r="H283" s="27"/>
      <c r="I283" s="27"/>
      <c r="J283" s="28"/>
    </row>
    <row r="284" spans="5:10" ht="14.5" x14ac:dyDescent="0.35">
      <c r="E284" s="27"/>
      <c r="F284" s="27"/>
      <c r="G284" s="27"/>
      <c r="H284" s="27"/>
      <c r="I284" s="27"/>
      <c r="J284" s="28"/>
    </row>
    <row r="285" spans="5:10" ht="14.5" x14ac:dyDescent="0.35">
      <c r="E285" s="27"/>
      <c r="F285" s="27"/>
      <c r="G285" s="27"/>
      <c r="H285" s="27"/>
      <c r="I285" s="27"/>
      <c r="J285" s="28"/>
    </row>
    <row r="286" spans="5:10" ht="14.5" x14ac:dyDescent="0.35">
      <c r="E286" s="27"/>
      <c r="F286" s="27"/>
      <c r="G286" s="27"/>
      <c r="H286" s="27"/>
      <c r="I286" s="27"/>
      <c r="J286" s="28"/>
    </row>
    <row r="287" spans="5:10" ht="14.5" x14ac:dyDescent="0.35">
      <c r="E287" s="27"/>
      <c r="F287" s="27"/>
      <c r="G287" s="27"/>
      <c r="H287" s="27"/>
      <c r="I287" s="27"/>
      <c r="J287" s="28"/>
    </row>
    <row r="288" spans="5:10" ht="14.5" x14ac:dyDescent="0.35">
      <c r="E288" s="27"/>
      <c r="F288" s="27"/>
      <c r="G288" s="27"/>
      <c r="H288" s="27"/>
      <c r="I288" s="27"/>
      <c r="J288" s="28"/>
    </row>
    <row r="289" spans="5:10" ht="14.5" x14ac:dyDescent="0.35">
      <c r="E289" s="27"/>
      <c r="F289" s="27"/>
      <c r="G289" s="27"/>
      <c r="H289" s="27"/>
      <c r="I289" s="27"/>
      <c r="J289" s="28"/>
    </row>
    <row r="290" spans="5:10" ht="14.5" x14ac:dyDescent="0.35">
      <c r="E290" s="27"/>
      <c r="F290" s="27"/>
      <c r="G290" s="27"/>
      <c r="H290" s="27"/>
      <c r="I290" s="27"/>
      <c r="J290" s="28"/>
    </row>
    <row r="291" spans="5:10" ht="14.5" x14ac:dyDescent="0.35">
      <c r="E291" s="27"/>
      <c r="F291" s="27"/>
      <c r="G291" s="27"/>
      <c r="H291" s="27"/>
      <c r="I291" s="27"/>
      <c r="J291" s="28"/>
    </row>
    <row r="292" spans="5:10" ht="14.5" x14ac:dyDescent="0.35">
      <c r="E292" s="27"/>
      <c r="F292" s="27"/>
      <c r="G292" s="27"/>
      <c r="H292" s="27"/>
      <c r="I292" s="27"/>
      <c r="J292" s="28"/>
    </row>
    <row r="293" spans="5:10" ht="14.5" x14ac:dyDescent="0.35">
      <c r="E293" s="27"/>
      <c r="F293" s="27"/>
      <c r="G293" s="27"/>
      <c r="H293" s="27"/>
      <c r="I293" s="27"/>
      <c r="J293" s="28"/>
    </row>
    <row r="294" spans="5:10" ht="14.5" x14ac:dyDescent="0.35">
      <c r="E294" s="27"/>
      <c r="F294" s="27"/>
      <c r="G294" s="27"/>
      <c r="H294" s="27"/>
      <c r="I294" s="27"/>
      <c r="J294" s="28"/>
    </row>
    <row r="295" spans="5:10" ht="14.5" x14ac:dyDescent="0.35">
      <c r="E295" s="27"/>
      <c r="F295" s="27"/>
      <c r="G295" s="27"/>
      <c r="H295" s="27"/>
      <c r="I295" s="27"/>
      <c r="J295" s="28"/>
    </row>
    <row r="296" spans="5:10" ht="14.5" x14ac:dyDescent="0.35">
      <c r="E296" s="27"/>
      <c r="F296" s="27"/>
      <c r="G296" s="27"/>
      <c r="H296" s="27"/>
      <c r="I296" s="27"/>
      <c r="J296" s="28"/>
    </row>
    <row r="297" spans="5:10" ht="14.5" x14ac:dyDescent="0.35">
      <c r="E297" s="27"/>
      <c r="F297" s="27"/>
      <c r="G297" s="27"/>
      <c r="H297" s="27"/>
      <c r="I297" s="27"/>
      <c r="J297" s="28"/>
    </row>
    <row r="298" spans="5:10" ht="14.5" x14ac:dyDescent="0.35">
      <c r="E298" s="27"/>
      <c r="F298" s="27"/>
      <c r="G298" s="27"/>
      <c r="H298" s="27"/>
      <c r="I298" s="27"/>
      <c r="J298" s="28"/>
    </row>
    <row r="299" spans="5:10" ht="14.5" x14ac:dyDescent="0.35">
      <c r="E299" s="27"/>
      <c r="F299" s="27"/>
      <c r="G299" s="27"/>
      <c r="H299" s="27"/>
      <c r="I299" s="27"/>
      <c r="J299" s="28"/>
    </row>
    <row r="300" spans="5:10" ht="14.5" x14ac:dyDescent="0.35">
      <c r="E300" s="27"/>
      <c r="F300" s="27"/>
      <c r="G300" s="27"/>
      <c r="H300" s="27"/>
      <c r="I300" s="27"/>
      <c r="J300" s="28"/>
    </row>
    <row r="301" spans="5:10" ht="14.5" x14ac:dyDescent="0.35">
      <c r="E301" s="27"/>
      <c r="F301" s="27"/>
      <c r="G301" s="27"/>
      <c r="H301" s="27"/>
      <c r="I301" s="27"/>
      <c r="J301" s="28"/>
    </row>
    <row r="302" spans="5:10" ht="14.5" x14ac:dyDescent="0.35">
      <c r="E302" s="27"/>
      <c r="F302" s="27"/>
      <c r="G302" s="27"/>
      <c r="H302" s="27"/>
      <c r="I302" s="27"/>
      <c r="J302" s="28"/>
    </row>
    <row r="303" spans="5:10" ht="14.5" x14ac:dyDescent="0.35">
      <c r="E303" s="27"/>
      <c r="F303" s="27"/>
      <c r="G303" s="27"/>
      <c r="H303" s="27"/>
      <c r="I303" s="27"/>
      <c r="J303" s="28"/>
    </row>
    <row r="304" spans="5:10" ht="14.5" x14ac:dyDescent="0.35">
      <c r="E304" s="27"/>
      <c r="F304" s="27"/>
      <c r="G304" s="27"/>
      <c r="H304" s="27"/>
      <c r="I304" s="27"/>
      <c r="J304" s="28"/>
    </row>
    <row r="305" spans="5:10" ht="14.5" x14ac:dyDescent="0.35">
      <c r="E305" s="27"/>
      <c r="F305" s="27"/>
      <c r="G305" s="27"/>
      <c r="H305" s="27"/>
      <c r="I305" s="27"/>
      <c r="J305" s="28"/>
    </row>
    <row r="306" spans="5:10" ht="14.5" x14ac:dyDescent="0.35">
      <c r="E306" s="27"/>
      <c r="F306" s="27"/>
      <c r="G306" s="27"/>
      <c r="H306" s="27"/>
      <c r="I306" s="27"/>
      <c r="J306" s="28"/>
    </row>
    <row r="307" spans="5:10" ht="14.5" x14ac:dyDescent="0.35">
      <c r="E307" s="27"/>
      <c r="F307" s="27"/>
      <c r="G307" s="27"/>
      <c r="H307" s="27"/>
      <c r="I307" s="27"/>
      <c r="J307" s="28"/>
    </row>
    <row r="308" spans="5:10" ht="14.5" x14ac:dyDescent="0.35">
      <c r="E308" s="27"/>
      <c r="F308" s="27"/>
      <c r="G308" s="27"/>
      <c r="H308" s="27"/>
      <c r="I308" s="27"/>
      <c r="J308" s="28"/>
    </row>
    <row r="309" spans="5:10" ht="14.5" x14ac:dyDescent="0.35">
      <c r="E309" s="27"/>
      <c r="F309" s="27"/>
      <c r="G309" s="27"/>
      <c r="H309" s="27"/>
      <c r="I309" s="27"/>
      <c r="J309" s="28"/>
    </row>
    <row r="310" spans="5:10" ht="14.5" x14ac:dyDescent="0.35">
      <c r="E310" s="27"/>
      <c r="F310" s="27"/>
      <c r="G310" s="27"/>
      <c r="H310" s="27"/>
      <c r="I310" s="27"/>
      <c r="J310" s="28"/>
    </row>
    <row r="311" spans="5:10" ht="14.5" x14ac:dyDescent="0.35">
      <c r="E311" s="27"/>
      <c r="F311" s="27"/>
      <c r="G311" s="27"/>
      <c r="H311" s="27"/>
      <c r="I311" s="27"/>
      <c r="J311" s="28"/>
    </row>
    <row r="312" spans="5:10" ht="14.5" x14ac:dyDescent="0.35">
      <c r="E312" s="27"/>
      <c r="F312" s="27"/>
      <c r="G312" s="27"/>
      <c r="H312" s="27"/>
      <c r="I312" s="27"/>
      <c r="J312" s="28"/>
    </row>
    <row r="313" spans="5:10" ht="14.5" x14ac:dyDescent="0.35">
      <c r="E313" s="27"/>
      <c r="F313" s="27"/>
      <c r="G313" s="27"/>
      <c r="H313" s="27"/>
      <c r="I313" s="27"/>
      <c r="J313" s="28"/>
    </row>
    <row r="314" spans="5:10" ht="14.5" x14ac:dyDescent="0.35">
      <c r="E314" s="27"/>
      <c r="F314" s="27"/>
      <c r="G314" s="27"/>
      <c r="H314" s="27"/>
      <c r="I314" s="27"/>
      <c r="J314" s="28"/>
    </row>
    <row r="315" spans="5:10" ht="14.5" x14ac:dyDescent="0.35">
      <c r="E315" s="27"/>
      <c r="F315" s="27"/>
      <c r="G315" s="27"/>
      <c r="H315" s="27"/>
      <c r="I315" s="27"/>
      <c r="J315" s="28"/>
    </row>
    <row r="316" spans="5:10" ht="14.5" x14ac:dyDescent="0.35">
      <c r="E316" s="27"/>
      <c r="F316" s="27"/>
      <c r="G316" s="27"/>
      <c r="H316" s="27"/>
      <c r="I316" s="27"/>
      <c r="J316" s="28"/>
    </row>
    <row r="317" spans="5:10" ht="14.5" x14ac:dyDescent="0.35">
      <c r="E317" s="27"/>
      <c r="F317" s="27"/>
      <c r="G317" s="27"/>
      <c r="H317" s="27"/>
      <c r="I317" s="27"/>
      <c r="J317" s="28"/>
    </row>
    <row r="318" spans="5:10" ht="14.5" x14ac:dyDescent="0.35">
      <c r="E318" s="27"/>
      <c r="F318" s="27"/>
      <c r="G318" s="27"/>
      <c r="H318" s="27"/>
      <c r="I318" s="27"/>
      <c r="J318" s="28"/>
    </row>
    <row r="319" spans="5:10" ht="14.5" x14ac:dyDescent="0.35">
      <c r="E319" s="27"/>
      <c r="F319" s="27"/>
      <c r="G319" s="27"/>
      <c r="H319" s="27"/>
      <c r="I319" s="27"/>
      <c r="J319" s="28"/>
    </row>
    <row r="320" spans="5:10" ht="14.5" x14ac:dyDescent="0.35">
      <c r="E320" s="27"/>
      <c r="F320" s="27"/>
      <c r="G320" s="27"/>
      <c r="H320" s="27"/>
      <c r="I320" s="27"/>
      <c r="J320" s="28"/>
    </row>
    <row r="321" spans="5:10" ht="14.5" x14ac:dyDescent="0.35">
      <c r="E321" s="27"/>
      <c r="F321" s="27"/>
      <c r="G321" s="27"/>
      <c r="H321" s="27"/>
      <c r="I321" s="27"/>
      <c r="J321" s="28"/>
    </row>
    <row r="322" spans="5:10" ht="14.5" x14ac:dyDescent="0.35">
      <c r="E322" s="27"/>
      <c r="F322" s="27"/>
      <c r="G322" s="27"/>
      <c r="H322" s="27"/>
      <c r="I322" s="27"/>
      <c r="J322" s="28"/>
    </row>
    <row r="323" spans="5:10" ht="14.5" x14ac:dyDescent="0.35">
      <c r="E323" s="27"/>
      <c r="F323" s="27"/>
      <c r="G323" s="27"/>
      <c r="H323" s="27"/>
      <c r="I323" s="27"/>
      <c r="J323" s="28"/>
    </row>
    <row r="324" spans="5:10" ht="14.5" x14ac:dyDescent="0.35">
      <c r="E324" s="27"/>
      <c r="F324" s="27"/>
      <c r="G324" s="27"/>
      <c r="H324" s="27"/>
      <c r="I324" s="27"/>
      <c r="J324" s="28"/>
    </row>
    <row r="325" spans="5:10" ht="14.5" x14ac:dyDescent="0.35">
      <c r="E325" s="27"/>
      <c r="F325" s="27"/>
      <c r="G325" s="27"/>
      <c r="H325" s="27"/>
      <c r="I325" s="27"/>
      <c r="J325" s="28"/>
    </row>
    <row r="326" spans="5:10" ht="14.5" x14ac:dyDescent="0.35">
      <c r="E326" s="27"/>
      <c r="F326" s="27"/>
      <c r="G326" s="27"/>
      <c r="H326" s="27"/>
      <c r="I326" s="27"/>
      <c r="J326" s="28"/>
    </row>
    <row r="327" spans="5:10" ht="14.5" x14ac:dyDescent="0.35">
      <c r="E327" s="27"/>
      <c r="F327" s="27"/>
      <c r="G327" s="27"/>
      <c r="H327" s="27"/>
      <c r="I327" s="27"/>
      <c r="J327" s="28"/>
    </row>
    <row r="328" spans="5:10" ht="14.5" x14ac:dyDescent="0.35">
      <c r="E328" s="27"/>
      <c r="F328" s="27"/>
      <c r="G328" s="27"/>
      <c r="H328" s="27"/>
      <c r="I328" s="27"/>
      <c r="J328" s="28"/>
    </row>
    <row r="329" spans="5:10" ht="14.5" x14ac:dyDescent="0.35">
      <c r="E329" s="27"/>
      <c r="F329" s="27"/>
      <c r="G329" s="27"/>
      <c r="H329" s="27"/>
      <c r="I329" s="27"/>
      <c r="J329" s="28"/>
    </row>
    <row r="330" spans="5:10" ht="14.5" x14ac:dyDescent="0.35">
      <c r="E330" s="27"/>
      <c r="F330" s="27"/>
      <c r="G330" s="27"/>
      <c r="H330" s="27"/>
      <c r="I330" s="27"/>
      <c r="J330" s="28"/>
    </row>
    <row r="331" spans="5:10" ht="14.5" x14ac:dyDescent="0.35">
      <c r="E331" s="27"/>
      <c r="F331" s="27"/>
      <c r="G331" s="27"/>
      <c r="H331" s="27"/>
      <c r="I331" s="27"/>
      <c r="J331" s="28"/>
    </row>
    <row r="332" spans="5:10" ht="14.5" x14ac:dyDescent="0.35">
      <c r="E332" s="27"/>
      <c r="F332" s="27"/>
      <c r="G332" s="27"/>
      <c r="H332" s="27"/>
      <c r="I332" s="27"/>
      <c r="J332" s="28"/>
    </row>
    <row r="333" spans="5:10" ht="14.5" x14ac:dyDescent="0.35">
      <c r="E333" s="27"/>
      <c r="F333" s="27"/>
      <c r="G333" s="27"/>
      <c r="H333" s="27"/>
      <c r="I333" s="27"/>
      <c r="J333" s="28"/>
    </row>
    <row r="334" spans="5:10" ht="14.5" x14ac:dyDescent="0.35">
      <c r="E334" s="27"/>
      <c r="F334" s="27"/>
      <c r="G334" s="27"/>
      <c r="H334" s="27"/>
      <c r="I334" s="27"/>
      <c r="J334" s="28"/>
    </row>
    <row r="335" spans="5:10" ht="14.5" x14ac:dyDescent="0.35">
      <c r="E335" s="27"/>
      <c r="F335" s="27"/>
      <c r="G335" s="27"/>
      <c r="H335" s="27"/>
      <c r="I335" s="27"/>
      <c r="J335" s="28"/>
    </row>
    <row r="336" spans="5:10" ht="14.5" x14ac:dyDescent="0.35">
      <c r="E336" s="27"/>
      <c r="F336" s="27"/>
      <c r="G336" s="27"/>
      <c r="H336" s="27"/>
      <c r="I336" s="27"/>
      <c r="J336" s="28"/>
    </row>
    <row r="337" spans="5:10" ht="14.5" x14ac:dyDescent="0.35">
      <c r="E337" s="27"/>
      <c r="F337" s="27"/>
      <c r="G337" s="27"/>
      <c r="H337" s="27"/>
      <c r="I337" s="27"/>
      <c r="J337" s="28"/>
    </row>
    <row r="338" spans="5:10" ht="14.5" x14ac:dyDescent="0.35">
      <c r="E338" s="27"/>
      <c r="F338" s="27"/>
      <c r="G338" s="27"/>
      <c r="H338" s="27"/>
      <c r="I338" s="27"/>
      <c r="J338" s="28"/>
    </row>
    <row r="339" spans="5:10" ht="14.5" x14ac:dyDescent="0.35">
      <c r="E339" s="27"/>
      <c r="F339" s="27"/>
      <c r="G339" s="27"/>
      <c r="H339" s="27"/>
      <c r="I339" s="27"/>
      <c r="J339" s="28"/>
    </row>
    <row r="340" spans="5:10" ht="14.5" x14ac:dyDescent="0.35">
      <c r="E340" s="27"/>
      <c r="F340" s="27"/>
      <c r="G340" s="27"/>
      <c r="H340" s="27"/>
      <c r="I340" s="27"/>
      <c r="J340" s="28"/>
    </row>
    <row r="341" spans="5:10" ht="14.5" x14ac:dyDescent="0.35">
      <c r="E341" s="27"/>
      <c r="F341" s="27"/>
      <c r="G341" s="27"/>
      <c r="H341" s="27"/>
      <c r="I341" s="27"/>
      <c r="J341" s="28"/>
    </row>
    <row r="342" spans="5:10" ht="14.5" x14ac:dyDescent="0.35">
      <c r="E342" s="27"/>
      <c r="F342" s="27"/>
      <c r="G342" s="27"/>
      <c r="H342" s="27"/>
      <c r="I342" s="27"/>
      <c r="J342" s="28"/>
    </row>
    <row r="343" spans="5:10" ht="14.5" x14ac:dyDescent="0.35">
      <c r="E343" s="27"/>
      <c r="F343" s="27"/>
      <c r="G343" s="27"/>
      <c r="H343" s="27"/>
      <c r="I343" s="27"/>
      <c r="J343" s="28"/>
    </row>
    <row r="344" spans="5:10" ht="14.5" x14ac:dyDescent="0.35">
      <c r="E344" s="27"/>
      <c r="F344" s="27"/>
      <c r="G344" s="27"/>
      <c r="H344" s="27"/>
      <c r="I344" s="27"/>
      <c r="J344" s="28"/>
    </row>
    <row r="345" spans="5:10" ht="14.5" x14ac:dyDescent="0.35">
      <c r="E345" s="27"/>
      <c r="F345" s="27"/>
      <c r="G345" s="27"/>
      <c r="H345" s="27"/>
      <c r="I345" s="27"/>
      <c r="J345" s="28"/>
    </row>
    <row r="346" spans="5:10" ht="14.5" x14ac:dyDescent="0.35">
      <c r="E346" s="27"/>
      <c r="F346" s="27"/>
      <c r="G346" s="27"/>
      <c r="H346" s="27"/>
      <c r="I346" s="27"/>
      <c r="J346" s="28"/>
    </row>
    <row r="347" spans="5:10" ht="14.5" x14ac:dyDescent="0.35">
      <c r="E347" s="27"/>
      <c r="F347" s="27"/>
      <c r="G347" s="27"/>
      <c r="H347" s="27"/>
      <c r="I347" s="27"/>
      <c r="J347" s="28"/>
    </row>
    <row r="348" spans="5:10" ht="14.5" x14ac:dyDescent="0.35">
      <c r="E348" s="27"/>
      <c r="F348" s="27"/>
      <c r="G348" s="27"/>
      <c r="H348" s="27"/>
      <c r="I348" s="27"/>
      <c r="J348" s="28"/>
    </row>
    <row r="349" spans="5:10" ht="14.5" x14ac:dyDescent="0.35">
      <c r="E349" s="27"/>
      <c r="F349" s="27"/>
      <c r="G349" s="27"/>
      <c r="H349" s="27"/>
      <c r="I349" s="27"/>
      <c r="J349" s="28"/>
    </row>
    <row r="350" spans="5:10" ht="14.5" x14ac:dyDescent="0.35">
      <c r="E350" s="27"/>
      <c r="F350" s="27"/>
      <c r="G350" s="27"/>
      <c r="H350" s="27"/>
      <c r="I350" s="27"/>
      <c r="J350" s="28"/>
    </row>
    <row r="351" spans="5:10" ht="14.5" x14ac:dyDescent="0.35">
      <c r="E351" s="27"/>
      <c r="F351" s="27"/>
      <c r="G351" s="27"/>
      <c r="H351" s="27"/>
      <c r="I351" s="27"/>
      <c r="J351" s="28"/>
    </row>
    <row r="352" spans="5:10" ht="14.5" x14ac:dyDescent="0.35">
      <c r="E352" s="27"/>
      <c r="F352" s="27"/>
      <c r="G352" s="27"/>
      <c r="H352" s="27"/>
      <c r="I352" s="27"/>
      <c r="J352" s="28"/>
    </row>
    <row r="353" spans="5:10" ht="14.5" x14ac:dyDescent="0.35">
      <c r="E353" s="27"/>
      <c r="F353" s="27"/>
      <c r="G353" s="27"/>
      <c r="H353" s="27"/>
      <c r="I353" s="27"/>
      <c r="J353" s="28"/>
    </row>
    <row r="354" spans="5:10" ht="14.5" x14ac:dyDescent="0.35">
      <c r="E354" s="27"/>
      <c r="F354" s="27"/>
      <c r="G354" s="27"/>
      <c r="H354" s="27"/>
      <c r="I354" s="27"/>
      <c r="J354" s="28"/>
    </row>
    <row r="355" spans="5:10" ht="14.5" x14ac:dyDescent="0.35">
      <c r="E355" s="27"/>
      <c r="F355" s="27"/>
      <c r="G355" s="27"/>
      <c r="H355" s="27"/>
      <c r="I355" s="27"/>
      <c r="J355" s="28"/>
    </row>
    <row r="356" spans="5:10" ht="14.5" x14ac:dyDescent="0.35">
      <c r="E356" s="27"/>
      <c r="F356" s="27"/>
      <c r="G356" s="27"/>
      <c r="H356" s="27"/>
      <c r="I356" s="27"/>
      <c r="J356" s="28"/>
    </row>
    <row r="357" spans="5:10" ht="14.5" x14ac:dyDescent="0.35">
      <c r="E357" s="27"/>
      <c r="F357" s="27"/>
      <c r="G357" s="27"/>
      <c r="H357" s="27"/>
      <c r="I357" s="27"/>
      <c r="J357" s="28"/>
    </row>
    <row r="358" spans="5:10" ht="14.5" x14ac:dyDescent="0.35">
      <c r="E358" s="27"/>
      <c r="F358" s="27"/>
      <c r="G358" s="27"/>
      <c r="H358" s="27"/>
      <c r="I358" s="27"/>
      <c r="J358" s="28"/>
    </row>
    <row r="359" spans="5:10" ht="14.5" x14ac:dyDescent="0.35">
      <c r="E359" s="27"/>
      <c r="F359" s="27"/>
      <c r="G359" s="27"/>
      <c r="H359" s="27"/>
      <c r="I359" s="27"/>
      <c r="J359" s="28"/>
    </row>
    <row r="360" spans="5:10" ht="14.5" x14ac:dyDescent="0.35">
      <c r="E360" s="27"/>
      <c r="F360" s="27"/>
      <c r="G360" s="27"/>
      <c r="H360" s="27"/>
      <c r="I360" s="27"/>
      <c r="J360" s="28"/>
    </row>
    <row r="361" spans="5:10" ht="14.5" x14ac:dyDescent="0.35">
      <c r="E361" s="27"/>
      <c r="F361" s="27"/>
      <c r="G361" s="27"/>
      <c r="H361" s="27"/>
      <c r="I361" s="27"/>
      <c r="J361" s="28"/>
    </row>
    <row r="362" spans="5:10" ht="14.5" x14ac:dyDescent="0.35">
      <c r="E362" s="27"/>
      <c r="F362" s="27"/>
      <c r="G362" s="27"/>
      <c r="H362" s="27"/>
      <c r="I362" s="27"/>
      <c r="J362" s="28"/>
    </row>
    <row r="363" spans="5:10" ht="14.5" x14ac:dyDescent="0.35">
      <c r="E363" s="27"/>
      <c r="F363" s="27"/>
      <c r="G363" s="27"/>
      <c r="H363" s="27"/>
      <c r="I363" s="27"/>
      <c r="J363" s="28"/>
    </row>
    <row r="364" spans="5:10" ht="14.5" x14ac:dyDescent="0.35">
      <c r="E364" s="27"/>
      <c r="F364" s="27"/>
      <c r="G364" s="27"/>
      <c r="H364" s="27"/>
      <c r="I364" s="27"/>
      <c r="J364" s="28"/>
    </row>
    <row r="365" spans="5:10" ht="14.5" x14ac:dyDescent="0.35">
      <c r="E365" s="27"/>
      <c r="F365" s="27"/>
      <c r="G365" s="27"/>
      <c r="H365" s="27"/>
      <c r="I365" s="27"/>
      <c r="J365" s="28"/>
    </row>
    <row r="366" spans="5:10" ht="14.5" x14ac:dyDescent="0.35">
      <c r="E366" s="27"/>
      <c r="F366" s="27"/>
      <c r="G366" s="27"/>
      <c r="H366" s="27"/>
      <c r="I366" s="27"/>
      <c r="J366" s="28"/>
    </row>
    <row r="367" spans="5:10" ht="14.5" x14ac:dyDescent="0.35">
      <c r="E367" s="27"/>
      <c r="F367" s="27"/>
      <c r="G367" s="27"/>
      <c r="H367" s="27"/>
      <c r="I367" s="27"/>
      <c r="J367" s="28"/>
    </row>
    <row r="368" spans="5:10" ht="14.5" x14ac:dyDescent="0.35">
      <c r="E368" s="27"/>
      <c r="F368" s="27"/>
      <c r="G368" s="27"/>
      <c r="H368" s="27"/>
      <c r="I368" s="27"/>
      <c r="J368" s="28"/>
    </row>
    <row r="369" spans="5:10" ht="14.5" x14ac:dyDescent="0.35">
      <c r="E369" s="27"/>
      <c r="F369" s="27"/>
      <c r="G369" s="27"/>
      <c r="H369" s="27"/>
      <c r="I369" s="27"/>
      <c r="J369" s="28"/>
    </row>
    <row r="370" spans="5:10" ht="14.5" x14ac:dyDescent="0.35">
      <c r="E370" s="27"/>
      <c r="F370" s="27"/>
      <c r="G370" s="27"/>
      <c r="H370" s="27"/>
      <c r="I370" s="27"/>
      <c r="J370" s="28"/>
    </row>
    <row r="371" spans="5:10" ht="14.5" x14ac:dyDescent="0.35">
      <c r="E371" s="27"/>
      <c r="F371" s="27"/>
      <c r="G371" s="27"/>
      <c r="H371" s="27"/>
      <c r="I371" s="27"/>
      <c r="J371" s="28"/>
    </row>
    <row r="372" spans="5:10" ht="14.5" x14ac:dyDescent="0.35">
      <c r="E372" s="27"/>
      <c r="F372" s="27"/>
      <c r="G372" s="27"/>
      <c r="H372" s="27"/>
      <c r="I372" s="27"/>
      <c r="J372" s="28"/>
    </row>
    <row r="373" spans="5:10" ht="14.5" x14ac:dyDescent="0.35">
      <c r="E373" s="27"/>
      <c r="F373" s="27"/>
      <c r="G373" s="27"/>
      <c r="H373" s="27"/>
      <c r="I373" s="27"/>
      <c r="J373" s="28"/>
    </row>
    <row r="374" spans="5:10" ht="14.5" x14ac:dyDescent="0.35">
      <c r="E374" s="27"/>
      <c r="F374" s="27"/>
      <c r="G374" s="27"/>
      <c r="H374" s="27"/>
      <c r="I374" s="27"/>
      <c r="J374" s="28"/>
    </row>
    <row r="375" spans="5:10" ht="14.5" x14ac:dyDescent="0.35">
      <c r="E375" s="27"/>
      <c r="F375" s="27"/>
      <c r="G375" s="27"/>
      <c r="H375" s="27"/>
      <c r="I375" s="27"/>
      <c r="J375" s="28"/>
    </row>
    <row r="376" spans="5:10" ht="14.5" x14ac:dyDescent="0.35">
      <c r="E376" s="27"/>
      <c r="F376" s="27"/>
      <c r="G376" s="27"/>
      <c r="H376" s="27"/>
      <c r="I376" s="27"/>
      <c r="J376" s="28"/>
    </row>
    <row r="377" spans="5:10" ht="14.5" x14ac:dyDescent="0.35">
      <c r="E377" s="27"/>
      <c r="F377" s="27"/>
      <c r="G377" s="27"/>
      <c r="H377" s="27"/>
      <c r="I377" s="27"/>
      <c r="J377" s="28"/>
    </row>
    <row r="378" spans="5:10" ht="14.5" x14ac:dyDescent="0.35">
      <c r="E378" s="27"/>
      <c r="F378" s="27"/>
      <c r="G378" s="27"/>
      <c r="H378" s="27"/>
      <c r="I378" s="27"/>
      <c r="J378" s="28"/>
    </row>
    <row r="379" spans="5:10" ht="14.5" x14ac:dyDescent="0.35">
      <c r="E379" s="27"/>
      <c r="F379" s="27"/>
      <c r="G379" s="27"/>
      <c r="H379" s="27"/>
      <c r="I379" s="27"/>
      <c r="J379" s="28"/>
    </row>
    <row r="380" spans="5:10" ht="14.5" x14ac:dyDescent="0.35">
      <c r="E380" s="27"/>
      <c r="F380" s="27"/>
      <c r="G380" s="27"/>
      <c r="H380" s="27"/>
      <c r="I380" s="27"/>
      <c r="J380" s="28"/>
    </row>
    <row r="381" spans="5:10" ht="14.5" x14ac:dyDescent="0.35">
      <c r="E381" s="27"/>
      <c r="F381" s="27"/>
      <c r="G381" s="27"/>
      <c r="H381" s="27"/>
      <c r="I381" s="27"/>
      <c r="J381" s="28"/>
    </row>
    <row r="382" spans="5:10" ht="14.5" x14ac:dyDescent="0.35">
      <c r="E382" s="27"/>
      <c r="F382" s="27"/>
      <c r="G382" s="27"/>
      <c r="H382" s="27"/>
      <c r="I382" s="27"/>
      <c r="J382" s="28"/>
    </row>
    <row r="383" spans="5:10" ht="14.5" x14ac:dyDescent="0.35">
      <c r="E383" s="27"/>
      <c r="F383" s="27"/>
      <c r="G383" s="27"/>
      <c r="H383" s="27"/>
      <c r="I383" s="27"/>
      <c r="J383" s="28"/>
    </row>
    <row r="384" spans="5:10" ht="14.5" x14ac:dyDescent="0.35">
      <c r="E384" s="27"/>
      <c r="F384" s="27"/>
      <c r="G384" s="27"/>
      <c r="H384" s="27"/>
      <c r="I384" s="27"/>
      <c r="J384" s="28"/>
    </row>
    <row r="385" spans="5:10" ht="14.5" x14ac:dyDescent="0.35">
      <c r="E385" s="27"/>
      <c r="F385" s="27"/>
      <c r="G385" s="27"/>
      <c r="H385" s="27"/>
      <c r="I385" s="27"/>
      <c r="J385" s="28"/>
    </row>
    <row r="386" spans="5:10" ht="14.5" x14ac:dyDescent="0.35">
      <c r="E386" s="27"/>
      <c r="F386" s="27"/>
      <c r="G386" s="27"/>
      <c r="H386" s="27"/>
      <c r="I386" s="27"/>
      <c r="J386" s="28"/>
    </row>
    <row r="387" spans="5:10" ht="14.5" x14ac:dyDescent="0.35">
      <c r="E387" s="27"/>
      <c r="F387" s="27"/>
      <c r="G387" s="27"/>
      <c r="H387" s="27"/>
      <c r="I387" s="27"/>
      <c r="J387" s="28"/>
    </row>
    <row r="388" spans="5:10" ht="14.5" x14ac:dyDescent="0.35">
      <c r="E388" s="27"/>
      <c r="F388" s="27"/>
      <c r="G388" s="27"/>
      <c r="H388" s="27"/>
      <c r="I388" s="27"/>
      <c r="J388" s="28"/>
    </row>
    <row r="389" spans="5:10" ht="14.5" x14ac:dyDescent="0.35">
      <c r="E389" s="27"/>
      <c r="F389" s="27"/>
      <c r="G389" s="27"/>
      <c r="H389" s="27"/>
      <c r="I389" s="27"/>
      <c r="J389" s="28"/>
    </row>
    <row r="390" spans="5:10" ht="14.5" x14ac:dyDescent="0.35">
      <c r="E390" s="27"/>
      <c r="F390" s="27"/>
      <c r="G390" s="27"/>
      <c r="H390" s="27"/>
      <c r="I390" s="27"/>
      <c r="J390" s="28"/>
    </row>
    <row r="391" spans="5:10" ht="14.5" x14ac:dyDescent="0.35">
      <c r="E391" s="27"/>
      <c r="F391" s="27"/>
      <c r="G391" s="27"/>
      <c r="H391" s="27"/>
      <c r="I391" s="27"/>
      <c r="J391" s="28"/>
    </row>
    <row r="392" spans="5:10" ht="14.5" x14ac:dyDescent="0.35">
      <c r="E392" s="27"/>
      <c r="F392" s="27"/>
      <c r="G392" s="27"/>
      <c r="H392" s="27"/>
      <c r="I392" s="27"/>
      <c r="J392" s="28"/>
    </row>
    <row r="393" spans="5:10" ht="14.5" x14ac:dyDescent="0.35">
      <c r="E393" s="27"/>
      <c r="F393" s="27"/>
      <c r="G393" s="27"/>
      <c r="H393" s="27"/>
      <c r="I393" s="27"/>
      <c r="J393" s="28"/>
    </row>
    <row r="394" spans="5:10" ht="14.5" x14ac:dyDescent="0.35">
      <c r="E394" s="27"/>
      <c r="F394" s="27"/>
      <c r="G394" s="27"/>
      <c r="H394" s="27"/>
      <c r="I394" s="27"/>
      <c r="J394" s="28"/>
    </row>
    <row r="395" spans="5:10" ht="14.5" x14ac:dyDescent="0.35">
      <c r="E395" s="27"/>
      <c r="F395" s="27"/>
      <c r="G395" s="27"/>
      <c r="H395" s="27"/>
      <c r="I395" s="27"/>
      <c r="J395" s="28"/>
    </row>
    <row r="396" spans="5:10" ht="14.5" x14ac:dyDescent="0.35">
      <c r="E396" s="27"/>
      <c r="F396" s="27"/>
      <c r="G396" s="27"/>
      <c r="H396" s="27"/>
      <c r="I396" s="27"/>
      <c r="J396" s="28"/>
    </row>
    <row r="397" spans="5:10" ht="14.5" x14ac:dyDescent="0.35">
      <c r="E397" s="27"/>
      <c r="F397" s="27"/>
      <c r="G397" s="27"/>
      <c r="H397" s="27"/>
      <c r="I397" s="27"/>
      <c r="J397" s="28"/>
    </row>
    <row r="398" spans="5:10" ht="14.5" x14ac:dyDescent="0.35">
      <c r="E398" s="27"/>
      <c r="F398" s="27"/>
      <c r="G398" s="27"/>
      <c r="H398" s="27"/>
      <c r="I398" s="27"/>
      <c r="J398" s="28"/>
    </row>
    <row r="399" spans="5:10" ht="14.5" x14ac:dyDescent="0.35">
      <c r="E399" s="27"/>
      <c r="F399" s="27"/>
      <c r="G399" s="27"/>
      <c r="H399" s="27"/>
      <c r="I399" s="27"/>
      <c r="J399" s="28"/>
    </row>
    <row r="400" spans="5:10" ht="14.5" x14ac:dyDescent="0.35">
      <c r="E400" s="27"/>
      <c r="F400" s="27"/>
      <c r="G400" s="27"/>
      <c r="H400" s="27"/>
      <c r="I400" s="27"/>
      <c r="J400" s="28"/>
    </row>
    <row r="401" spans="5:10" ht="14.5" x14ac:dyDescent="0.35">
      <c r="E401" s="27"/>
      <c r="F401" s="27"/>
      <c r="G401" s="27"/>
      <c r="H401" s="27"/>
      <c r="I401" s="27"/>
      <c r="J401" s="28"/>
    </row>
    <row r="402" spans="5:10" ht="14.5" x14ac:dyDescent="0.35">
      <c r="E402" s="27"/>
      <c r="F402" s="27"/>
      <c r="G402" s="27"/>
      <c r="H402" s="27"/>
      <c r="I402" s="27"/>
      <c r="J402" s="28"/>
    </row>
    <row r="403" spans="5:10" ht="14.5" x14ac:dyDescent="0.35">
      <c r="E403" s="27"/>
      <c r="F403" s="27"/>
      <c r="G403" s="27"/>
      <c r="H403" s="27"/>
      <c r="I403" s="27"/>
      <c r="J403" s="28"/>
    </row>
    <row r="404" spans="5:10" ht="14.5" x14ac:dyDescent="0.35">
      <c r="E404" s="27"/>
      <c r="F404" s="27"/>
      <c r="G404" s="27"/>
      <c r="H404" s="27"/>
      <c r="I404" s="27"/>
      <c r="J404" s="28"/>
    </row>
    <row r="405" spans="5:10" ht="14.5" x14ac:dyDescent="0.35">
      <c r="E405" s="27"/>
      <c r="F405" s="27"/>
      <c r="G405" s="27"/>
      <c r="H405" s="27"/>
      <c r="I405" s="27"/>
      <c r="J405" s="28"/>
    </row>
    <row r="406" spans="5:10" ht="14.5" x14ac:dyDescent="0.35">
      <c r="E406" s="27"/>
      <c r="F406" s="27"/>
      <c r="G406" s="27"/>
      <c r="H406" s="27"/>
      <c r="I406" s="27"/>
      <c r="J406" s="28"/>
    </row>
    <row r="407" spans="5:10" ht="14.5" x14ac:dyDescent="0.35">
      <c r="E407" s="27"/>
      <c r="F407" s="27"/>
      <c r="G407" s="27"/>
      <c r="H407" s="27"/>
      <c r="I407" s="27"/>
      <c r="J407" s="28"/>
    </row>
    <row r="408" spans="5:10" ht="14.5" x14ac:dyDescent="0.35">
      <c r="E408" s="27"/>
      <c r="F408" s="27"/>
      <c r="G408" s="27"/>
      <c r="H408" s="27"/>
      <c r="I408" s="27"/>
      <c r="J408" s="28"/>
    </row>
    <row r="409" spans="5:10" ht="14.5" x14ac:dyDescent="0.35">
      <c r="E409" s="27"/>
      <c r="F409" s="27"/>
      <c r="G409" s="27"/>
      <c r="H409" s="27"/>
      <c r="I409" s="27"/>
      <c r="J409" s="28"/>
    </row>
    <row r="410" spans="5:10" ht="14.5" x14ac:dyDescent="0.35">
      <c r="E410" s="27"/>
      <c r="F410" s="27"/>
      <c r="G410" s="27"/>
      <c r="H410" s="27"/>
      <c r="I410" s="27"/>
      <c r="J410" s="28"/>
    </row>
    <row r="411" spans="5:10" ht="14.5" x14ac:dyDescent="0.35">
      <c r="E411" s="27"/>
      <c r="F411" s="27"/>
      <c r="G411" s="27"/>
      <c r="H411" s="27"/>
      <c r="I411" s="27"/>
      <c r="J411" s="28"/>
    </row>
    <row r="412" spans="5:10" ht="14.5" x14ac:dyDescent="0.35">
      <c r="E412" s="27"/>
      <c r="F412" s="27"/>
      <c r="G412" s="27"/>
      <c r="H412" s="27"/>
      <c r="I412" s="27"/>
      <c r="J412" s="28"/>
    </row>
    <row r="413" spans="5:10" ht="14.5" x14ac:dyDescent="0.35">
      <c r="E413" s="27"/>
      <c r="F413" s="27"/>
      <c r="G413" s="27"/>
      <c r="H413" s="27"/>
      <c r="I413" s="27"/>
      <c r="J413" s="28"/>
    </row>
    <row r="414" spans="5:10" ht="14.5" x14ac:dyDescent="0.35">
      <c r="E414" s="27"/>
      <c r="F414" s="27"/>
      <c r="G414" s="27"/>
      <c r="H414" s="27"/>
      <c r="I414" s="27"/>
      <c r="J414" s="28"/>
    </row>
    <row r="415" spans="5:10" ht="14.5" x14ac:dyDescent="0.35">
      <c r="E415" s="27"/>
      <c r="F415" s="27"/>
      <c r="G415" s="27"/>
      <c r="H415" s="27"/>
      <c r="I415" s="27"/>
      <c r="J415" s="28"/>
    </row>
    <row r="416" spans="5:10" ht="14.5" x14ac:dyDescent="0.35">
      <c r="E416" s="27"/>
      <c r="F416" s="27"/>
      <c r="G416" s="27"/>
      <c r="H416" s="27"/>
      <c r="I416" s="27"/>
      <c r="J416" s="28"/>
    </row>
    <row r="417" spans="5:10" ht="14.5" x14ac:dyDescent="0.35">
      <c r="E417" s="27"/>
      <c r="F417" s="27"/>
      <c r="G417" s="27"/>
      <c r="H417" s="27"/>
      <c r="I417" s="27"/>
      <c r="J417" s="28"/>
    </row>
    <row r="418" spans="5:10" ht="14.5" x14ac:dyDescent="0.35">
      <c r="E418" s="27"/>
      <c r="F418" s="27"/>
      <c r="G418" s="27"/>
      <c r="H418" s="27"/>
      <c r="I418" s="27"/>
      <c r="J418" s="28"/>
    </row>
    <row r="419" spans="5:10" ht="14.5" x14ac:dyDescent="0.35">
      <c r="E419" s="27"/>
      <c r="F419" s="27"/>
      <c r="G419" s="27"/>
      <c r="H419" s="27"/>
      <c r="I419" s="27"/>
      <c r="J419" s="28"/>
    </row>
    <row r="420" spans="5:10" ht="14.5" x14ac:dyDescent="0.35">
      <c r="E420" s="27"/>
      <c r="F420" s="27"/>
      <c r="G420" s="27"/>
      <c r="H420" s="27"/>
      <c r="I420" s="27"/>
      <c r="J420" s="28"/>
    </row>
    <row r="421" spans="5:10" ht="14.5" x14ac:dyDescent="0.35">
      <c r="E421" s="27"/>
      <c r="F421" s="27"/>
      <c r="G421" s="27"/>
      <c r="H421" s="27"/>
      <c r="I421" s="27"/>
      <c r="J421" s="28"/>
    </row>
    <row r="422" spans="5:10" ht="14.5" x14ac:dyDescent="0.35">
      <c r="E422" s="27"/>
      <c r="F422" s="27"/>
      <c r="G422" s="27"/>
      <c r="H422" s="27"/>
      <c r="I422" s="27"/>
      <c r="J422" s="28"/>
    </row>
    <row r="423" spans="5:10" ht="14.5" x14ac:dyDescent="0.35">
      <c r="E423" s="27"/>
      <c r="F423" s="27"/>
      <c r="G423" s="27"/>
      <c r="H423" s="27"/>
      <c r="I423" s="27"/>
      <c r="J423" s="28"/>
    </row>
    <row r="424" spans="5:10" ht="14.5" x14ac:dyDescent="0.35">
      <c r="E424" s="27"/>
      <c r="F424" s="27"/>
      <c r="G424" s="27"/>
      <c r="H424" s="27"/>
      <c r="I424" s="27"/>
      <c r="J424" s="28"/>
    </row>
    <row r="425" spans="5:10" ht="14.5" x14ac:dyDescent="0.35">
      <c r="E425" s="27"/>
      <c r="F425" s="27"/>
      <c r="G425" s="27"/>
      <c r="H425" s="27"/>
      <c r="I425" s="27"/>
      <c r="J425" s="28"/>
    </row>
    <row r="426" spans="5:10" ht="14.5" x14ac:dyDescent="0.35">
      <c r="E426" s="27"/>
      <c r="F426" s="27"/>
      <c r="G426" s="27"/>
      <c r="H426" s="27"/>
      <c r="I426" s="27"/>
      <c r="J426" s="28"/>
    </row>
    <row r="427" spans="5:10" ht="14.5" x14ac:dyDescent="0.35">
      <c r="E427" s="27"/>
      <c r="F427" s="27"/>
      <c r="G427" s="27"/>
      <c r="H427" s="27"/>
      <c r="I427" s="27"/>
      <c r="J427" s="28"/>
    </row>
    <row r="428" spans="5:10" ht="14.5" x14ac:dyDescent="0.35">
      <c r="E428" s="27"/>
      <c r="F428" s="27"/>
      <c r="G428" s="27"/>
      <c r="H428" s="27"/>
      <c r="I428" s="27"/>
      <c r="J428" s="28"/>
    </row>
    <row r="429" spans="5:10" ht="14.5" x14ac:dyDescent="0.35">
      <c r="E429" s="27"/>
      <c r="F429" s="27"/>
      <c r="G429" s="27"/>
      <c r="H429" s="27"/>
      <c r="I429" s="27"/>
      <c r="J429" s="28"/>
    </row>
    <row r="430" spans="5:10" ht="14.5" x14ac:dyDescent="0.35">
      <c r="E430" s="27"/>
      <c r="F430" s="27"/>
      <c r="G430" s="27"/>
      <c r="H430" s="27"/>
      <c r="I430" s="27"/>
      <c r="J430" s="28"/>
    </row>
    <row r="431" spans="5:10" ht="14.5" x14ac:dyDescent="0.35">
      <c r="E431" s="27"/>
      <c r="F431" s="27"/>
      <c r="G431" s="27"/>
      <c r="H431" s="27"/>
      <c r="I431" s="27"/>
      <c r="J431" s="28"/>
    </row>
    <row r="432" spans="5:10" ht="14.5" x14ac:dyDescent="0.35">
      <c r="E432" s="27"/>
      <c r="F432" s="27"/>
      <c r="G432" s="27"/>
      <c r="H432" s="27"/>
      <c r="I432" s="27"/>
      <c r="J432" s="28"/>
    </row>
    <row r="433" spans="5:10" ht="14.5" x14ac:dyDescent="0.35">
      <c r="E433" s="27"/>
      <c r="F433" s="27"/>
      <c r="G433" s="27"/>
      <c r="H433" s="27"/>
      <c r="I433" s="27"/>
      <c r="J433" s="28"/>
    </row>
    <row r="434" spans="5:10" ht="14.5" x14ac:dyDescent="0.35">
      <c r="E434" s="27"/>
      <c r="F434" s="27"/>
      <c r="G434" s="27"/>
      <c r="H434" s="27"/>
      <c r="I434" s="27"/>
      <c r="J434" s="28"/>
    </row>
    <row r="435" spans="5:10" ht="14.5" x14ac:dyDescent="0.35">
      <c r="E435" s="27"/>
      <c r="F435" s="27"/>
      <c r="G435" s="27"/>
      <c r="H435" s="27"/>
      <c r="I435" s="27"/>
      <c r="J435" s="28"/>
    </row>
    <row r="436" spans="5:10" ht="14.5" x14ac:dyDescent="0.35">
      <c r="E436" s="27"/>
      <c r="F436" s="27"/>
      <c r="G436" s="27"/>
      <c r="H436" s="27"/>
      <c r="I436" s="27"/>
      <c r="J436" s="28"/>
    </row>
    <row r="437" spans="5:10" ht="14.5" x14ac:dyDescent="0.35">
      <c r="E437" s="27"/>
      <c r="F437" s="27"/>
      <c r="G437" s="27"/>
      <c r="H437" s="27"/>
      <c r="I437" s="27"/>
      <c r="J437" s="28"/>
    </row>
    <row r="438" spans="5:10" ht="14.5" x14ac:dyDescent="0.35">
      <c r="E438" s="27"/>
      <c r="F438" s="27"/>
      <c r="G438" s="27"/>
      <c r="H438" s="27"/>
      <c r="I438" s="27"/>
      <c r="J438" s="28"/>
    </row>
    <row r="439" spans="5:10" ht="14.5" x14ac:dyDescent="0.35">
      <c r="E439" s="27"/>
      <c r="F439" s="27"/>
      <c r="G439" s="27"/>
      <c r="H439" s="27"/>
      <c r="I439" s="27"/>
      <c r="J439" s="28"/>
    </row>
    <row r="440" spans="5:10" ht="14.5" x14ac:dyDescent="0.35">
      <c r="E440" s="27"/>
      <c r="F440" s="27"/>
      <c r="G440" s="27"/>
      <c r="H440" s="27"/>
      <c r="I440" s="27"/>
      <c r="J440" s="28"/>
    </row>
    <row r="441" spans="5:10" ht="14.5" x14ac:dyDescent="0.35">
      <c r="E441" s="27"/>
      <c r="F441" s="27"/>
      <c r="G441" s="27"/>
      <c r="H441" s="27"/>
      <c r="I441" s="27"/>
      <c r="J441" s="28"/>
    </row>
    <row r="442" spans="5:10" ht="14.5" x14ac:dyDescent="0.35">
      <c r="E442" s="27"/>
      <c r="F442" s="27"/>
      <c r="G442" s="27"/>
      <c r="H442" s="27"/>
      <c r="I442" s="27"/>
      <c r="J442" s="28"/>
    </row>
    <row r="443" spans="5:10" ht="14.5" x14ac:dyDescent="0.35">
      <c r="E443" s="27"/>
      <c r="F443" s="27"/>
      <c r="G443" s="27"/>
      <c r="H443" s="27"/>
      <c r="I443" s="27"/>
      <c r="J443" s="28"/>
    </row>
    <row r="444" spans="5:10" ht="14.5" x14ac:dyDescent="0.35">
      <c r="E444" s="27"/>
      <c r="F444" s="27"/>
      <c r="G444" s="27"/>
      <c r="H444" s="27"/>
      <c r="I444" s="27"/>
      <c r="J444" s="28"/>
    </row>
    <row r="445" spans="5:10" ht="14.5" x14ac:dyDescent="0.35">
      <c r="E445" s="27"/>
      <c r="F445" s="27"/>
      <c r="G445" s="27"/>
      <c r="H445" s="27"/>
      <c r="I445" s="27"/>
      <c r="J445" s="28"/>
    </row>
    <row r="446" spans="5:10" ht="14.5" x14ac:dyDescent="0.35">
      <c r="E446" s="27"/>
      <c r="F446" s="27"/>
      <c r="G446" s="27"/>
      <c r="H446" s="27"/>
      <c r="I446" s="27"/>
      <c r="J446" s="28"/>
    </row>
    <row r="447" spans="5:10" ht="14.5" x14ac:dyDescent="0.35">
      <c r="E447" s="27"/>
      <c r="F447" s="27"/>
      <c r="G447" s="27"/>
      <c r="H447" s="27"/>
      <c r="I447" s="27"/>
      <c r="J447" s="28"/>
    </row>
    <row r="448" spans="5:10" ht="14.5" x14ac:dyDescent="0.35">
      <c r="E448" s="27"/>
      <c r="F448" s="27"/>
      <c r="G448" s="27"/>
      <c r="H448" s="27"/>
      <c r="I448" s="27"/>
      <c r="J448" s="28"/>
    </row>
    <row r="449" spans="5:10" ht="14.5" x14ac:dyDescent="0.35">
      <c r="E449" s="27"/>
      <c r="F449" s="27"/>
      <c r="G449" s="27"/>
      <c r="H449" s="27"/>
      <c r="I449" s="27"/>
      <c r="J449" s="28"/>
    </row>
    <row r="450" spans="5:10" ht="14.5" x14ac:dyDescent="0.35">
      <c r="E450" s="27"/>
      <c r="F450" s="27"/>
      <c r="G450" s="27"/>
      <c r="H450" s="27"/>
      <c r="I450" s="27"/>
      <c r="J450" s="28"/>
    </row>
    <row r="451" spans="5:10" ht="14.5" x14ac:dyDescent="0.35">
      <c r="E451" s="27"/>
      <c r="F451" s="27"/>
      <c r="G451" s="27"/>
      <c r="H451" s="27"/>
      <c r="I451" s="27"/>
      <c r="J451" s="28"/>
    </row>
    <row r="452" spans="5:10" ht="14.5" x14ac:dyDescent="0.35">
      <c r="E452" s="27"/>
      <c r="F452" s="27"/>
      <c r="G452" s="27"/>
      <c r="H452" s="27"/>
      <c r="I452" s="27"/>
      <c r="J452" s="28"/>
    </row>
    <row r="453" spans="5:10" ht="14.5" x14ac:dyDescent="0.35">
      <c r="E453" s="27"/>
      <c r="F453" s="27"/>
      <c r="G453" s="27"/>
      <c r="H453" s="27"/>
      <c r="I453" s="27"/>
      <c r="J453" s="28"/>
    </row>
    <row r="454" spans="5:10" ht="14.5" x14ac:dyDescent="0.35">
      <c r="E454" s="27"/>
      <c r="F454" s="27"/>
      <c r="G454" s="27"/>
      <c r="H454" s="27"/>
      <c r="I454" s="27"/>
      <c r="J454" s="28"/>
    </row>
    <row r="455" spans="5:10" ht="14.5" x14ac:dyDescent="0.35">
      <c r="E455" s="27"/>
      <c r="F455" s="27"/>
      <c r="G455" s="27"/>
      <c r="H455" s="27"/>
      <c r="I455" s="27"/>
      <c r="J455" s="28"/>
    </row>
    <row r="456" spans="5:10" ht="14.5" x14ac:dyDescent="0.35">
      <c r="E456" s="27"/>
      <c r="F456" s="27"/>
      <c r="G456" s="27"/>
      <c r="H456" s="27"/>
      <c r="I456" s="27"/>
      <c r="J456" s="28"/>
    </row>
    <row r="457" spans="5:10" ht="14.5" x14ac:dyDescent="0.35">
      <c r="E457" s="27"/>
      <c r="F457" s="27"/>
      <c r="G457" s="27"/>
      <c r="H457" s="27"/>
      <c r="I457" s="27"/>
      <c r="J457" s="28"/>
    </row>
    <row r="458" spans="5:10" ht="14.5" x14ac:dyDescent="0.35">
      <c r="E458" s="27"/>
      <c r="F458" s="27"/>
      <c r="G458" s="27"/>
      <c r="H458" s="27"/>
      <c r="I458" s="27"/>
      <c r="J458" s="28"/>
    </row>
    <row r="459" spans="5:10" ht="14.5" x14ac:dyDescent="0.35">
      <c r="E459" s="27"/>
      <c r="F459" s="27"/>
      <c r="G459" s="27"/>
      <c r="H459" s="27"/>
      <c r="I459" s="27"/>
      <c r="J459" s="28"/>
    </row>
    <row r="460" spans="5:10" ht="14.5" x14ac:dyDescent="0.35">
      <c r="E460" s="27"/>
      <c r="F460" s="27"/>
      <c r="G460" s="27"/>
      <c r="H460" s="27"/>
      <c r="I460" s="27"/>
      <c r="J460" s="28"/>
    </row>
    <row r="461" spans="5:10" ht="14.5" x14ac:dyDescent="0.35">
      <c r="E461" s="27"/>
      <c r="F461" s="27"/>
      <c r="G461" s="27"/>
      <c r="H461" s="27"/>
      <c r="I461" s="27"/>
      <c r="J461" s="28"/>
    </row>
    <row r="462" spans="5:10" ht="14.5" x14ac:dyDescent="0.35">
      <c r="E462" s="27"/>
      <c r="F462" s="27"/>
      <c r="G462" s="27"/>
      <c r="H462" s="27"/>
      <c r="I462" s="27"/>
      <c r="J462" s="28"/>
    </row>
    <row r="463" spans="5:10" ht="14.5" x14ac:dyDescent="0.35">
      <c r="E463" s="27"/>
      <c r="F463" s="27"/>
      <c r="G463" s="27"/>
      <c r="H463" s="27"/>
      <c r="I463" s="27"/>
      <c r="J463" s="28"/>
    </row>
    <row r="464" spans="5:10" ht="14.5" x14ac:dyDescent="0.35">
      <c r="E464" s="27"/>
      <c r="F464" s="27"/>
      <c r="G464" s="27"/>
      <c r="H464" s="27"/>
      <c r="I464" s="27"/>
      <c r="J464" s="28"/>
    </row>
    <row r="465" spans="5:10" ht="14.5" x14ac:dyDescent="0.35">
      <c r="E465" s="27"/>
      <c r="F465" s="27"/>
      <c r="G465" s="27"/>
      <c r="H465" s="27"/>
      <c r="I465" s="27"/>
      <c r="J465" s="28"/>
    </row>
    <row r="466" spans="5:10" ht="14.5" x14ac:dyDescent="0.35">
      <c r="E466" s="27"/>
      <c r="F466" s="27"/>
      <c r="G466" s="27"/>
      <c r="H466" s="27"/>
      <c r="I466" s="27"/>
      <c r="J466" s="28"/>
    </row>
    <row r="467" spans="5:10" ht="14.5" x14ac:dyDescent="0.35">
      <c r="E467" s="27"/>
      <c r="F467" s="27"/>
      <c r="G467" s="27"/>
      <c r="H467" s="27"/>
      <c r="I467" s="27"/>
      <c r="J467" s="28"/>
    </row>
    <row r="468" spans="5:10" ht="14.5" x14ac:dyDescent="0.35">
      <c r="E468" s="27"/>
      <c r="F468" s="27"/>
      <c r="G468" s="27"/>
      <c r="H468" s="27"/>
      <c r="I468" s="27"/>
      <c r="J468" s="28"/>
    </row>
    <row r="469" spans="5:10" ht="14.5" x14ac:dyDescent="0.35">
      <c r="E469" s="27"/>
      <c r="F469" s="27"/>
      <c r="G469" s="27"/>
      <c r="H469" s="27"/>
      <c r="I469" s="27"/>
      <c r="J469" s="28"/>
    </row>
    <row r="470" spans="5:10" ht="14.5" x14ac:dyDescent="0.35">
      <c r="E470" s="27"/>
      <c r="F470" s="27"/>
      <c r="G470" s="27"/>
      <c r="H470" s="27"/>
      <c r="I470" s="27"/>
      <c r="J470" s="28"/>
    </row>
    <row r="471" spans="5:10" ht="14.5" x14ac:dyDescent="0.35">
      <c r="E471" s="27"/>
      <c r="F471" s="27"/>
      <c r="G471" s="27"/>
      <c r="H471" s="27"/>
      <c r="I471" s="27"/>
      <c r="J471" s="28"/>
    </row>
    <row r="472" spans="5:10" ht="14.5" x14ac:dyDescent="0.35">
      <c r="E472" s="27"/>
      <c r="F472" s="27"/>
      <c r="G472" s="27"/>
      <c r="H472" s="27"/>
      <c r="I472" s="27"/>
      <c r="J472" s="28"/>
    </row>
    <row r="473" spans="5:10" ht="14.5" x14ac:dyDescent="0.35">
      <c r="E473" s="27"/>
      <c r="F473" s="27"/>
      <c r="G473" s="27"/>
      <c r="H473" s="27"/>
      <c r="I473" s="27"/>
      <c r="J473" s="28"/>
    </row>
    <row r="474" spans="5:10" ht="14.5" x14ac:dyDescent="0.35">
      <c r="E474" s="27"/>
      <c r="F474" s="27"/>
      <c r="G474" s="27"/>
      <c r="H474" s="27"/>
      <c r="I474" s="27"/>
      <c r="J474" s="28"/>
    </row>
    <row r="475" spans="5:10" ht="14.5" x14ac:dyDescent="0.35">
      <c r="E475" s="27"/>
      <c r="F475" s="27"/>
      <c r="G475" s="27"/>
      <c r="H475" s="27"/>
      <c r="I475" s="27"/>
      <c r="J475" s="28"/>
    </row>
    <row r="476" spans="5:10" ht="14.5" x14ac:dyDescent="0.35">
      <c r="E476" s="27"/>
      <c r="F476" s="27"/>
      <c r="G476" s="27"/>
      <c r="H476" s="27"/>
      <c r="I476" s="27"/>
      <c r="J476" s="28"/>
    </row>
    <row r="477" spans="5:10" ht="14.5" x14ac:dyDescent="0.35">
      <c r="E477" s="27"/>
      <c r="F477" s="27"/>
      <c r="G477" s="27"/>
      <c r="H477" s="27"/>
      <c r="I477" s="27"/>
      <c r="J477" s="28"/>
    </row>
    <row r="478" spans="5:10" ht="14.5" x14ac:dyDescent="0.35">
      <c r="E478" s="27"/>
      <c r="F478" s="27"/>
      <c r="G478" s="27"/>
      <c r="H478" s="27"/>
      <c r="I478" s="27"/>
      <c r="J478" s="28"/>
    </row>
    <row r="479" spans="5:10" ht="14.5" x14ac:dyDescent="0.35">
      <c r="E479" s="27"/>
      <c r="F479" s="27"/>
      <c r="G479" s="27"/>
      <c r="H479" s="27"/>
      <c r="I479" s="27"/>
      <c r="J479" s="28"/>
    </row>
    <row r="480" spans="5:10" ht="14.5" x14ac:dyDescent="0.35">
      <c r="E480" s="27"/>
      <c r="F480" s="27"/>
      <c r="G480" s="27"/>
      <c r="H480" s="27"/>
      <c r="I480" s="27"/>
      <c r="J480" s="28"/>
    </row>
    <row r="481" spans="5:10" ht="14.5" x14ac:dyDescent="0.35">
      <c r="E481" s="27"/>
      <c r="F481" s="27"/>
      <c r="G481" s="27"/>
      <c r="H481" s="27"/>
      <c r="I481" s="27"/>
      <c r="J481" s="28"/>
    </row>
    <row r="482" spans="5:10" ht="14.5" x14ac:dyDescent="0.35">
      <c r="E482" s="27"/>
      <c r="F482" s="27"/>
      <c r="G482" s="27"/>
      <c r="H482" s="27"/>
      <c r="I482" s="27"/>
      <c r="J482" s="28"/>
    </row>
    <row r="483" spans="5:10" ht="14.5" x14ac:dyDescent="0.35">
      <c r="E483" s="27"/>
      <c r="F483" s="27"/>
      <c r="G483" s="27"/>
      <c r="H483" s="27"/>
      <c r="I483" s="27"/>
      <c r="J483" s="28"/>
    </row>
    <row r="484" spans="5:10" ht="14.5" x14ac:dyDescent="0.35">
      <c r="E484" s="27"/>
      <c r="F484" s="27"/>
      <c r="G484" s="27"/>
      <c r="H484" s="27"/>
      <c r="I484" s="27"/>
      <c r="J484" s="28"/>
    </row>
    <row r="485" spans="5:10" ht="14.5" x14ac:dyDescent="0.35">
      <c r="E485" s="27"/>
      <c r="F485" s="27"/>
      <c r="G485" s="27"/>
      <c r="H485" s="27"/>
      <c r="I485" s="27"/>
      <c r="J485" s="28"/>
    </row>
    <row r="486" spans="5:10" ht="14.5" x14ac:dyDescent="0.35">
      <c r="E486" s="27"/>
      <c r="F486" s="27"/>
      <c r="G486" s="27"/>
      <c r="H486" s="27"/>
      <c r="I486" s="27"/>
      <c r="J486" s="28"/>
    </row>
    <row r="487" spans="5:10" ht="14.5" x14ac:dyDescent="0.35">
      <c r="E487" s="27"/>
      <c r="F487" s="27"/>
      <c r="G487" s="27"/>
      <c r="H487" s="27"/>
      <c r="I487" s="27"/>
      <c r="J487" s="28"/>
    </row>
    <row r="488" spans="5:10" ht="14.5" x14ac:dyDescent="0.35">
      <c r="E488" s="27"/>
      <c r="F488" s="27"/>
      <c r="G488" s="27"/>
      <c r="H488" s="27"/>
      <c r="I488" s="27"/>
      <c r="J488" s="28"/>
    </row>
    <row r="489" spans="5:10" ht="14.5" x14ac:dyDescent="0.35">
      <c r="E489" s="27"/>
      <c r="F489" s="27"/>
      <c r="G489" s="27"/>
      <c r="H489" s="27"/>
      <c r="I489" s="27"/>
      <c r="J489" s="28"/>
    </row>
    <row r="490" spans="5:10" ht="14.5" x14ac:dyDescent="0.35">
      <c r="E490" s="27"/>
      <c r="F490" s="27"/>
      <c r="G490" s="27"/>
      <c r="H490" s="27"/>
      <c r="I490" s="27"/>
      <c r="J490" s="28"/>
    </row>
    <row r="491" spans="5:10" ht="14.5" x14ac:dyDescent="0.35">
      <c r="E491" s="27"/>
      <c r="F491" s="27"/>
      <c r="G491" s="27"/>
      <c r="H491" s="27"/>
      <c r="I491" s="27"/>
      <c r="J491" s="28"/>
    </row>
    <row r="492" spans="5:10" ht="14.5" x14ac:dyDescent="0.35">
      <c r="E492" s="27"/>
      <c r="F492" s="27"/>
      <c r="G492" s="27"/>
      <c r="H492" s="27"/>
      <c r="I492" s="27"/>
      <c r="J492" s="28"/>
    </row>
    <row r="493" spans="5:10" ht="14.5" x14ac:dyDescent="0.35">
      <c r="E493" s="27"/>
      <c r="F493" s="27"/>
      <c r="G493" s="27"/>
      <c r="H493" s="27"/>
      <c r="I493" s="27"/>
      <c r="J493" s="28"/>
    </row>
    <row r="494" spans="5:10" ht="14.5" x14ac:dyDescent="0.35">
      <c r="E494" s="27"/>
      <c r="F494" s="27"/>
      <c r="G494" s="27"/>
      <c r="H494" s="27"/>
      <c r="I494" s="27"/>
      <c r="J494" s="28"/>
    </row>
    <row r="495" spans="5:10" ht="14.5" x14ac:dyDescent="0.35">
      <c r="E495" s="27"/>
      <c r="F495" s="27"/>
      <c r="G495" s="27"/>
      <c r="H495" s="27"/>
      <c r="I495" s="27"/>
      <c r="J495" s="28"/>
    </row>
    <row r="496" spans="5:10" ht="14.5" x14ac:dyDescent="0.35">
      <c r="E496" s="27"/>
      <c r="F496" s="27"/>
      <c r="G496" s="27"/>
      <c r="H496" s="27"/>
      <c r="I496" s="27"/>
      <c r="J496" s="28"/>
    </row>
    <row r="497" spans="5:10" ht="14.5" x14ac:dyDescent="0.35">
      <c r="E497" s="27"/>
      <c r="F497" s="27"/>
      <c r="G497" s="27"/>
      <c r="H497" s="27"/>
      <c r="I497" s="27"/>
      <c r="J497" s="28"/>
    </row>
    <row r="498" spans="5:10" ht="14.5" x14ac:dyDescent="0.35">
      <c r="E498" s="27"/>
      <c r="F498" s="27"/>
      <c r="G498" s="27"/>
      <c r="H498" s="27"/>
      <c r="I498" s="27"/>
      <c r="J498" s="28"/>
    </row>
    <row r="499" spans="5:10" ht="14.5" x14ac:dyDescent="0.35">
      <c r="E499" s="27"/>
      <c r="F499" s="27"/>
      <c r="G499" s="27"/>
      <c r="H499" s="27"/>
      <c r="I499" s="27"/>
      <c r="J499" s="28"/>
    </row>
    <row r="500" spans="5:10" ht="14.5" x14ac:dyDescent="0.35">
      <c r="E500" s="27"/>
      <c r="F500" s="27"/>
      <c r="G500" s="27"/>
      <c r="H500" s="27"/>
      <c r="I500" s="27"/>
      <c r="J500" s="28"/>
    </row>
    <row r="501" spans="5:10" ht="14.5" x14ac:dyDescent="0.35">
      <c r="E501" s="27"/>
      <c r="F501" s="27"/>
      <c r="G501" s="27"/>
      <c r="H501" s="27"/>
      <c r="I501" s="27"/>
      <c r="J501" s="28"/>
    </row>
    <row r="502" spans="5:10" ht="14.5" x14ac:dyDescent="0.35">
      <c r="E502" s="27"/>
      <c r="F502" s="27"/>
      <c r="G502" s="27"/>
      <c r="H502" s="27"/>
      <c r="I502" s="27"/>
      <c r="J502" s="28"/>
    </row>
    <row r="503" spans="5:10" ht="14.5" x14ac:dyDescent="0.35">
      <c r="E503" s="27"/>
      <c r="F503" s="27"/>
      <c r="G503" s="27"/>
      <c r="H503" s="27"/>
      <c r="I503" s="27"/>
      <c r="J503" s="28"/>
    </row>
    <row r="504" spans="5:10" ht="14.5" x14ac:dyDescent="0.35">
      <c r="E504" s="27"/>
      <c r="F504" s="27"/>
      <c r="G504" s="27"/>
      <c r="H504" s="27"/>
      <c r="I504" s="27"/>
      <c r="J504" s="28"/>
    </row>
    <row r="505" spans="5:10" ht="14.5" x14ac:dyDescent="0.35">
      <c r="E505" s="27"/>
      <c r="F505" s="27"/>
      <c r="G505" s="27"/>
      <c r="H505" s="27"/>
      <c r="I505" s="27"/>
      <c r="J505" s="28"/>
    </row>
    <row r="506" spans="5:10" ht="14.5" x14ac:dyDescent="0.35">
      <c r="E506" s="27"/>
      <c r="F506" s="27"/>
      <c r="G506" s="27"/>
      <c r="H506" s="27"/>
      <c r="I506" s="27"/>
      <c r="J506" s="28"/>
    </row>
    <row r="507" spans="5:10" ht="14.5" x14ac:dyDescent="0.35">
      <c r="E507" s="27"/>
      <c r="F507" s="27"/>
      <c r="G507" s="27"/>
      <c r="H507" s="27"/>
      <c r="I507" s="27"/>
      <c r="J507" s="28"/>
    </row>
    <row r="508" spans="5:10" ht="14.5" x14ac:dyDescent="0.35">
      <c r="E508" s="27"/>
      <c r="F508" s="27"/>
      <c r="G508" s="27"/>
      <c r="H508" s="27"/>
      <c r="I508" s="27"/>
      <c r="J508" s="28"/>
    </row>
    <row r="509" spans="5:10" ht="14.5" x14ac:dyDescent="0.35">
      <c r="E509" s="27"/>
      <c r="F509" s="27"/>
      <c r="G509" s="27"/>
      <c r="H509" s="27"/>
      <c r="I509" s="27"/>
      <c r="J509" s="28"/>
    </row>
    <row r="510" spans="5:10" ht="14.5" x14ac:dyDescent="0.35">
      <c r="E510" s="27"/>
      <c r="F510" s="27"/>
      <c r="G510" s="27"/>
      <c r="H510" s="27"/>
      <c r="I510" s="27"/>
      <c r="J510" s="28"/>
    </row>
    <row r="511" spans="5:10" ht="14.5" x14ac:dyDescent="0.35">
      <c r="E511" s="27"/>
      <c r="F511" s="27"/>
      <c r="G511" s="27"/>
      <c r="H511" s="27"/>
      <c r="I511" s="27"/>
      <c r="J511" s="28"/>
    </row>
    <row r="512" spans="5:10" ht="14.5" x14ac:dyDescent="0.35">
      <c r="E512" s="27"/>
      <c r="F512" s="27"/>
      <c r="G512" s="27"/>
      <c r="H512" s="27"/>
      <c r="I512" s="27"/>
      <c r="J512" s="28"/>
    </row>
    <row r="513" spans="5:10" ht="14.5" x14ac:dyDescent="0.35">
      <c r="E513" s="27"/>
      <c r="F513" s="27"/>
      <c r="G513" s="27"/>
      <c r="H513" s="27"/>
      <c r="I513" s="27"/>
      <c r="J513" s="28"/>
    </row>
    <row r="514" spans="5:10" ht="14.5" x14ac:dyDescent="0.35">
      <c r="E514" s="27"/>
      <c r="F514" s="27"/>
      <c r="G514" s="27"/>
      <c r="H514" s="27"/>
      <c r="I514" s="27"/>
      <c r="J514" s="28"/>
    </row>
    <row r="515" spans="5:10" ht="14.5" x14ac:dyDescent="0.35">
      <c r="E515" s="27"/>
      <c r="F515" s="27"/>
      <c r="G515" s="27"/>
      <c r="H515" s="27"/>
      <c r="I515" s="27"/>
      <c r="J515" s="28"/>
    </row>
    <row r="516" spans="5:10" ht="14.5" x14ac:dyDescent="0.35">
      <c r="E516" s="27"/>
      <c r="F516" s="27"/>
      <c r="G516" s="27"/>
      <c r="H516" s="27"/>
      <c r="I516" s="27"/>
      <c r="J516" s="28"/>
    </row>
    <row r="517" spans="5:10" ht="14.5" x14ac:dyDescent="0.35">
      <c r="E517" s="27"/>
      <c r="F517" s="27"/>
      <c r="G517" s="27"/>
      <c r="H517" s="27"/>
      <c r="I517" s="27"/>
      <c r="J517" s="28"/>
    </row>
    <row r="518" spans="5:10" ht="14.5" x14ac:dyDescent="0.35">
      <c r="E518" s="27"/>
      <c r="F518" s="27"/>
      <c r="G518" s="27"/>
      <c r="H518" s="27"/>
      <c r="I518" s="27"/>
      <c r="J518" s="28"/>
    </row>
    <row r="519" spans="5:10" ht="14.5" x14ac:dyDescent="0.35">
      <c r="E519" s="27"/>
      <c r="F519" s="27"/>
      <c r="G519" s="27"/>
      <c r="H519" s="27"/>
      <c r="I519" s="27"/>
      <c r="J519" s="28"/>
    </row>
    <row r="520" spans="5:10" ht="14.5" x14ac:dyDescent="0.35">
      <c r="E520" s="27"/>
      <c r="F520" s="27"/>
      <c r="G520" s="27"/>
      <c r="H520" s="27"/>
      <c r="I520" s="27"/>
      <c r="J520" s="28"/>
    </row>
    <row r="521" spans="5:10" ht="14.5" x14ac:dyDescent="0.35">
      <c r="E521" s="27"/>
      <c r="F521" s="27"/>
      <c r="G521" s="27"/>
      <c r="H521" s="27"/>
      <c r="I521" s="27"/>
      <c r="J521" s="28"/>
    </row>
    <row r="522" spans="5:10" ht="14.5" x14ac:dyDescent="0.35">
      <c r="E522" s="27"/>
      <c r="F522" s="27"/>
      <c r="G522" s="27"/>
      <c r="H522" s="27"/>
      <c r="I522" s="27"/>
      <c r="J522" s="28"/>
    </row>
    <row r="523" spans="5:10" ht="14.5" x14ac:dyDescent="0.35">
      <c r="E523" s="27"/>
      <c r="F523" s="27"/>
      <c r="G523" s="27"/>
      <c r="H523" s="27"/>
      <c r="I523" s="27"/>
      <c r="J523" s="28"/>
    </row>
    <row r="524" spans="5:10" ht="14.5" x14ac:dyDescent="0.35">
      <c r="E524" s="27"/>
      <c r="F524" s="27"/>
      <c r="G524" s="27"/>
      <c r="H524" s="27"/>
      <c r="I524" s="27"/>
      <c r="J524" s="28"/>
    </row>
    <row r="525" spans="5:10" ht="14.5" x14ac:dyDescent="0.35">
      <c r="E525" s="27"/>
      <c r="F525" s="27"/>
      <c r="G525" s="27"/>
      <c r="H525" s="27"/>
      <c r="I525" s="27"/>
      <c r="J525" s="28"/>
    </row>
    <row r="526" spans="5:10" ht="14.5" x14ac:dyDescent="0.35">
      <c r="E526" s="27"/>
      <c r="F526" s="27"/>
      <c r="G526" s="27"/>
      <c r="H526" s="27"/>
      <c r="I526" s="27"/>
      <c r="J526" s="28"/>
    </row>
    <row r="527" spans="5:10" ht="14.5" x14ac:dyDescent="0.35">
      <c r="E527" s="27"/>
      <c r="F527" s="27"/>
      <c r="G527" s="27"/>
      <c r="H527" s="27"/>
      <c r="I527" s="27"/>
      <c r="J527" s="28"/>
    </row>
    <row r="528" spans="5:10" ht="14.5" x14ac:dyDescent="0.35">
      <c r="E528" s="27"/>
      <c r="F528" s="27"/>
      <c r="G528" s="27"/>
      <c r="H528" s="27"/>
      <c r="I528" s="27"/>
      <c r="J528" s="28"/>
    </row>
    <row r="529" spans="5:10" ht="14.5" x14ac:dyDescent="0.35">
      <c r="E529" s="27"/>
      <c r="F529" s="27"/>
      <c r="G529" s="27"/>
      <c r="H529" s="27"/>
      <c r="I529" s="27"/>
      <c r="J529" s="28"/>
    </row>
    <row r="530" spans="5:10" ht="14.5" x14ac:dyDescent="0.35">
      <c r="E530" s="27"/>
      <c r="F530" s="27"/>
      <c r="G530" s="27"/>
      <c r="H530" s="27"/>
      <c r="I530" s="27"/>
      <c r="J530" s="28"/>
    </row>
    <row r="531" spans="5:10" ht="14.5" x14ac:dyDescent="0.35">
      <c r="E531" s="27"/>
      <c r="F531" s="27"/>
      <c r="G531" s="27"/>
      <c r="H531" s="27"/>
      <c r="I531" s="27"/>
      <c r="J531" s="28"/>
    </row>
    <row r="532" spans="5:10" ht="14.5" x14ac:dyDescent="0.35">
      <c r="E532" s="27"/>
      <c r="F532" s="27"/>
      <c r="G532" s="27"/>
      <c r="H532" s="27"/>
      <c r="I532" s="27"/>
      <c r="J532" s="28"/>
    </row>
    <row r="533" spans="5:10" ht="14.5" x14ac:dyDescent="0.35">
      <c r="E533" s="27"/>
      <c r="F533" s="27"/>
      <c r="G533" s="27"/>
      <c r="H533" s="27"/>
      <c r="I533" s="27"/>
      <c r="J533" s="28"/>
    </row>
    <row r="534" spans="5:10" ht="14.5" x14ac:dyDescent="0.35">
      <c r="E534" s="27"/>
      <c r="F534" s="27"/>
      <c r="G534" s="27"/>
      <c r="H534" s="27"/>
      <c r="I534" s="27"/>
      <c r="J534" s="28"/>
    </row>
    <row r="535" spans="5:10" ht="14.5" x14ac:dyDescent="0.35">
      <c r="E535" s="27"/>
      <c r="F535" s="27"/>
      <c r="G535" s="27"/>
      <c r="H535" s="27"/>
      <c r="I535" s="27"/>
      <c r="J535" s="28"/>
    </row>
    <row r="536" spans="5:10" ht="14.5" x14ac:dyDescent="0.35">
      <c r="E536" s="27"/>
      <c r="F536" s="27"/>
      <c r="G536" s="27"/>
      <c r="H536" s="27"/>
      <c r="I536" s="27"/>
      <c r="J536" s="28"/>
    </row>
    <row r="537" spans="5:10" ht="14.5" x14ac:dyDescent="0.35">
      <c r="E537" s="27"/>
      <c r="F537" s="27"/>
      <c r="G537" s="27"/>
      <c r="H537" s="27"/>
      <c r="I537" s="27"/>
      <c r="J537" s="28"/>
    </row>
    <row r="538" spans="5:10" ht="14.5" x14ac:dyDescent="0.35">
      <c r="E538" s="27"/>
      <c r="F538" s="27"/>
      <c r="G538" s="27"/>
      <c r="H538" s="27"/>
      <c r="I538" s="27"/>
      <c r="J538" s="28"/>
    </row>
    <row r="539" spans="5:10" ht="14.5" x14ac:dyDescent="0.35">
      <c r="E539" s="27"/>
      <c r="F539" s="27"/>
      <c r="G539" s="27"/>
      <c r="H539" s="27"/>
      <c r="I539" s="27"/>
      <c r="J539" s="28"/>
    </row>
    <row r="540" spans="5:10" ht="14.5" x14ac:dyDescent="0.35">
      <c r="E540" s="27"/>
      <c r="F540" s="27"/>
      <c r="G540" s="27"/>
      <c r="H540" s="27"/>
      <c r="I540" s="27"/>
      <c r="J540" s="28"/>
    </row>
    <row r="541" spans="5:10" ht="14.5" x14ac:dyDescent="0.35">
      <c r="E541" s="27"/>
      <c r="F541" s="27"/>
      <c r="G541" s="27"/>
      <c r="H541" s="27"/>
      <c r="I541" s="27"/>
      <c r="J541" s="28"/>
    </row>
    <row r="542" spans="5:10" ht="14.5" x14ac:dyDescent="0.35">
      <c r="E542" s="27"/>
      <c r="F542" s="27"/>
      <c r="G542" s="27"/>
      <c r="H542" s="27"/>
      <c r="I542" s="27"/>
      <c r="J542" s="28"/>
    </row>
    <row r="543" spans="5:10" ht="14.5" x14ac:dyDescent="0.35">
      <c r="E543" s="27"/>
      <c r="F543" s="27"/>
      <c r="G543" s="27"/>
      <c r="H543" s="27"/>
      <c r="I543" s="27"/>
      <c r="J543" s="28"/>
    </row>
    <row r="544" spans="5:10" ht="14.5" x14ac:dyDescent="0.35">
      <c r="E544" s="27"/>
      <c r="F544" s="27"/>
      <c r="G544" s="27"/>
      <c r="H544" s="27"/>
      <c r="I544" s="27"/>
      <c r="J544" s="28"/>
    </row>
    <row r="545" spans="5:10" ht="14.5" x14ac:dyDescent="0.35">
      <c r="E545" s="27"/>
      <c r="F545" s="27"/>
      <c r="G545" s="27"/>
      <c r="H545" s="27"/>
      <c r="I545" s="27"/>
      <c r="J545" s="28"/>
    </row>
    <row r="546" spans="5:10" ht="14.5" x14ac:dyDescent="0.35">
      <c r="E546" s="27"/>
      <c r="F546" s="27"/>
      <c r="G546" s="27"/>
      <c r="H546" s="27"/>
      <c r="I546" s="27"/>
      <c r="J546" s="28"/>
    </row>
    <row r="547" spans="5:10" ht="14.5" x14ac:dyDescent="0.35">
      <c r="E547" s="27"/>
      <c r="F547" s="27"/>
      <c r="G547" s="27"/>
      <c r="H547" s="27"/>
      <c r="I547" s="27"/>
      <c r="J547" s="28"/>
    </row>
    <row r="548" spans="5:10" ht="14.5" x14ac:dyDescent="0.35">
      <c r="E548" s="27"/>
      <c r="F548" s="27"/>
      <c r="G548" s="27"/>
      <c r="H548" s="27"/>
      <c r="I548" s="27"/>
      <c r="J548" s="28"/>
    </row>
    <row r="549" spans="5:10" ht="14.5" x14ac:dyDescent="0.35">
      <c r="E549" s="27"/>
      <c r="F549" s="27"/>
      <c r="G549" s="27"/>
      <c r="H549" s="27"/>
      <c r="I549" s="27"/>
      <c r="J549" s="28"/>
    </row>
    <row r="550" spans="5:10" ht="14.5" x14ac:dyDescent="0.35">
      <c r="E550" s="27"/>
      <c r="F550" s="27"/>
      <c r="G550" s="27"/>
      <c r="H550" s="27"/>
      <c r="I550" s="27"/>
      <c r="J550" s="28"/>
    </row>
    <row r="551" spans="5:10" ht="14.5" x14ac:dyDescent="0.35">
      <c r="E551" s="27"/>
      <c r="F551" s="27"/>
      <c r="G551" s="27"/>
      <c r="H551" s="27"/>
      <c r="I551" s="27"/>
      <c r="J551" s="28"/>
    </row>
    <row r="552" spans="5:10" ht="14.5" x14ac:dyDescent="0.35">
      <c r="E552" s="27"/>
      <c r="F552" s="27"/>
      <c r="G552" s="27"/>
      <c r="H552" s="27"/>
      <c r="I552" s="27"/>
      <c r="J552" s="28"/>
    </row>
    <row r="553" spans="5:10" ht="14.5" x14ac:dyDescent="0.35">
      <c r="E553" s="27"/>
      <c r="F553" s="27"/>
      <c r="G553" s="27"/>
      <c r="H553" s="27"/>
      <c r="I553" s="27"/>
      <c r="J553" s="28"/>
    </row>
    <row r="554" spans="5:10" ht="14.5" x14ac:dyDescent="0.35">
      <c r="E554" s="27"/>
      <c r="F554" s="27"/>
      <c r="G554" s="27"/>
      <c r="H554" s="27"/>
      <c r="I554" s="27"/>
      <c r="J554" s="28"/>
    </row>
    <row r="555" spans="5:10" ht="14.5" x14ac:dyDescent="0.35">
      <c r="E555" s="27"/>
      <c r="F555" s="27"/>
      <c r="G555" s="27"/>
      <c r="H555" s="27"/>
      <c r="I555" s="27"/>
      <c r="J555" s="28"/>
    </row>
    <row r="556" spans="5:10" ht="14.5" x14ac:dyDescent="0.35">
      <c r="E556" s="27"/>
      <c r="F556" s="27"/>
      <c r="G556" s="27"/>
      <c r="H556" s="27"/>
      <c r="I556" s="27"/>
      <c r="J556" s="28"/>
    </row>
    <row r="557" spans="5:10" ht="14.5" x14ac:dyDescent="0.35">
      <c r="E557" s="27"/>
      <c r="F557" s="27"/>
      <c r="G557" s="27"/>
      <c r="H557" s="27"/>
      <c r="I557" s="27"/>
      <c r="J557" s="28"/>
    </row>
    <row r="558" spans="5:10" ht="14.5" x14ac:dyDescent="0.35">
      <c r="E558" s="27"/>
      <c r="F558" s="27"/>
      <c r="G558" s="27"/>
      <c r="H558" s="27"/>
      <c r="I558" s="27"/>
      <c r="J558" s="28"/>
    </row>
    <row r="559" spans="5:10" ht="14.5" x14ac:dyDescent="0.35">
      <c r="E559" s="27"/>
      <c r="F559" s="27"/>
      <c r="G559" s="27"/>
      <c r="H559" s="27"/>
      <c r="I559" s="27"/>
      <c r="J559" s="28"/>
    </row>
    <row r="560" spans="5:10" ht="14.5" x14ac:dyDescent="0.35">
      <c r="E560" s="27"/>
      <c r="F560" s="27"/>
      <c r="G560" s="27"/>
      <c r="H560" s="27"/>
      <c r="I560" s="27"/>
      <c r="J560" s="28"/>
    </row>
    <row r="561" spans="5:10" ht="14.5" x14ac:dyDescent="0.35">
      <c r="E561" s="27"/>
      <c r="F561" s="27"/>
      <c r="G561" s="27"/>
      <c r="H561" s="27"/>
      <c r="I561" s="27"/>
      <c r="J561" s="28"/>
    </row>
    <row r="562" spans="5:10" ht="14.5" x14ac:dyDescent="0.35">
      <c r="E562" s="27"/>
      <c r="F562" s="27"/>
      <c r="G562" s="27"/>
      <c r="H562" s="27"/>
      <c r="I562" s="27"/>
      <c r="J562" s="28"/>
    </row>
    <row r="563" spans="5:10" ht="14.5" x14ac:dyDescent="0.35">
      <c r="E563" s="27"/>
      <c r="F563" s="27"/>
      <c r="G563" s="27"/>
      <c r="H563" s="27"/>
      <c r="I563" s="27"/>
      <c r="J563" s="28"/>
    </row>
    <row r="564" spans="5:10" ht="14.5" x14ac:dyDescent="0.35">
      <c r="E564" s="27"/>
      <c r="F564" s="27"/>
      <c r="G564" s="27"/>
      <c r="H564" s="27"/>
      <c r="I564" s="27"/>
      <c r="J564" s="28"/>
    </row>
    <row r="565" spans="5:10" ht="14.5" x14ac:dyDescent="0.35">
      <c r="E565" s="27"/>
      <c r="F565" s="27"/>
      <c r="G565" s="27"/>
      <c r="H565" s="27"/>
      <c r="I565" s="27"/>
      <c r="J565" s="28"/>
    </row>
    <row r="566" spans="5:10" ht="14.5" x14ac:dyDescent="0.35">
      <c r="E566" s="27"/>
      <c r="F566" s="27"/>
      <c r="G566" s="27"/>
      <c r="H566" s="27"/>
      <c r="I566" s="27"/>
      <c r="J566" s="28"/>
    </row>
    <row r="567" spans="5:10" ht="14.5" x14ac:dyDescent="0.35">
      <c r="E567" s="27"/>
      <c r="F567" s="27"/>
      <c r="G567" s="27"/>
      <c r="H567" s="27"/>
      <c r="I567" s="27"/>
      <c r="J567" s="28"/>
    </row>
    <row r="568" spans="5:10" ht="14.5" x14ac:dyDescent="0.35">
      <c r="E568" s="27"/>
      <c r="F568" s="27"/>
      <c r="G568" s="27"/>
      <c r="H568" s="27"/>
      <c r="I568" s="27"/>
      <c r="J568" s="28"/>
    </row>
    <row r="569" spans="5:10" ht="14.5" x14ac:dyDescent="0.35">
      <c r="E569" s="27"/>
      <c r="F569" s="27"/>
      <c r="G569" s="27"/>
      <c r="H569" s="27"/>
      <c r="I569" s="27"/>
      <c r="J569" s="28"/>
    </row>
    <row r="570" spans="5:10" ht="14.5" x14ac:dyDescent="0.35">
      <c r="E570" s="27"/>
      <c r="F570" s="27"/>
      <c r="G570" s="27"/>
      <c r="H570" s="27"/>
      <c r="I570" s="27"/>
      <c r="J570" s="28"/>
    </row>
    <row r="571" spans="5:10" ht="14.5" x14ac:dyDescent="0.35">
      <c r="E571" s="27"/>
      <c r="F571" s="27"/>
      <c r="G571" s="27"/>
      <c r="H571" s="27"/>
      <c r="I571" s="27"/>
      <c r="J571" s="28"/>
    </row>
    <row r="572" spans="5:10" ht="14.5" x14ac:dyDescent="0.35">
      <c r="E572" s="27"/>
      <c r="F572" s="27"/>
      <c r="G572" s="27"/>
      <c r="H572" s="27"/>
      <c r="I572" s="27"/>
      <c r="J572" s="28"/>
    </row>
    <row r="573" spans="5:10" ht="14.5" x14ac:dyDescent="0.35">
      <c r="E573" s="27"/>
      <c r="F573" s="27"/>
      <c r="G573" s="27"/>
      <c r="H573" s="27"/>
      <c r="I573" s="27"/>
      <c r="J573" s="28"/>
    </row>
    <row r="574" spans="5:10" ht="14.5" x14ac:dyDescent="0.35">
      <c r="E574" s="27"/>
      <c r="F574" s="27"/>
      <c r="G574" s="27"/>
      <c r="H574" s="27"/>
      <c r="I574" s="27"/>
      <c r="J574" s="28"/>
    </row>
    <row r="575" spans="5:10" ht="14.5" x14ac:dyDescent="0.35">
      <c r="E575" s="27"/>
      <c r="F575" s="27"/>
      <c r="G575" s="27"/>
      <c r="H575" s="27"/>
      <c r="I575" s="27"/>
      <c r="J575" s="28"/>
    </row>
    <row r="576" spans="5:10" ht="14.5" x14ac:dyDescent="0.35">
      <c r="E576" s="27"/>
      <c r="F576" s="27"/>
      <c r="G576" s="27"/>
      <c r="H576" s="27"/>
      <c r="I576" s="27"/>
      <c r="J576" s="28"/>
    </row>
    <row r="577" spans="5:10" ht="14.5" x14ac:dyDescent="0.35">
      <c r="E577" s="27"/>
      <c r="F577" s="27"/>
      <c r="G577" s="27"/>
      <c r="H577" s="27"/>
      <c r="I577" s="27"/>
      <c r="J577" s="28"/>
    </row>
    <row r="578" spans="5:10" ht="14.5" x14ac:dyDescent="0.35">
      <c r="E578" s="27"/>
      <c r="F578" s="27"/>
      <c r="G578" s="27"/>
      <c r="H578" s="27"/>
      <c r="I578" s="27"/>
      <c r="J578" s="28"/>
    </row>
    <row r="579" spans="5:10" ht="14.5" x14ac:dyDescent="0.35">
      <c r="E579" s="27"/>
      <c r="F579" s="27"/>
      <c r="G579" s="27"/>
      <c r="H579" s="27"/>
      <c r="I579" s="27"/>
      <c r="J579" s="28"/>
    </row>
    <row r="580" spans="5:10" ht="14.5" x14ac:dyDescent="0.35">
      <c r="E580" s="27"/>
      <c r="F580" s="27"/>
      <c r="G580" s="27"/>
      <c r="H580" s="27"/>
      <c r="I580" s="27"/>
      <c r="J580" s="28"/>
    </row>
    <row r="581" spans="5:10" ht="14.5" x14ac:dyDescent="0.35">
      <c r="E581" s="27"/>
      <c r="F581" s="27"/>
      <c r="G581" s="27"/>
      <c r="H581" s="27"/>
      <c r="I581" s="27"/>
      <c r="J581" s="28"/>
    </row>
    <row r="582" spans="5:10" ht="14.5" x14ac:dyDescent="0.35">
      <c r="E582" s="27"/>
      <c r="F582" s="27"/>
      <c r="G582" s="27"/>
      <c r="H582" s="27"/>
      <c r="I582" s="27"/>
      <c r="J582" s="28"/>
    </row>
    <row r="583" spans="5:10" ht="14.5" x14ac:dyDescent="0.35">
      <c r="E583" s="27"/>
      <c r="F583" s="27"/>
      <c r="G583" s="27"/>
      <c r="H583" s="27"/>
      <c r="I583" s="27"/>
      <c r="J583" s="28"/>
    </row>
    <row r="584" spans="5:10" ht="14.5" x14ac:dyDescent="0.35">
      <c r="E584" s="27"/>
      <c r="F584" s="27"/>
      <c r="G584" s="27"/>
      <c r="H584" s="27"/>
      <c r="I584" s="27"/>
      <c r="J584" s="28"/>
    </row>
    <row r="585" spans="5:10" ht="14.5" x14ac:dyDescent="0.35">
      <c r="E585" s="27"/>
      <c r="F585" s="27"/>
      <c r="G585" s="27"/>
      <c r="H585" s="27"/>
      <c r="I585" s="27"/>
      <c r="J585" s="28"/>
    </row>
    <row r="586" spans="5:10" ht="14.5" x14ac:dyDescent="0.35">
      <c r="E586" s="27"/>
      <c r="F586" s="27"/>
      <c r="G586" s="27"/>
      <c r="H586" s="27"/>
      <c r="I586" s="27"/>
      <c r="J586" s="28"/>
    </row>
    <row r="587" spans="5:10" ht="14.5" x14ac:dyDescent="0.35">
      <c r="E587" s="27"/>
      <c r="F587" s="27"/>
      <c r="G587" s="27"/>
      <c r="H587" s="27"/>
      <c r="I587" s="27"/>
      <c r="J587" s="28"/>
    </row>
    <row r="588" spans="5:10" ht="14.5" x14ac:dyDescent="0.35">
      <c r="E588" s="27"/>
      <c r="F588" s="27"/>
      <c r="G588" s="27"/>
      <c r="H588" s="27"/>
      <c r="I588" s="27"/>
      <c r="J588" s="28"/>
    </row>
    <row r="589" spans="5:10" ht="14.5" x14ac:dyDescent="0.35">
      <c r="E589" s="27"/>
      <c r="F589" s="27"/>
      <c r="G589" s="27"/>
      <c r="H589" s="27"/>
      <c r="I589" s="27"/>
      <c r="J589" s="28"/>
    </row>
    <row r="590" spans="5:10" ht="14.5" x14ac:dyDescent="0.35">
      <c r="E590" s="27"/>
      <c r="F590" s="27"/>
      <c r="G590" s="27"/>
      <c r="H590" s="27"/>
      <c r="I590" s="27"/>
      <c r="J590" s="28"/>
    </row>
    <row r="591" spans="5:10" ht="14.5" x14ac:dyDescent="0.35">
      <c r="E591" s="27"/>
      <c r="F591" s="27"/>
      <c r="G591" s="27"/>
      <c r="H591" s="27"/>
      <c r="I591" s="27"/>
      <c r="J591" s="28"/>
    </row>
    <row r="592" spans="5:10" ht="14.5" x14ac:dyDescent="0.35">
      <c r="E592" s="27"/>
      <c r="F592" s="27"/>
      <c r="G592" s="27"/>
      <c r="H592" s="27"/>
      <c r="I592" s="27"/>
      <c r="J592" s="28"/>
    </row>
    <row r="593" spans="5:10" ht="14.5" x14ac:dyDescent="0.35">
      <c r="E593" s="27"/>
      <c r="F593" s="27"/>
      <c r="G593" s="27"/>
      <c r="H593" s="27"/>
      <c r="I593" s="27"/>
      <c r="J593" s="28"/>
    </row>
    <row r="594" spans="5:10" ht="14.5" x14ac:dyDescent="0.35">
      <c r="E594" s="27"/>
      <c r="F594" s="27"/>
      <c r="G594" s="27"/>
      <c r="H594" s="27"/>
      <c r="I594" s="27"/>
      <c r="J594" s="28"/>
    </row>
    <row r="595" spans="5:10" ht="14.5" x14ac:dyDescent="0.35">
      <c r="E595" s="27"/>
      <c r="F595" s="27"/>
      <c r="G595" s="27"/>
      <c r="H595" s="27"/>
      <c r="I595" s="27"/>
      <c r="J595" s="28"/>
    </row>
    <row r="596" spans="5:10" ht="14.5" x14ac:dyDescent="0.35">
      <c r="E596" s="27"/>
      <c r="F596" s="27"/>
      <c r="G596" s="27"/>
      <c r="H596" s="27"/>
      <c r="I596" s="27"/>
      <c r="J596" s="28"/>
    </row>
    <row r="597" spans="5:10" ht="14.5" x14ac:dyDescent="0.35">
      <c r="E597" s="27"/>
      <c r="F597" s="27"/>
      <c r="G597" s="27"/>
      <c r="H597" s="27"/>
      <c r="I597" s="27"/>
      <c r="J597" s="28"/>
    </row>
    <row r="598" spans="5:10" ht="14.5" x14ac:dyDescent="0.35">
      <c r="E598" s="27"/>
      <c r="F598" s="27"/>
      <c r="G598" s="27"/>
      <c r="H598" s="27"/>
      <c r="I598" s="27"/>
      <c r="J598" s="28"/>
    </row>
    <row r="599" spans="5:10" ht="14.5" x14ac:dyDescent="0.35">
      <c r="E599" s="27"/>
      <c r="F599" s="27"/>
      <c r="G599" s="27"/>
      <c r="H599" s="27"/>
      <c r="I599" s="27"/>
      <c r="J599" s="28"/>
    </row>
    <row r="600" spans="5:10" ht="14.5" x14ac:dyDescent="0.35">
      <c r="E600" s="27"/>
      <c r="F600" s="27"/>
      <c r="G600" s="27"/>
      <c r="H600" s="27"/>
      <c r="I600" s="27"/>
      <c r="J600" s="28"/>
    </row>
    <row r="601" spans="5:10" ht="14.5" x14ac:dyDescent="0.35">
      <c r="E601" s="27"/>
      <c r="F601" s="27"/>
      <c r="G601" s="27"/>
      <c r="H601" s="27"/>
      <c r="I601" s="27"/>
      <c r="J601" s="28"/>
    </row>
    <row r="602" spans="5:10" ht="14.5" x14ac:dyDescent="0.35">
      <c r="E602" s="27"/>
      <c r="F602" s="27"/>
      <c r="G602" s="27"/>
      <c r="H602" s="27"/>
      <c r="I602" s="27"/>
      <c r="J602" s="28"/>
    </row>
    <row r="603" spans="5:10" ht="14.5" x14ac:dyDescent="0.35">
      <c r="E603" s="27"/>
      <c r="F603" s="27"/>
      <c r="G603" s="27"/>
      <c r="H603" s="27"/>
      <c r="I603" s="27"/>
      <c r="J603" s="28"/>
    </row>
    <row r="604" spans="5:10" ht="14.5" x14ac:dyDescent="0.35">
      <c r="E604" s="27"/>
      <c r="F604" s="27"/>
      <c r="G604" s="27"/>
      <c r="H604" s="27"/>
      <c r="I604" s="27"/>
      <c r="J604" s="28"/>
    </row>
    <row r="605" spans="5:10" ht="14.5" x14ac:dyDescent="0.35">
      <c r="E605" s="27"/>
      <c r="F605" s="27"/>
      <c r="G605" s="27"/>
      <c r="H605" s="27"/>
      <c r="I605" s="27"/>
      <c r="J605" s="28"/>
    </row>
    <row r="606" spans="5:10" ht="14.5" x14ac:dyDescent="0.35">
      <c r="E606" s="27"/>
      <c r="F606" s="27"/>
      <c r="G606" s="27"/>
      <c r="H606" s="27"/>
      <c r="I606" s="27"/>
      <c r="J606" s="28"/>
    </row>
    <row r="607" spans="5:10" ht="14.5" x14ac:dyDescent="0.35">
      <c r="E607" s="27"/>
      <c r="F607" s="27"/>
      <c r="G607" s="27"/>
      <c r="H607" s="27"/>
      <c r="I607" s="27"/>
      <c r="J607" s="28"/>
    </row>
    <row r="608" spans="5:10" ht="14.5" x14ac:dyDescent="0.35">
      <c r="E608" s="27"/>
      <c r="F608" s="27"/>
      <c r="G608" s="27"/>
      <c r="H608" s="27"/>
      <c r="I608" s="27"/>
      <c r="J608" s="28"/>
    </row>
    <row r="609" spans="5:10" ht="14.5" x14ac:dyDescent="0.35">
      <c r="E609" s="27"/>
      <c r="F609" s="27"/>
      <c r="G609" s="27"/>
      <c r="H609" s="27"/>
      <c r="I609" s="27"/>
      <c r="J609" s="28"/>
    </row>
    <row r="610" spans="5:10" ht="14.5" x14ac:dyDescent="0.35">
      <c r="E610" s="27"/>
      <c r="F610" s="27"/>
      <c r="G610" s="27"/>
      <c r="H610" s="27"/>
      <c r="I610" s="27"/>
      <c r="J610" s="28"/>
    </row>
    <row r="611" spans="5:10" ht="14.5" x14ac:dyDescent="0.35">
      <c r="E611" s="27"/>
      <c r="F611" s="27"/>
      <c r="G611" s="27"/>
      <c r="H611" s="27"/>
      <c r="I611" s="27"/>
      <c r="J611" s="28"/>
    </row>
    <row r="612" spans="5:10" ht="14.5" x14ac:dyDescent="0.35">
      <c r="E612" s="27"/>
      <c r="F612" s="27"/>
      <c r="G612" s="27"/>
      <c r="H612" s="27"/>
      <c r="I612" s="27"/>
      <c r="J612" s="28"/>
    </row>
    <row r="613" spans="5:10" ht="14.5" x14ac:dyDescent="0.35">
      <c r="E613" s="27"/>
      <c r="F613" s="27"/>
      <c r="G613" s="27"/>
      <c r="H613" s="27"/>
      <c r="I613" s="27"/>
      <c r="J613" s="28"/>
    </row>
    <row r="614" spans="5:10" ht="14.5" x14ac:dyDescent="0.35">
      <c r="E614" s="27"/>
      <c r="F614" s="27"/>
      <c r="G614" s="27"/>
      <c r="H614" s="27"/>
      <c r="I614" s="27"/>
      <c r="J614" s="28"/>
    </row>
    <row r="615" spans="5:10" ht="14.5" x14ac:dyDescent="0.35">
      <c r="E615" s="27"/>
      <c r="F615" s="27"/>
      <c r="G615" s="27"/>
      <c r="H615" s="27"/>
      <c r="I615" s="27"/>
      <c r="J615" s="28"/>
    </row>
    <row r="616" spans="5:10" ht="14.5" x14ac:dyDescent="0.35">
      <c r="E616" s="27"/>
      <c r="F616" s="27"/>
      <c r="G616" s="27"/>
      <c r="H616" s="27"/>
      <c r="I616" s="27"/>
      <c r="J616" s="28"/>
    </row>
    <row r="617" spans="5:10" ht="14.5" x14ac:dyDescent="0.35">
      <c r="E617" s="27"/>
      <c r="F617" s="27"/>
      <c r="G617" s="27"/>
      <c r="H617" s="27"/>
      <c r="I617" s="27"/>
      <c r="J617" s="28"/>
    </row>
    <row r="618" spans="5:10" ht="14.5" x14ac:dyDescent="0.35">
      <c r="E618" s="27"/>
      <c r="F618" s="27"/>
      <c r="G618" s="27"/>
      <c r="H618" s="27"/>
      <c r="I618" s="27"/>
      <c r="J618" s="28"/>
    </row>
    <row r="619" spans="5:10" ht="14.5" x14ac:dyDescent="0.35">
      <c r="E619" s="27"/>
      <c r="F619" s="27"/>
      <c r="G619" s="27"/>
      <c r="H619" s="27"/>
      <c r="I619" s="27"/>
      <c r="J619" s="28"/>
    </row>
    <row r="620" spans="5:10" ht="14.5" x14ac:dyDescent="0.35">
      <c r="E620" s="27"/>
      <c r="F620" s="27"/>
      <c r="G620" s="27"/>
      <c r="H620" s="27"/>
      <c r="I620" s="27"/>
      <c r="J620" s="28"/>
    </row>
    <row r="621" spans="5:10" ht="14.5" x14ac:dyDescent="0.35">
      <c r="E621" s="27"/>
      <c r="F621" s="27"/>
      <c r="G621" s="27"/>
      <c r="H621" s="27"/>
      <c r="I621" s="27"/>
      <c r="J621" s="28"/>
    </row>
    <row r="622" spans="5:10" ht="14.5" x14ac:dyDescent="0.35">
      <c r="E622" s="27"/>
      <c r="F622" s="27"/>
      <c r="G622" s="27"/>
      <c r="H622" s="27"/>
      <c r="I622" s="27"/>
      <c r="J622" s="28"/>
    </row>
    <row r="623" spans="5:10" ht="14.5" x14ac:dyDescent="0.35">
      <c r="E623" s="27"/>
      <c r="F623" s="27"/>
      <c r="G623" s="27"/>
      <c r="H623" s="27"/>
      <c r="I623" s="27"/>
      <c r="J623" s="28"/>
    </row>
    <row r="624" spans="5:10" ht="14.5" x14ac:dyDescent="0.35">
      <c r="E624" s="27"/>
      <c r="F624" s="27"/>
      <c r="G624" s="27"/>
      <c r="H624" s="27"/>
      <c r="I624" s="27"/>
      <c r="J624" s="28"/>
    </row>
    <row r="625" spans="5:10" ht="14.5" x14ac:dyDescent="0.35">
      <c r="E625" s="27"/>
      <c r="F625" s="27"/>
      <c r="G625" s="27"/>
      <c r="H625" s="27"/>
      <c r="I625" s="27"/>
      <c r="J625" s="28"/>
    </row>
    <row r="626" spans="5:10" ht="14.5" x14ac:dyDescent="0.35">
      <c r="E626" s="27"/>
      <c r="F626" s="27"/>
      <c r="G626" s="27"/>
      <c r="H626" s="27"/>
      <c r="I626" s="27"/>
      <c r="J626" s="28"/>
    </row>
    <row r="627" spans="5:10" ht="14.5" x14ac:dyDescent="0.35">
      <c r="E627" s="27"/>
      <c r="F627" s="27"/>
      <c r="G627" s="27"/>
      <c r="H627" s="27"/>
      <c r="I627" s="27"/>
      <c r="J627" s="28"/>
    </row>
    <row r="628" spans="5:10" ht="14.5" x14ac:dyDescent="0.35">
      <c r="E628" s="27"/>
      <c r="F628" s="27"/>
      <c r="G628" s="27"/>
      <c r="H628" s="27"/>
      <c r="I628" s="27"/>
      <c r="J628" s="28"/>
    </row>
    <row r="629" spans="5:10" ht="14.5" x14ac:dyDescent="0.35">
      <c r="E629" s="27"/>
      <c r="F629" s="27"/>
      <c r="G629" s="27"/>
      <c r="H629" s="27"/>
      <c r="I629" s="27"/>
      <c r="J629" s="28"/>
    </row>
    <row r="630" spans="5:10" ht="14.5" x14ac:dyDescent="0.35">
      <c r="E630" s="27"/>
      <c r="F630" s="27"/>
      <c r="G630" s="27"/>
      <c r="H630" s="27"/>
      <c r="I630" s="27"/>
      <c r="J630" s="28"/>
    </row>
    <row r="631" spans="5:10" ht="14.5" x14ac:dyDescent="0.35">
      <c r="E631" s="27"/>
      <c r="F631" s="27"/>
      <c r="G631" s="27"/>
      <c r="H631" s="27"/>
      <c r="I631" s="27"/>
      <c r="J631" s="28"/>
    </row>
    <row r="632" spans="5:10" ht="14.5" x14ac:dyDescent="0.35">
      <c r="E632" s="27"/>
      <c r="F632" s="27"/>
      <c r="G632" s="27"/>
      <c r="H632" s="27"/>
      <c r="I632" s="27"/>
      <c r="J632" s="28"/>
    </row>
    <row r="633" spans="5:10" ht="14.5" x14ac:dyDescent="0.35">
      <c r="E633" s="27"/>
      <c r="F633" s="27"/>
      <c r="G633" s="27"/>
      <c r="H633" s="27"/>
      <c r="I633" s="27"/>
      <c r="J633" s="28"/>
    </row>
    <row r="634" spans="5:10" ht="14.5" x14ac:dyDescent="0.35">
      <c r="E634" s="27"/>
      <c r="F634" s="27"/>
      <c r="G634" s="27"/>
      <c r="H634" s="27"/>
      <c r="I634" s="27"/>
      <c r="J634" s="28"/>
    </row>
    <row r="635" spans="5:10" ht="14.5" x14ac:dyDescent="0.35">
      <c r="E635" s="27"/>
      <c r="F635" s="27"/>
      <c r="G635" s="27"/>
      <c r="H635" s="27"/>
      <c r="I635" s="27"/>
      <c r="J635" s="28"/>
    </row>
    <row r="636" spans="5:10" ht="14.5" x14ac:dyDescent="0.35">
      <c r="E636" s="27"/>
      <c r="F636" s="27"/>
      <c r="G636" s="27"/>
      <c r="H636" s="27"/>
      <c r="I636" s="27"/>
      <c r="J636" s="28"/>
    </row>
    <row r="637" spans="5:10" ht="14.5" x14ac:dyDescent="0.35">
      <c r="E637" s="27"/>
      <c r="F637" s="27"/>
      <c r="G637" s="27"/>
      <c r="H637" s="27"/>
      <c r="I637" s="27"/>
      <c r="J637" s="28"/>
    </row>
    <row r="638" spans="5:10" ht="14.5" x14ac:dyDescent="0.35">
      <c r="E638" s="27"/>
      <c r="F638" s="27"/>
      <c r="G638" s="27"/>
      <c r="H638" s="27"/>
      <c r="I638" s="27"/>
      <c r="J638" s="28"/>
    </row>
    <row r="639" spans="5:10" ht="14.5" x14ac:dyDescent="0.35">
      <c r="E639" s="27"/>
      <c r="F639" s="27"/>
      <c r="G639" s="27"/>
      <c r="H639" s="27"/>
      <c r="I639" s="27"/>
      <c r="J639" s="28"/>
    </row>
    <row r="640" spans="5:10" ht="14.5" x14ac:dyDescent="0.35">
      <c r="E640" s="27"/>
      <c r="F640" s="27"/>
      <c r="G640" s="27"/>
      <c r="H640" s="27"/>
      <c r="I640" s="27"/>
      <c r="J640" s="28"/>
    </row>
    <row r="641" spans="5:10" ht="14.5" x14ac:dyDescent="0.35">
      <c r="E641" s="27"/>
      <c r="F641" s="27"/>
      <c r="G641" s="27"/>
      <c r="H641" s="27"/>
      <c r="I641" s="27"/>
      <c r="J641" s="28"/>
    </row>
    <row r="642" spans="5:10" ht="14.5" x14ac:dyDescent="0.35">
      <c r="E642" s="27"/>
      <c r="F642" s="27"/>
      <c r="G642" s="27"/>
      <c r="H642" s="27"/>
      <c r="I642" s="27"/>
      <c r="J642" s="28"/>
    </row>
    <row r="643" spans="5:10" ht="14.5" x14ac:dyDescent="0.35">
      <c r="E643" s="27"/>
      <c r="F643" s="27"/>
      <c r="G643" s="27"/>
      <c r="H643" s="27"/>
      <c r="I643" s="27"/>
      <c r="J643" s="28"/>
    </row>
    <row r="644" spans="5:10" ht="14.5" x14ac:dyDescent="0.35">
      <c r="E644" s="27"/>
      <c r="F644" s="27"/>
      <c r="G644" s="27"/>
      <c r="H644" s="27"/>
      <c r="I644" s="27"/>
      <c r="J644" s="28"/>
    </row>
    <row r="645" spans="5:10" ht="14.5" x14ac:dyDescent="0.35">
      <c r="E645" s="27"/>
      <c r="F645" s="27"/>
      <c r="G645" s="27"/>
      <c r="H645" s="27"/>
      <c r="I645" s="27"/>
      <c r="J645" s="28"/>
    </row>
    <row r="646" spans="5:10" ht="14.5" x14ac:dyDescent="0.35">
      <c r="E646" s="27"/>
      <c r="F646" s="27"/>
      <c r="G646" s="27"/>
      <c r="H646" s="27"/>
      <c r="I646" s="27"/>
      <c r="J646" s="28"/>
    </row>
    <row r="647" spans="5:10" ht="14.5" x14ac:dyDescent="0.35">
      <c r="E647" s="27"/>
      <c r="F647" s="27"/>
      <c r="G647" s="27"/>
      <c r="H647" s="27"/>
      <c r="I647" s="27"/>
      <c r="J647" s="28"/>
    </row>
    <row r="648" spans="5:10" ht="14.5" x14ac:dyDescent="0.35">
      <c r="E648" s="27"/>
      <c r="F648" s="27"/>
      <c r="G648" s="27"/>
      <c r="H648" s="27"/>
      <c r="I648" s="27"/>
      <c r="J648" s="28"/>
    </row>
    <row r="649" spans="5:10" ht="14.5" x14ac:dyDescent="0.35">
      <c r="E649" s="27"/>
      <c r="F649" s="27"/>
      <c r="G649" s="27"/>
      <c r="H649" s="27"/>
      <c r="I649" s="27"/>
      <c r="J649" s="28"/>
    </row>
    <row r="650" spans="5:10" ht="14.5" x14ac:dyDescent="0.35">
      <c r="E650" s="27"/>
      <c r="F650" s="27"/>
      <c r="G650" s="27"/>
      <c r="H650" s="27"/>
      <c r="I650" s="27"/>
      <c r="J650" s="28"/>
    </row>
    <row r="651" spans="5:10" ht="14.5" x14ac:dyDescent="0.35">
      <c r="E651" s="27"/>
      <c r="F651" s="27"/>
      <c r="G651" s="27"/>
      <c r="H651" s="27"/>
      <c r="I651" s="27"/>
      <c r="J651" s="28"/>
    </row>
    <row r="652" spans="5:10" ht="14.5" x14ac:dyDescent="0.35">
      <c r="E652" s="27"/>
      <c r="F652" s="27"/>
      <c r="G652" s="27"/>
      <c r="H652" s="27"/>
      <c r="I652" s="27"/>
      <c r="J652" s="28"/>
    </row>
    <row r="653" spans="5:10" ht="14.5" x14ac:dyDescent="0.35">
      <c r="E653" s="27"/>
      <c r="F653" s="27"/>
      <c r="G653" s="27"/>
      <c r="H653" s="27"/>
      <c r="I653" s="27"/>
      <c r="J653" s="28"/>
    </row>
    <row r="654" spans="5:10" ht="14.5" x14ac:dyDescent="0.35">
      <c r="E654" s="27"/>
      <c r="F654" s="27"/>
      <c r="G654" s="27"/>
      <c r="H654" s="27"/>
      <c r="I654" s="27"/>
      <c r="J654" s="28"/>
    </row>
    <row r="655" spans="5:10" ht="14.5" x14ac:dyDescent="0.35">
      <c r="E655" s="27"/>
      <c r="F655" s="27"/>
      <c r="G655" s="27"/>
      <c r="H655" s="27"/>
      <c r="I655" s="27"/>
      <c r="J655" s="28"/>
    </row>
    <row r="656" spans="5:10" ht="14.5" x14ac:dyDescent="0.35">
      <c r="E656" s="27"/>
      <c r="F656" s="27"/>
      <c r="G656" s="27"/>
      <c r="H656" s="27"/>
      <c r="I656" s="27"/>
      <c r="J656" s="28"/>
    </row>
    <row r="657" spans="5:10" ht="14.5" x14ac:dyDescent="0.35">
      <c r="E657" s="27"/>
      <c r="F657" s="27"/>
      <c r="G657" s="27"/>
      <c r="H657" s="27"/>
      <c r="I657" s="27"/>
      <c r="J657" s="28"/>
    </row>
    <row r="658" spans="5:10" ht="14.5" x14ac:dyDescent="0.35">
      <c r="E658" s="27"/>
      <c r="F658" s="27"/>
      <c r="G658" s="27"/>
      <c r="H658" s="27"/>
      <c r="I658" s="27"/>
      <c r="J658" s="28"/>
    </row>
    <row r="659" spans="5:10" ht="14.5" x14ac:dyDescent="0.35">
      <c r="E659" s="27"/>
      <c r="F659" s="27"/>
      <c r="G659" s="27"/>
      <c r="H659" s="27"/>
      <c r="I659" s="27"/>
      <c r="J659" s="28"/>
    </row>
    <row r="660" spans="5:10" ht="14.5" x14ac:dyDescent="0.35">
      <c r="E660" s="27"/>
      <c r="F660" s="27"/>
      <c r="G660" s="27"/>
      <c r="H660" s="27"/>
      <c r="I660" s="27"/>
      <c r="J660" s="28"/>
    </row>
    <row r="661" spans="5:10" ht="14.5" x14ac:dyDescent="0.35">
      <c r="E661" s="27"/>
      <c r="F661" s="27"/>
      <c r="G661" s="27"/>
      <c r="H661" s="27"/>
      <c r="I661" s="27"/>
      <c r="J661" s="28"/>
    </row>
    <row r="662" spans="5:10" ht="14.5" x14ac:dyDescent="0.35">
      <c r="E662" s="27"/>
      <c r="F662" s="27"/>
      <c r="G662" s="27"/>
      <c r="H662" s="27"/>
      <c r="I662" s="27"/>
      <c r="J662" s="28"/>
    </row>
    <row r="663" spans="5:10" ht="14.5" x14ac:dyDescent="0.35">
      <c r="E663" s="27"/>
      <c r="F663" s="27"/>
      <c r="G663" s="27"/>
      <c r="H663" s="27"/>
      <c r="I663" s="27"/>
      <c r="J663" s="28"/>
    </row>
    <row r="664" spans="5:10" ht="14.5" x14ac:dyDescent="0.35">
      <c r="E664" s="27"/>
      <c r="F664" s="27"/>
      <c r="G664" s="27"/>
      <c r="H664" s="27"/>
      <c r="I664" s="27"/>
      <c r="J664" s="28"/>
    </row>
    <row r="665" spans="5:10" ht="14.5" x14ac:dyDescent="0.35">
      <c r="E665" s="27"/>
      <c r="F665" s="27"/>
      <c r="G665" s="27"/>
      <c r="H665" s="27"/>
      <c r="I665" s="27"/>
      <c r="J665" s="28"/>
    </row>
    <row r="666" spans="5:10" ht="14.5" x14ac:dyDescent="0.35">
      <c r="E666" s="27"/>
      <c r="F666" s="27"/>
      <c r="G666" s="27"/>
      <c r="H666" s="27"/>
      <c r="I666" s="27"/>
      <c r="J666" s="28"/>
    </row>
    <row r="667" spans="5:10" ht="14.5" x14ac:dyDescent="0.35">
      <c r="E667" s="27"/>
      <c r="F667" s="27"/>
      <c r="G667" s="27"/>
      <c r="H667" s="27"/>
      <c r="I667" s="27"/>
      <c r="J667" s="28"/>
    </row>
    <row r="668" spans="5:10" ht="14.5" x14ac:dyDescent="0.35">
      <c r="E668" s="27"/>
      <c r="F668" s="27"/>
      <c r="G668" s="27"/>
      <c r="H668" s="27"/>
      <c r="I668" s="27"/>
      <c r="J668" s="28"/>
    </row>
    <row r="669" spans="5:10" ht="14.5" x14ac:dyDescent="0.35">
      <c r="E669" s="27"/>
      <c r="F669" s="27"/>
      <c r="G669" s="27"/>
      <c r="H669" s="27"/>
      <c r="I669" s="27"/>
      <c r="J669" s="28"/>
    </row>
    <row r="670" spans="5:10" ht="14.5" x14ac:dyDescent="0.35">
      <c r="E670" s="27"/>
      <c r="F670" s="27"/>
      <c r="G670" s="27"/>
      <c r="H670" s="27"/>
      <c r="I670" s="27"/>
      <c r="J670" s="28"/>
    </row>
    <row r="671" spans="5:10" ht="14.5" x14ac:dyDescent="0.35">
      <c r="E671" s="27"/>
      <c r="F671" s="27"/>
      <c r="G671" s="27"/>
      <c r="H671" s="27"/>
      <c r="I671" s="27"/>
      <c r="J671" s="28"/>
    </row>
    <row r="672" spans="5:10" ht="14.5" x14ac:dyDescent="0.35">
      <c r="E672" s="27"/>
      <c r="F672" s="27"/>
      <c r="G672" s="27"/>
      <c r="H672" s="27"/>
      <c r="I672" s="27"/>
      <c r="J672" s="28"/>
    </row>
    <row r="673" spans="5:10" ht="14.5" x14ac:dyDescent="0.35">
      <c r="E673" s="27"/>
      <c r="F673" s="27"/>
      <c r="G673" s="27"/>
      <c r="H673" s="27"/>
      <c r="I673" s="27"/>
      <c r="J673" s="28"/>
    </row>
    <row r="674" spans="5:10" ht="14.5" x14ac:dyDescent="0.35">
      <c r="E674" s="27"/>
      <c r="F674" s="27"/>
      <c r="G674" s="27"/>
      <c r="H674" s="27"/>
      <c r="I674" s="27"/>
      <c r="J674" s="28"/>
    </row>
    <row r="675" spans="5:10" ht="14.5" x14ac:dyDescent="0.35">
      <c r="E675" s="27"/>
      <c r="F675" s="27"/>
      <c r="G675" s="27"/>
      <c r="H675" s="27"/>
      <c r="I675" s="27"/>
      <c r="J675" s="28"/>
    </row>
    <row r="676" spans="5:10" ht="14.5" x14ac:dyDescent="0.35">
      <c r="E676" s="27"/>
      <c r="F676" s="27"/>
      <c r="G676" s="27"/>
      <c r="H676" s="27"/>
      <c r="I676" s="27"/>
      <c r="J676" s="28"/>
    </row>
    <row r="677" spans="5:10" ht="14.5" x14ac:dyDescent="0.35">
      <c r="E677" s="27"/>
      <c r="F677" s="27"/>
      <c r="G677" s="27"/>
      <c r="H677" s="27"/>
      <c r="I677" s="27"/>
      <c r="J677" s="28"/>
    </row>
    <row r="678" spans="5:10" ht="14.5" x14ac:dyDescent="0.35">
      <c r="E678" s="27"/>
      <c r="F678" s="27"/>
      <c r="G678" s="27"/>
      <c r="H678" s="27"/>
      <c r="I678" s="27"/>
      <c r="J678" s="28"/>
    </row>
    <row r="679" spans="5:10" ht="14.5" x14ac:dyDescent="0.35">
      <c r="E679" s="27"/>
      <c r="F679" s="27"/>
      <c r="G679" s="27"/>
      <c r="H679" s="27"/>
      <c r="I679" s="27"/>
      <c r="J679" s="28"/>
    </row>
    <row r="680" spans="5:10" ht="14.5" x14ac:dyDescent="0.35">
      <c r="E680" s="27"/>
      <c r="F680" s="27"/>
      <c r="G680" s="27"/>
      <c r="H680" s="27"/>
      <c r="I680" s="27"/>
      <c r="J680" s="28"/>
    </row>
    <row r="681" spans="5:10" ht="14.5" x14ac:dyDescent="0.35">
      <c r="E681" s="27"/>
      <c r="F681" s="27"/>
      <c r="G681" s="27"/>
      <c r="H681" s="27"/>
      <c r="I681" s="27"/>
      <c r="J681" s="28"/>
    </row>
    <row r="682" spans="5:10" ht="14.5" x14ac:dyDescent="0.35">
      <c r="E682" s="27"/>
      <c r="F682" s="27"/>
      <c r="G682" s="27"/>
      <c r="H682" s="27"/>
      <c r="I682" s="27"/>
      <c r="J682" s="28"/>
    </row>
    <row r="683" spans="5:10" ht="14.5" x14ac:dyDescent="0.35">
      <c r="E683" s="27"/>
      <c r="F683" s="27"/>
      <c r="G683" s="27"/>
      <c r="H683" s="27"/>
      <c r="I683" s="27"/>
      <c r="J683" s="28"/>
    </row>
    <row r="684" spans="5:10" ht="14.5" x14ac:dyDescent="0.35">
      <c r="E684" s="27"/>
      <c r="F684" s="27"/>
      <c r="G684" s="27"/>
      <c r="H684" s="27"/>
      <c r="I684" s="27"/>
      <c r="J684" s="28"/>
    </row>
    <row r="685" spans="5:10" ht="14.5" x14ac:dyDescent="0.35">
      <c r="E685" s="27"/>
      <c r="F685" s="27"/>
      <c r="G685" s="27"/>
      <c r="H685" s="27"/>
      <c r="I685" s="27"/>
      <c r="J685" s="28"/>
    </row>
    <row r="686" spans="5:10" ht="14.5" x14ac:dyDescent="0.35">
      <c r="E686" s="27"/>
      <c r="F686" s="27"/>
      <c r="G686" s="27"/>
      <c r="H686" s="27"/>
      <c r="I686" s="27"/>
      <c r="J686" s="28"/>
    </row>
    <row r="687" spans="5:10" ht="14.5" x14ac:dyDescent="0.35">
      <c r="E687" s="27"/>
      <c r="F687" s="27"/>
      <c r="G687" s="27"/>
      <c r="H687" s="27"/>
      <c r="I687" s="27"/>
      <c r="J687" s="28"/>
    </row>
    <row r="688" spans="5:10" ht="14.5" x14ac:dyDescent="0.35">
      <c r="E688" s="27"/>
      <c r="F688" s="27"/>
      <c r="G688" s="27"/>
      <c r="H688" s="27"/>
      <c r="I688" s="27"/>
      <c r="J688" s="28"/>
    </row>
    <row r="689" spans="5:10" ht="14.5" x14ac:dyDescent="0.35">
      <c r="E689" s="27"/>
      <c r="F689" s="27"/>
      <c r="G689" s="27"/>
      <c r="H689" s="27"/>
      <c r="I689" s="27"/>
      <c r="J689" s="28"/>
    </row>
    <row r="690" spans="5:10" ht="14.5" x14ac:dyDescent="0.35">
      <c r="E690" s="27"/>
      <c r="F690" s="27"/>
      <c r="G690" s="27"/>
      <c r="H690" s="27"/>
      <c r="I690" s="27"/>
      <c r="J690" s="28"/>
    </row>
    <row r="691" spans="5:10" ht="14.5" x14ac:dyDescent="0.35">
      <c r="E691" s="27"/>
      <c r="F691" s="27"/>
      <c r="G691" s="27"/>
      <c r="H691" s="27"/>
      <c r="I691" s="27"/>
      <c r="J691" s="28"/>
    </row>
    <row r="692" spans="5:10" ht="14.5" x14ac:dyDescent="0.35">
      <c r="E692" s="27"/>
      <c r="F692" s="27"/>
      <c r="G692" s="27"/>
      <c r="H692" s="27"/>
      <c r="I692" s="27"/>
      <c r="J692" s="28"/>
    </row>
    <row r="693" spans="5:10" ht="14.5" x14ac:dyDescent="0.35">
      <c r="E693" s="27"/>
      <c r="F693" s="27"/>
      <c r="G693" s="27"/>
      <c r="H693" s="27"/>
      <c r="I693" s="27"/>
      <c r="J693" s="28"/>
    </row>
    <row r="694" spans="5:10" ht="14.5" x14ac:dyDescent="0.35">
      <c r="E694" s="27"/>
      <c r="F694" s="27"/>
      <c r="G694" s="27"/>
      <c r="H694" s="27"/>
      <c r="I694" s="27"/>
      <c r="J694" s="28"/>
    </row>
    <row r="695" spans="5:10" ht="14.5" x14ac:dyDescent="0.35">
      <c r="E695" s="27"/>
      <c r="F695" s="27"/>
      <c r="G695" s="27"/>
      <c r="H695" s="27"/>
      <c r="I695" s="27"/>
      <c r="J695" s="28"/>
    </row>
    <row r="696" spans="5:10" ht="14.5" x14ac:dyDescent="0.35">
      <c r="E696" s="27"/>
      <c r="F696" s="27"/>
      <c r="G696" s="27"/>
      <c r="H696" s="27"/>
      <c r="I696" s="27"/>
      <c r="J696" s="28"/>
    </row>
    <row r="697" spans="5:10" ht="14.5" x14ac:dyDescent="0.35">
      <c r="E697" s="27"/>
      <c r="F697" s="27"/>
      <c r="G697" s="27"/>
      <c r="H697" s="27"/>
      <c r="I697" s="27"/>
      <c r="J697" s="28"/>
    </row>
    <row r="698" spans="5:10" ht="14.5" x14ac:dyDescent="0.35">
      <c r="E698" s="27"/>
      <c r="F698" s="27"/>
      <c r="G698" s="27"/>
      <c r="H698" s="27"/>
      <c r="I698" s="27"/>
      <c r="J698" s="28"/>
    </row>
    <row r="699" spans="5:10" ht="14.5" x14ac:dyDescent="0.35">
      <c r="E699" s="27"/>
      <c r="F699" s="27"/>
      <c r="G699" s="27"/>
      <c r="H699" s="27"/>
      <c r="I699" s="27"/>
      <c r="J699" s="28"/>
    </row>
    <row r="700" spans="5:10" ht="14.5" x14ac:dyDescent="0.35">
      <c r="E700" s="27"/>
      <c r="F700" s="27"/>
      <c r="G700" s="27"/>
      <c r="H700" s="27"/>
      <c r="I700" s="27"/>
      <c r="J700" s="28"/>
    </row>
    <row r="701" spans="5:10" ht="14.5" x14ac:dyDescent="0.35">
      <c r="E701" s="27"/>
      <c r="F701" s="27"/>
      <c r="G701" s="27"/>
      <c r="H701" s="27"/>
      <c r="I701" s="27"/>
      <c r="J701" s="28"/>
    </row>
    <row r="702" spans="5:10" ht="14.5" x14ac:dyDescent="0.35">
      <c r="E702" s="27"/>
      <c r="F702" s="27"/>
      <c r="G702" s="27"/>
      <c r="H702" s="27"/>
      <c r="I702" s="27"/>
      <c r="J702" s="28"/>
    </row>
    <row r="703" spans="5:10" ht="14.5" x14ac:dyDescent="0.35">
      <c r="E703" s="27"/>
      <c r="F703" s="27"/>
      <c r="G703" s="27"/>
      <c r="H703" s="27"/>
      <c r="I703" s="27"/>
      <c r="J703" s="28"/>
    </row>
    <row r="704" spans="5:10" ht="14.5" x14ac:dyDescent="0.35">
      <c r="E704" s="27"/>
      <c r="F704" s="27"/>
      <c r="G704" s="27"/>
      <c r="H704" s="27"/>
      <c r="I704" s="27"/>
      <c r="J704" s="28"/>
    </row>
    <row r="705" spans="5:10" ht="14.5" x14ac:dyDescent="0.35">
      <c r="E705" s="27"/>
      <c r="F705" s="27"/>
      <c r="G705" s="27"/>
      <c r="H705" s="27"/>
      <c r="I705" s="27"/>
      <c r="J705" s="28"/>
    </row>
    <row r="706" spans="5:10" ht="14.5" x14ac:dyDescent="0.35">
      <c r="E706" s="27"/>
      <c r="F706" s="27"/>
      <c r="G706" s="27"/>
      <c r="H706" s="27"/>
      <c r="I706" s="27"/>
      <c r="J706" s="28"/>
    </row>
    <row r="707" spans="5:10" ht="14.5" x14ac:dyDescent="0.35">
      <c r="E707" s="27"/>
      <c r="F707" s="27"/>
      <c r="G707" s="27"/>
      <c r="H707" s="27"/>
      <c r="I707" s="27"/>
      <c r="J707" s="28"/>
    </row>
    <row r="708" spans="5:10" ht="14.5" x14ac:dyDescent="0.35">
      <c r="E708" s="27"/>
      <c r="F708" s="27"/>
      <c r="G708" s="27"/>
      <c r="H708" s="27"/>
      <c r="I708" s="27"/>
      <c r="J708" s="28"/>
    </row>
    <row r="709" spans="5:10" ht="14.5" x14ac:dyDescent="0.35">
      <c r="E709" s="27"/>
      <c r="F709" s="27"/>
      <c r="G709" s="27"/>
      <c r="H709" s="27"/>
      <c r="I709" s="27"/>
      <c r="J709" s="28"/>
    </row>
    <row r="710" spans="5:10" ht="14.5" x14ac:dyDescent="0.35">
      <c r="E710" s="27"/>
      <c r="F710" s="27"/>
      <c r="G710" s="27"/>
      <c r="H710" s="27"/>
      <c r="I710" s="27"/>
      <c r="J710" s="28"/>
    </row>
    <row r="711" spans="5:10" ht="14.5" x14ac:dyDescent="0.35">
      <c r="E711" s="27"/>
      <c r="F711" s="27"/>
      <c r="G711" s="27"/>
      <c r="H711" s="27"/>
      <c r="I711" s="27"/>
      <c r="J711" s="28"/>
    </row>
    <row r="712" spans="5:10" ht="14.5" x14ac:dyDescent="0.35">
      <c r="E712" s="27"/>
      <c r="F712" s="27"/>
      <c r="G712" s="27"/>
      <c r="H712" s="27"/>
      <c r="I712" s="27"/>
      <c r="J712" s="28"/>
    </row>
    <row r="713" spans="5:10" ht="14.5" x14ac:dyDescent="0.35">
      <c r="E713" s="27"/>
      <c r="F713" s="27"/>
      <c r="G713" s="27"/>
      <c r="H713" s="27"/>
      <c r="I713" s="27"/>
      <c r="J713" s="28"/>
    </row>
    <row r="714" spans="5:10" ht="14.5" x14ac:dyDescent="0.35">
      <c r="E714" s="27"/>
      <c r="F714" s="27"/>
      <c r="G714" s="27"/>
      <c r="H714" s="27"/>
      <c r="I714" s="27"/>
      <c r="J714" s="28"/>
    </row>
    <row r="715" spans="5:10" ht="14.5" x14ac:dyDescent="0.35">
      <c r="E715" s="27"/>
      <c r="F715" s="27"/>
      <c r="G715" s="27"/>
      <c r="H715" s="27"/>
      <c r="I715" s="27"/>
      <c r="J715" s="28"/>
    </row>
    <row r="716" spans="5:10" ht="14.5" x14ac:dyDescent="0.35">
      <c r="E716" s="27"/>
      <c r="F716" s="27"/>
      <c r="G716" s="27"/>
      <c r="H716" s="27"/>
      <c r="I716" s="27"/>
      <c r="J716" s="28"/>
    </row>
    <row r="717" spans="5:10" ht="14.5" x14ac:dyDescent="0.35">
      <c r="E717" s="27"/>
      <c r="F717" s="27"/>
      <c r="G717" s="27"/>
      <c r="H717" s="27"/>
      <c r="I717" s="27"/>
      <c r="J717" s="28"/>
    </row>
    <row r="718" spans="5:10" ht="14.5" x14ac:dyDescent="0.35">
      <c r="E718" s="27"/>
      <c r="F718" s="27"/>
      <c r="G718" s="27"/>
      <c r="H718" s="27"/>
      <c r="I718" s="27"/>
      <c r="J718" s="28"/>
    </row>
    <row r="719" spans="5:10" ht="14.5" x14ac:dyDescent="0.35">
      <c r="E719" s="27"/>
      <c r="F719" s="27"/>
      <c r="G719" s="27"/>
      <c r="H719" s="27"/>
      <c r="I719" s="27"/>
      <c r="J719" s="28"/>
    </row>
    <row r="720" spans="5:10" ht="14.5" x14ac:dyDescent="0.35">
      <c r="E720" s="27"/>
      <c r="F720" s="27"/>
      <c r="G720" s="27"/>
      <c r="H720" s="27"/>
      <c r="I720" s="27"/>
      <c r="J720" s="28"/>
    </row>
    <row r="721" spans="5:10" ht="14.5" x14ac:dyDescent="0.35">
      <c r="E721" s="27"/>
      <c r="F721" s="27"/>
      <c r="G721" s="27"/>
      <c r="H721" s="27"/>
      <c r="I721" s="27"/>
      <c r="J721" s="28"/>
    </row>
    <row r="722" spans="5:10" ht="14.5" x14ac:dyDescent="0.35">
      <c r="E722" s="27"/>
      <c r="F722" s="27"/>
      <c r="G722" s="27"/>
      <c r="H722" s="27"/>
      <c r="I722" s="27"/>
      <c r="J722" s="28"/>
    </row>
    <row r="723" spans="5:10" ht="14.5" x14ac:dyDescent="0.35">
      <c r="E723" s="27"/>
      <c r="F723" s="27"/>
      <c r="G723" s="27"/>
      <c r="H723" s="27"/>
      <c r="I723" s="27"/>
      <c r="J723" s="28"/>
    </row>
    <row r="724" spans="5:10" ht="14.5" x14ac:dyDescent="0.35">
      <c r="E724" s="27"/>
      <c r="F724" s="27"/>
      <c r="G724" s="27"/>
      <c r="H724" s="27"/>
      <c r="I724" s="27"/>
      <c r="J724" s="28"/>
    </row>
    <row r="725" spans="5:10" ht="14.5" x14ac:dyDescent="0.35">
      <c r="E725" s="27"/>
      <c r="F725" s="27"/>
      <c r="G725" s="27"/>
      <c r="H725" s="27"/>
      <c r="I725" s="27"/>
      <c r="J725" s="28"/>
    </row>
    <row r="726" spans="5:10" ht="14.5" x14ac:dyDescent="0.35">
      <c r="E726" s="27"/>
      <c r="F726" s="27"/>
      <c r="G726" s="27"/>
      <c r="H726" s="27"/>
      <c r="I726" s="27"/>
      <c r="J726" s="28"/>
    </row>
    <row r="727" spans="5:10" ht="14.5" x14ac:dyDescent="0.35">
      <c r="E727" s="27"/>
      <c r="F727" s="27"/>
      <c r="G727" s="27"/>
      <c r="H727" s="27"/>
      <c r="I727" s="27"/>
      <c r="J727" s="28"/>
    </row>
    <row r="728" spans="5:10" ht="14.5" x14ac:dyDescent="0.35">
      <c r="E728" s="27"/>
      <c r="F728" s="27"/>
      <c r="G728" s="27"/>
      <c r="H728" s="27"/>
      <c r="I728" s="27"/>
      <c r="J728" s="28"/>
    </row>
    <row r="729" spans="5:10" ht="14.5" x14ac:dyDescent="0.35">
      <c r="E729" s="27"/>
      <c r="F729" s="27"/>
      <c r="G729" s="27"/>
      <c r="H729" s="27"/>
      <c r="I729" s="27"/>
      <c r="J729" s="28"/>
    </row>
    <row r="730" spans="5:10" ht="14.5" x14ac:dyDescent="0.35">
      <c r="E730" s="27"/>
      <c r="F730" s="27"/>
      <c r="G730" s="27"/>
      <c r="H730" s="27"/>
      <c r="I730" s="27"/>
      <c r="J730" s="28"/>
    </row>
    <row r="731" spans="5:10" ht="14.5" x14ac:dyDescent="0.35">
      <c r="E731" s="27"/>
      <c r="F731" s="27"/>
      <c r="G731" s="27"/>
      <c r="H731" s="27"/>
      <c r="I731" s="27"/>
      <c r="J731" s="28"/>
    </row>
    <row r="732" spans="5:10" ht="14.5" x14ac:dyDescent="0.35">
      <c r="E732" s="27"/>
      <c r="F732" s="27"/>
      <c r="G732" s="27"/>
      <c r="H732" s="27"/>
      <c r="I732" s="27"/>
      <c r="J732" s="28"/>
    </row>
    <row r="733" spans="5:10" ht="14.5" x14ac:dyDescent="0.35">
      <c r="E733" s="27"/>
      <c r="F733" s="27"/>
      <c r="G733" s="27"/>
      <c r="H733" s="27"/>
      <c r="I733" s="27"/>
      <c r="J733" s="28"/>
    </row>
    <row r="734" spans="5:10" ht="14.5" x14ac:dyDescent="0.35">
      <c r="E734" s="27"/>
      <c r="F734" s="27"/>
      <c r="G734" s="27"/>
      <c r="H734" s="27"/>
      <c r="I734" s="27"/>
      <c r="J734" s="28"/>
    </row>
    <row r="735" spans="5:10" ht="14.5" x14ac:dyDescent="0.35">
      <c r="E735" s="27"/>
      <c r="F735" s="27"/>
      <c r="G735" s="27"/>
      <c r="H735" s="27"/>
      <c r="I735" s="27"/>
      <c r="J735" s="28"/>
    </row>
    <row r="736" spans="5:10" ht="14.5" x14ac:dyDescent="0.35">
      <c r="E736" s="27"/>
      <c r="F736" s="27"/>
      <c r="G736" s="27"/>
      <c r="H736" s="27"/>
      <c r="I736" s="27"/>
      <c r="J736" s="28"/>
    </row>
    <row r="737" spans="5:10" ht="14.5" x14ac:dyDescent="0.35">
      <c r="E737" s="27"/>
      <c r="F737" s="27"/>
      <c r="G737" s="27"/>
      <c r="H737" s="27"/>
      <c r="I737" s="27"/>
      <c r="J737" s="28"/>
    </row>
    <row r="738" spans="5:10" ht="14.5" x14ac:dyDescent="0.35">
      <c r="E738" s="27"/>
      <c r="F738" s="27"/>
      <c r="G738" s="27"/>
      <c r="H738" s="27"/>
      <c r="I738" s="27"/>
      <c r="J738" s="28"/>
    </row>
    <row r="739" spans="5:10" ht="14.5" x14ac:dyDescent="0.35">
      <c r="E739" s="27"/>
      <c r="F739" s="27"/>
      <c r="G739" s="27"/>
      <c r="H739" s="27"/>
      <c r="I739" s="27"/>
      <c r="J739" s="28"/>
    </row>
    <row r="740" spans="5:10" ht="14.5" x14ac:dyDescent="0.35">
      <c r="E740" s="27"/>
      <c r="F740" s="27"/>
      <c r="G740" s="27"/>
      <c r="H740" s="27"/>
      <c r="I740" s="27"/>
      <c r="J740" s="28"/>
    </row>
    <row r="741" spans="5:10" ht="14.5" x14ac:dyDescent="0.35">
      <c r="E741" s="27"/>
      <c r="F741" s="27"/>
      <c r="G741" s="27"/>
      <c r="H741" s="27"/>
      <c r="I741" s="27"/>
      <c r="J741" s="28"/>
    </row>
    <row r="742" spans="5:10" ht="14.5" x14ac:dyDescent="0.35">
      <c r="E742" s="27"/>
      <c r="F742" s="27"/>
      <c r="G742" s="27"/>
      <c r="H742" s="27"/>
      <c r="I742" s="27"/>
      <c r="J742" s="28"/>
    </row>
    <row r="743" spans="5:10" ht="14.5" x14ac:dyDescent="0.35">
      <c r="E743" s="27"/>
      <c r="F743" s="27"/>
      <c r="G743" s="27"/>
      <c r="H743" s="27"/>
      <c r="I743" s="27"/>
      <c r="J743" s="28"/>
    </row>
    <row r="744" spans="5:10" ht="14.5" x14ac:dyDescent="0.35">
      <c r="E744" s="27"/>
      <c r="F744" s="27"/>
      <c r="G744" s="27"/>
      <c r="H744" s="27"/>
      <c r="I744" s="27"/>
      <c r="J744" s="28"/>
    </row>
    <row r="745" spans="5:10" ht="14.5" x14ac:dyDescent="0.35">
      <c r="E745" s="27"/>
      <c r="F745" s="27"/>
      <c r="G745" s="27"/>
      <c r="H745" s="27"/>
      <c r="I745" s="27"/>
      <c r="J745" s="28"/>
    </row>
    <row r="746" spans="5:10" ht="14.5" x14ac:dyDescent="0.35">
      <c r="E746" s="27"/>
      <c r="F746" s="27"/>
      <c r="G746" s="27"/>
      <c r="H746" s="27"/>
      <c r="I746" s="27"/>
      <c r="J746" s="28"/>
    </row>
    <row r="747" spans="5:10" ht="14.5" x14ac:dyDescent="0.35">
      <c r="E747" s="27"/>
      <c r="F747" s="27"/>
      <c r="G747" s="27"/>
      <c r="H747" s="27"/>
      <c r="I747" s="27"/>
      <c r="J747" s="28"/>
    </row>
    <row r="748" spans="5:10" ht="14.5" x14ac:dyDescent="0.35">
      <c r="E748" s="27"/>
      <c r="F748" s="27"/>
      <c r="G748" s="27"/>
      <c r="H748" s="27"/>
      <c r="I748" s="27"/>
      <c r="J748" s="28"/>
    </row>
    <row r="749" spans="5:10" ht="14.5" x14ac:dyDescent="0.35">
      <c r="E749" s="27"/>
      <c r="F749" s="27"/>
      <c r="G749" s="27"/>
      <c r="H749" s="27"/>
      <c r="I749" s="27"/>
      <c r="J749" s="28"/>
    </row>
    <row r="750" spans="5:10" ht="14.5" x14ac:dyDescent="0.35">
      <c r="E750" s="27"/>
      <c r="F750" s="27"/>
      <c r="G750" s="27"/>
      <c r="H750" s="27"/>
      <c r="I750" s="27"/>
      <c r="J750" s="28"/>
    </row>
    <row r="751" spans="5:10" ht="14.5" x14ac:dyDescent="0.35">
      <c r="E751" s="27"/>
      <c r="F751" s="27"/>
      <c r="G751" s="27"/>
      <c r="H751" s="27"/>
      <c r="I751" s="27"/>
      <c r="J751" s="28"/>
    </row>
    <row r="752" spans="5:10" ht="14.5" x14ac:dyDescent="0.35">
      <c r="E752" s="27"/>
      <c r="F752" s="27"/>
      <c r="G752" s="27"/>
      <c r="H752" s="27"/>
      <c r="I752" s="27"/>
      <c r="J752" s="28"/>
    </row>
    <row r="753" spans="5:10" ht="14.5" x14ac:dyDescent="0.35">
      <c r="E753" s="27"/>
      <c r="F753" s="27"/>
      <c r="G753" s="27"/>
      <c r="H753" s="27"/>
      <c r="I753" s="27"/>
      <c r="J753" s="28"/>
    </row>
    <row r="754" spans="5:10" ht="14.5" x14ac:dyDescent="0.35">
      <c r="E754" s="27"/>
      <c r="F754" s="27"/>
      <c r="G754" s="27"/>
      <c r="H754" s="27"/>
      <c r="I754" s="27"/>
      <c r="J754" s="28"/>
    </row>
    <row r="755" spans="5:10" ht="14.5" x14ac:dyDescent="0.35">
      <c r="E755" s="27"/>
      <c r="F755" s="27"/>
      <c r="G755" s="27"/>
      <c r="H755" s="27"/>
      <c r="I755" s="27"/>
      <c r="J755" s="28"/>
    </row>
    <row r="756" spans="5:10" ht="14.5" x14ac:dyDescent="0.35">
      <c r="E756" s="27"/>
      <c r="F756" s="27"/>
      <c r="G756" s="27"/>
      <c r="H756" s="27"/>
      <c r="I756" s="27"/>
      <c r="J756" s="28"/>
    </row>
    <row r="757" spans="5:10" ht="14.5" x14ac:dyDescent="0.35">
      <c r="E757" s="27"/>
      <c r="F757" s="27"/>
      <c r="G757" s="27"/>
      <c r="H757" s="27"/>
      <c r="I757" s="27"/>
      <c r="J757" s="28"/>
    </row>
    <row r="758" spans="5:10" ht="14.5" x14ac:dyDescent="0.35">
      <c r="E758" s="27"/>
      <c r="F758" s="27"/>
      <c r="G758" s="27"/>
      <c r="H758" s="27"/>
      <c r="I758" s="27"/>
      <c r="J758" s="28"/>
    </row>
    <row r="759" spans="5:10" ht="14.5" x14ac:dyDescent="0.35">
      <c r="E759" s="27"/>
      <c r="F759" s="27"/>
      <c r="G759" s="27"/>
      <c r="H759" s="27"/>
      <c r="I759" s="27"/>
      <c r="J759" s="28"/>
    </row>
    <row r="760" spans="5:10" ht="14.5" x14ac:dyDescent="0.35">
      <c r="E760" s="27"/>
      <c r="F760" s="27"/>
      <c r="G760" s="27"/>
      <c r="H760" s="27"/>
      <c r="I760" s="27"/>
      <c r="J760" s="28"/>
    </row>
    <row r="761" spans="5:10" ht="14.5" x14ac:dyDescent="0.35">
      <c r="E761" s="27"/>
      <c r="F761" s="27"/>
      <c r="G761" s="27"/>
      <c r="H761" s="27"/>
      <c r="I761" s="27"/>
      <c r="J761" s="28"/>
    </row>
    <row r="762" spans="5:10" ht="14.5" x14ac:dyDescent="0.35">
      <c r="E762" s="27"/>
      <c r="F762" s="27"/>
      <c r="G762" s="27"/>
      <c r="H762" s="27"/>
      <c r="I762" s="27"/>
      <c r="J762" s="28"/>
    </row>
    <row r="763" spans="5:10" ht="14.5" x14ac:dyDescent="0.35">
      <c r="E763" s="27"/>
      <c r="F763" s="27"/>
      <c r="G763" s="27"/>
      <c r="H763" s="27"/>
      <c r="I763" s="27"/>
      <c r="J763" s="28"/>
    </row>
    <row r="764" spans="5:10" ht="14.5" x14ac:dyDescent="0.35">
      <c r="E764" s="27"/>
      <c r="F764" s="27"/>
      <c r="G764" s="27"/>
      <c r="H764" s="27"/>
      <c r="I764" s="27"/>
      <c r="J764" s="28"/>
    </row>
    <row r="765" spans="5:10" ht="14.5" x14ac:dyDescent="0.35">
      <c r="E765" s="27"/>
      <c r="F765" s="27"/>
      <c r="G765" s="27"/>
      <c r="H765" s="27"/>
      <c r="I765" s="27"/>
      <c r="J765" s="28"/>
    </row>
    <row r="766" spans="5:10" ht="14.5" x14ac:dyDescent="0.35">
      <c r="E766" s="27"/>
      <c r="F766" s="27"/>
      <c r="G766" s="27"/>
      <c r="H766" s="27"/>
      <c r="I766" s="27"/>
      <c r="J766" s="28"/>
    </row>
    <row r="767" spans="5:10" ht="14.5" x14ac:dyDescent="0.35">
      <c r="E767" s="27"/>
      <c r="F767" s="27"/>
      <c r="G767" s="27"/>
      <c r="H767" s="27"/>
      <c r="I767" s="27"/>
      <c r="J767" s="28"/>
    </row>
    <row r="768" spans="5:10" ht="14.5" x14ac:dyDescent="0.35">
      <c r="E768" s="27"/>
      <c r="F768" s="27"/>
      <c r="G768" s="27"/>
      <c r="H768" s="27"/>
      <c r="I768" s="27"/>
      <c r="J768" s="28"/>
    </row>
    <row r="769" spans="5:10" ht="14.5" x14ac:dyDescent="0.35">
      <c r="E769" s="27"/>
      <c r="F769" s="27"/>
      <c r="G769" s="27"/>
      <c r="H769" s="27"/>
      <c r="I769" s="27"/>
      <c r="J769" s="28"/>
    </row>
    <row r="770" spans="5:10" ht="14.5" x14ac:dyDescent="0.35">
      <c r="E770" s="27"/>
      <c r="F770" s="27"/>
      <c r="G770" s="27"/>
      <c r="H770" s="27"/>
      <c r="I770" s="27"/>
      <c r="J770" s="28"/>
    </row>
    <row r="771" spans="5:10" ht="14.5" x14ac:dyDescent="0.35">
      <c r="E771" s="27"/>
      <c r="F771" s="27"/>
      <c r="G771" s="27"/>
      <c r="H771" s="27"/>
      <c r="I771" s="27"/>
      <c r="J771" s="28"/>
    </row>
    <row r="772" spans="5:10" ht="14.5" x14ac:dyDescent="0.35">
      <c r="E772" s="27"/>
      <c r="F772" s="27"/>
      <c r="G772" s="27"/>
      <c r="H772" s="27"/>
      <c r="I772" s="27"/>
      <c r="J772" s="28"/>
    </row>
    <row r="773" spans="5:10" ht="14.5" x14ac:dyDescent="0.35">
      <c r="E773" s="27"/>
      <c r="F773" s="27"/>
      <c r="G773" s="27"/>
      <c r="H773" s="27"/>
      <c r="I773" s="27"/>
      <c r="J773" s="28"/>
    </row>
    <row r="774" spans="5:10" ht="14.5" x14ac:dyDescent="0.35">
      <c r="E774" s="27"/>
      <c r="F774" s="27"/>
      <c r="G774" s="27"/>
      <c r="H774" s="27"/>
      <c r="I774" s="27"/>
      <c r="J774" s="28"/>
    </row>
    <row r="775" spans="5:10" ht="14.5" x14ac:dyDescent="0.35">
      <c r="E775" s="27"/>
      <c r="F775" s="27"/>
      <c r="G775" s="27"/>
      <c r="H775" s="27"/>
      <c r="I775" s="27"/>
      <c r="J775" s="28"/>
    </row>
    <row r="776" spans="5:10" ht="14.5" x14ac:dyDescent="0.35">
      <c r="E776" s="27"/>
      <c r="F776" s="27"/>
      <c r="G776" s="27"/>
      <c r="H776" s="27"/>
      <c r="I776" s="27"/>
      <c r="J776" s="28"/>
    </row>
    <row r="777" spans="5:10" ht="14.5" x14ac:dyDescent="0.35">
      <c r="E777" s="27"/>
      <c r="F777" s="27"/>
      <c r="G777" s="27"/>
      <c r="H777" s="27"/>
      <c r="I777" s="27"/>
      <c r="J777" s="28"/>
    </row>
    <row r="778" spans="5:10" ht="14.5" x14ac:dyDescent="0.35">
      <c r="E778" s="27"/>
      <c r="F778" s="27"/>
      <c r="G778" s="27"/>
      <c r="H778" s="27"/>
      <c r="I778" s="27"/>
      <c r="J778" s="28"/>
    </row>
    <row r="779" spans="5:10" ht="14.5" x14ac:dyDescent="0.35">
      <c r="E779" s="27"/>
      <c r="F779" s="27"/>
      <c r="G779" s="27"/>
      <c r="H779" s="27"/>
      <c r="I779" s="27"/>
      <c r="J779" s="28"/>
    </row>
    <row r="780" spans="5:10" ht="14.5" x14ac:dyDescent="0.35">
      <c r="E780" s="27"/>
      <c r="F780" s="27"/>
      <c r="G780" s="27"/>
      <c r="H780" s="27"/>
      <c r="I780" s="27"/>
      <c r="J780" s="28"/>
    </row>
    <row r="781" spans="5:10" ht="14.5" x14ac:dyDescent="0.35">
      <c r="E781" s="27"/>
      <c r="F781" s="27"/>
      <c r="G781" s="27"/>
      <c r="H781" s="27"/>
      <c r="I781" s="27"/>
      <c r="J781" s="28"/>
    </row>
    <row r="782" spans="5:10" ht="14.5" x14ac:dyDescent="0.35">
      <c r="E782" s="27"/>
      <c r="F782" s="27"/>
      <c r="G782" s="27"/>
      <c r="H782" s="27"/>
      <c r="I782" s="27"/>
      <c r="J782" s="28"/>
    </row>
    <row r="783" spans="5:10" ht="14.5" x14ac:dyDescent="0.35">
      <c r="E783" s="27"/>
      <c r="F783" s="27"/>
      <c r="G783" s="27"/>
      <c r="H783" s="27"/>
      <c r="I783" s="27"/>
      <c r="J783" s="28"/>
    </row>
    <row r="784" spans="5:10" ht="14.5" x14ac:dyDescent="0.35">
      <c r="E784" s="27"/>
      <c r="F784" s="27"/>
      <c r="G784" s="27"/>
      <c r="H784" s="27"/>
      <c r="I784" s="27"/>
      <c r="J784" s="28"/>
    </row>
    <row r="785" spans="5:10" ht="14.5" x14ac:dyDescent="0.35">
      <c r="E785" s="27"/>
      <c r="F785" s="27"/>
      <c r="G785" s="27"/>
      <c r="H785" s="27"/>
      <c r="I785" s="27"/>
      <c r="J785" s="28"/>
    </row>
    <row r="786" spans="5:10" ht="14.5" x14ac:dyDescent="0.35">
      <c r="E786" s="27"/>
      <c r="F786" s="27"/>
      <c r="G786" s="27"/>
      <c r="H786" s="27"/>
      <c r="I786" s="27"/>
      <c r="J786" s="28"/>
    </row>
    <row r="787" spans="5:10" ht="14.5" x14ac:dyDescent="0.35">
      <c r="E787" s="27"/>
      <c r="F787" s="27"/>
      <c r="G787" s="27"/>
      <c r="H787" s="27"/>
      <c r="I787" s="27"/>
      <c r="J787" s="28"/>
    </row>
    <row r="788" spans="5:10" ht="14.5" x14ac:dyDescent="0.35">
      <c r="E788" s="27"/>
      <c r="F788" s="27"/>
      <c r="G788" s="27"/>
      <c r="H788" s="27"/>
      <c r="I788" s="27"/>
      <c r="J788" s="28"/>
    </row>
    <row r="789" spans="5:10" ht="14.5" x14ac:dyDescent="0.35">
      <c r="E789" s="27"/>
      <c r="F789" s="27"/>
      <c r="G789" s="27"/>
      <c r="H789" s="27"/>
      <c r="I789" s="27"/>
      <c r="J789" s="28"/>
    </row>
    <row r="790" spans="5:10" ht="14.5" x14ac:dyDescent="0.35">
      <c r="E790" s="27"/>
      <c r="F790" s="27"/>
      <c r="G790" s="27"/>
      <c r="H790" s="27"/>
      <c r="I790" s="27"/>
      <c r="J790" s="28"/>
    </row>
    <row r="791" spans="5:10" ht="14.5" x14ac:dyDescent="0.35">
      <c r="E791" s="27"/>
      <c r="F791" s="27"/>
      <c r="G791" s="27"/>
      <c r="H791" s="27"/>
      <c r="I791" s="27"/>
      <c r="J791" s="28"/>
    </row>
    <row r="792" spans="5:10" ht="14.5" x14ac:dyDescent="0.35">
      <c r="E792" s="27"/>
      <c r="F792" s="27"/>
      <c r="G792" s="27"/>
      <c r="H792" s="27"/>
      <c r="I792" s="27"/>
      <c r="J792" s="28"/>
    </row>
    <row r="793" spans="5:10" ht="14.5" x14ac:dyDescent="0.35">
      <c r="E793" s="27"/>
      <c r="F793" s="27"/>
      <c r="G793" s="27"/>
      <c r="H793" s="27"/>
      <c r="I793" s="27"/>
      <c r="J793" s="28"/>
    </row>
    <row r="794" spans="5:10" ht="14.5" x14ac:dyDescent="0.35">
      <c r="E794" s="27"/>
      <c r="F794" s="27"/>
      <c r="G794" s="27"/>
      <c r="H794" s="27"/>
      <c r="I794" s="27"/>
      <c r="J794" s="28"/>
    </row>
    <row r="795" spans="5:10" ht="14.5" x14ac:dyDescent="0.35">
      <c r="E795" s="27"/>
      <c r="F795" s="27"/>
      <c r="G795" s="27"/>
      <c r="H795" s="27"/>
      <c r="I795" s="27"/>
      <c r="J795" s="28"/>
    </row>
    <row r="796" spans="5:10" ht="14.5" x14ac:dyDescent="0.35">
      <c r="E796" s="27"/>
      <c r="F796" s="27"/>
      <c r="G796" s="27"/>
      <c r="H796" s="27"/>
      <c r="I796" s="27"/>
      <c r="J796" s="28"/>
    </row>
    <row r="797" spans="5:10" ht="14.5" x14ac:dyDescent="0.35">
      <c r="E797" s="27"/>
      <c r="F797" s="27"/>
      <c r="G797" s="27"/>
      <c r="H797" s="27"/>
      <c r="I797" s="27"/>
      <c r="J797" s="28"/>
    </row>
    <row r="798" spans="5:10" ht="14.5" x14ac:dyDescent="0.35">
      <c r="E798" s="27"/>
      <c r="F798" s="27"/>
      <c r="G798" s="27"/>
      <c r="H798" s="27"/>
      <c r="I798" s="27"/>
      <c r="J798" s="28"/>
    </row>
    <row r="799" spans="5:10" ht="14.5" x14ac:dyDescent="0.35">
      <c r="E799" s="27"/>
      <c r="F799" s="27"/>
      <c r="G799" s="27"/>
      <c r="H799" s="27"/>
      <c r="I799" s="27"/>
      <c r="J799" s="28"/>
    </row>
    <row r="800" spans="5:10" ht="14.5" x14ac:dyDescent="0.35">
      <c r="E800" s="27"/>
      <c r="F800" s="27"/>
      <c r="G800" s="27"/>
      <c r="H800" s="27"/>
      <c r="I800" s="27"/>
      <c r="J800" s="28"/>
    </row>
    <row r="801" spans="5:10" ht="14.5" x14ac:dyDescent="0.35">
      <c r="E801" s="27"/>
      <c r="F801" s="27"/>
      <c r="G801" s="27"/>
      <c r="H801" s="27"/>
      <c r="I801" s="27"/>
      <c r="J801" s="28"/>
    </row>
    <row r="802" spans="5:10" ht="14.5" x14ac:dyDescent="0.35">
      <c r="E802" s="27"/>
      <c r="F802" s="27"/>
      <c r="G802" s="27"/>
      <c r="H802" s="27"/>
      <c r="I802" s="27"/>
      <c r="J802" s="28"/>
    </row>
    <row r="803" spans="5:10" ht="14.5" x14ac:dyDescent="0.35">
      <c r="E803" s="27"/>
      <c r="F803" s="27"/>
      <c r="G803" s="27"/>
      <c r="H803" s="27"/>
      <c r="I803" s="27"/>
      <c r="J803" s="28"/>
    </row>
    <row r="804" spans="5:10" ht="14.5" x14ac:dyDescent="0.35">
      <c r="E804" s="27"/>
      <c r="F804" s="27"/>
      <c r="G804" s="27"/>
      <c r="H804" s="27"/>
      <c r="I804" s="27"/>
      <c r="J804" s="28"/>
    </row>
    <row r="805" spans="5:10" ht="14.5" x14ac:dyDescent="0.35">
      <c r="E805" s="27"/>
      <c r="F805" s="27"/>
      <c r="G805" s="27"/>
      <c r="H805" s="27"/>
      <c r="I805" s="27"/>
      <c r="J805" s="28"/>
    </row>
    <row r="806" spans="5:10" ht="14.5" x14ac:dyDescent="0.35">
      <c r="E806" s="27"/>
      <c r="F806" s="27"/>
      <c r="G806" s="27"/>
      <c r="H806" s="27"/>
      <c r="I806" s="27"/>
      <c r="J806" s="28"/>
    </row>
    <row r="807" spans="5:10" ht="14.5" x14ac:dyDescent="0.35">
      <c r="E807" s="27"/>
      <c r="F807" s="27"/>
      <c r="G807" s="27"/>
      <c r="H807" s="27"/>
      <c r="I807" s="27"/>
      <c r="J807" s="28"/>
    </row>
    <row r="808" spans="5:10" ht="14.5" x14ac:dyDescent="0.35">
      <c r="E808" s="27"/>
      <c r="F808" s="27"/>
      <c r="G808" s="27"/>
      <c r="H808" s="27"/>
      <c r="I808" s="27"/>
      <c r="J808" s="28"/>
    </row>
    <row r="809" spans="5:10" ht="14.5" x14ac:dyDescent="0.35">
      <c r="E809" s="27"/>
      <c r="F809" s="27"/>
      <c r="G809" s="27"/>
      <c r="H809" s="27"/>
      <c r="I809" s="27"/>
      <c r="J809" s="28"/>
    </row>
    <row r="810" spans="5:10" ht="14.5" x14ac:dyDescent="0.35">
      <c r="E810" s="27"/>
      <c r="F810" s="27"/>
      <c r="G810" s="27"/>
      <c r="H810" s="27"/>
      <c r="I810" s="27"/>
      <c r="J810" s="28"/>
    </row>
    <row r="811" spans="5:10" ht="14.5" x14ac:dyDescent="0.35">
      <c r="E811" s="27"/>
      <c r="F811" s="27"/>
      <c r="G811" s="27"/>
      <c r="H811" s="27"/>
      <c r="I811" s="27"/>
      <c r="J811" s="28"/>
    </row>
    <row r="812" spans="5:10" ht="14.5" x14ac:dyDescent="0.35">
      <c r="E812" s="27"/>
      <c r="F812" s="27"/>
      <c r="G812" s="27"/>
      <c r="H812" s="27"/>
      <c r="I812" s="27"/>
      <c r="J812" s="28"/>
    </row>
    <row r="813" spans="5:10" ht="14.5" x14ac:dyDescent="0.35">
      <c r="E813" s="27"/>
      <c r="F813" s="27"/>
      <c r="G813" s="27"/>
      <c r="H813" s="27"/>
      <c r="I813" s="27"/>
      <c r="J813" s="28"/>
    </row>
    <row r="814" spans="5:10" ht="14.5" x14ac:dyDescent="0.35">
      <c r="E814" s="27"/>
      <c r="F814" s="27"/>
      <c r="G814" s="27"/>
      <c r="H814" s="27"/>
      <c r="I814" s="27"/>
      <c r="J814" s="28"/>
    </row>
    <row r="815" spans="5:10" ht="14.5" x14ac:dyDescent="0.35">
      <c r="E815" s="27"/>
      <c r="F815" s="27"/>
      <c r="G815" s="27"/>
      <c r="H815" s="27"/>
      <c r="I815" s="27"/>
      <c r="J815" s="28"/>
    </row>
    <row r="816" spans="5:10" ht="14.5" x14ac:dyDescent="0.35">
      <c r="E816" s="27"/>
      <c r="F816" s="27"/>
      <c r="G816" s="27"/>
      <c r="H816" s="27"/>
      <c r="I816" s="27"/>
      <c r="J816" s="28"/>
    </row>
    <row r="817" spans="5:10" ht="14.5" x14ac:dyDescent="0.35">
      <c r="E817" s="27"/>
      <c r="F817" s="27"/>
      <c r="G817" s="27"/>
      <c r="H817" s="27"/>
      <c r="I817" s="27"/>
      <c r="J817" s="28"/>
    </row>
    <row r="818" spans="5:10" ht="14.5" x14ac:dyDescent="0.35">
      <c r="E818" s="27"/>
      <c r="F818" s="27"/>
      <c r="G818" s="27"/>
      <c r="H818" s="27"/>
      <c r="I818" s="27"/>
      <c r="J818" s="28"/>
    </row>
    <row r="819" spans="5:10" ht="14.5" x14ac:dyDescent="0.35">
      <c r="E819" s="27"/>
      <c r="F819" s="27"/>
      <c r="G819" s="27"/>
      <c r="H819" s="27"/>
      <c r="I819" s="27"/>
      <c r="J819" s="28"/>
    </row>
    <row r="820" spans="5:10" ht="14.5" x14ac:dyDescent="0.35">
      <c r="E820" s="27"/>
      <c r="F820" s="27"/>
      <c r="G820" s="27"/>
      <c r="H820" s="27"/>
      <c r="I820" s="27"/>
      <c r="J820" s="28"/>
    </row>
    <row r="821" spans="5:10" ht="14.5" x14ac:dyDescent="0.35">
      <c r="E821" s="27"/>
      <c r="F821" s="27"/>
      <c r="G821" s="27"/>
      <c r="H821" s="27"/>
      <c r="I821" s="27"/>
      <c r="J821" s="28"/>
    </row>
    <row r="822" spans="5:10" ht="14.5" x14ac:dyDescent="0.35">
      <c r="E822" s="27"/>
      <c r="F822" s="27"/>
      <c r="G822" s="27"/>
      <c r="H822" s="27"/>
      <c r="I822" s="27"/>
      <c r="J822" s="28"/>
    </row>
    <row r="823" spans="5:10" ht="14.5" x14ac:dyDescent="0.35">
      <c r="E823" s="27"/>
      <c r="F823" s="27"/>
      <c r="G823" s="27"/>
      <c r="H823" s="27"/>
      <c r="I823" s="27"/>
      <c r="J823" s="28"/>
    </row>
    <row r="824" spans="5:10" ht="14.5" x14ac:dyDescent="0.35">
      <c r="E824" s="27"/>
      <c r="F824" s="27"/>
      <c r="G824" s="27"/>
      <c r="H824" s="27"/>
      <c r="I824" s="27"/>
      <c r="J824" s="28"/>
    </row>
    <row r="825" spans="5:10" ht="14.5" x14ac:dyDescent="0.35">
      <c r="E825" s="27"/>
      <c r="F825" s="27"/>
      <c r="G825" s="27"/>
      <c r="H825" s="27"/>
      <c r="I825" s="27"/>
      <c r="J825" s="28"/>
    </row>
    <row r="826" spans="5:10" ht="14.5" x14ac:dyDescent="0.35">
      <c r="E826" s="27"/>
      <c r="F826" s="27"/>
      <c r="G826" s="27"/>
      <c r="H826" s="27"/>
      <c r="I826" s="27"/>
      <c r="J826" s="28"/>
    </row>
    <row r="827" spans="5:10" ht="14.5" x14ac:dyDescent="0.35">
      <c r="E827" s="27"/>
      <c r="F827" s="27"/>
      <c r="G827" s="27"/>
      <c r="H827" s="27"/>
      <c r="I827" s="27"/>
      <c r="J827" s="28"/>
    </row>
    <row r="828" spans="5:10" ht="14.5" x14ac:dyDescent="0.35">
      <c r="E828" s="27"/>
      <c r="F828" s="27"/>
      <c r="G828" s="27"/>
      <c r="H828" s="27"/>
      <c r="I828" s="27"/>
      <c r="J828" s="28"/>
    </row>
    <row r="829" spans="5:10" ht="14.5" x14ac:dyDescent="0.35">
      <c r="E829" s="27"/>
      <c r="F829" s="27"/>
      <c r="G829" s="27"/>
      <c r="H829" s="27"/>
      <c r="I829" s="27"/>
      <c r="J829" s="28"/>
    </row>
    <row r="830" spans="5:10" ht="14.5" x14ac:dyDescent="0.35">
      <c r="E830" s="27"/>
      <c r="F830" s="27"/>
      <c r="G830" s="27"/>
      <c r="H830" s="27"/>
      <c r="I830" s="27"/>
      <c r="J830" s="28"/>
    </row>
    <row r="831" spans="5:10" ht="14.5" x14ac:dyDescent="0.35">
      <c r="E831" s="27"/>
      <c r="F831" s="27"/>
      <c r="G831" s="27"/>
      <c r="H831" s="27"/>
      <c r="I831" s="27"/>
      <c r="J831" s="28"/>
    </row>
    <row r="832" spans="5:10" ht="14.5" x14ac:dyDescent="0.35">
      <c r="E832" s="27"/>
      <c r="F832" s="27"/>
      <c r="G832" s="27"/>
      <c r="H832" s="27"/>
      <c r="I832" s="27"/>
      <c r="J832" s="28"/>
    </row>
    <row r="833" spans="5:10" ht="14.5" x14ac:dyDescent="0.35">
      <c r="E833" s="27"/>
      <c r="F833" s="27"/>
      <c r="G833" s="27"/>
      <c r="H833" s="27"/>
      <c r="I833" s="27"/>
      <c r="J833" s="28"/>
    </row>
    <row r="834" spans="5:10" ht="14.5" x14ac:dyDescent="0.35">
      <c r="E834" s="27"/>
      <c r="F834" s="27"/>
      <c r="G834" s="27"/>
      <c r="H834" s="27"/>
      <c r="I834" s="27"/>
      <c r="J834" s="28"/>
    </row>
    <row r="835" spans="5:10" ht="14.5" x14ac:dyDescent="0.35">
      <c r="E835" s="27"/>
      <c r="F835" s="27"/>
      <c r="G835" s="27"/>
      <c r="H835" s="27"/>
      <c r="I835" s="27"/>
      <c r="J835" s="28"/>
    </row>
    <row r="836" spans="5:10" ht="14.5" x14ac:dyDescent="0.35">
      <c r="E836" s="27"/>
      <c r="F836" s="27"/>
      <c r="G836" s="27"/>
      <c r="H836" s="27"/>
      <c r="I836" s="27"/>
      <c r="J836" s="28"/>
    </row>
    <row r="837" spans="5:10" ht="14.5" x14ac:dyDescent="0.35">
      <c r="E837" s="27"/>
      <c r="F837" s="27"/>
      <c r="G837" s="27"/>
      <c r="H837" s="27"/>
      <c r="I837" s="27"/>
      <c r="J837" s="28"/>
    </row>
    <row r="838" spans="5:10" ht="14.5" x14ac:dyDescent="0.35">
      <c r="E838" s="27"/>
      <c r="F838" s="27"/>
      <c r="G838" s="27"/>
      <c r="H838" s="27"/>
      <c r="I838" s="27"/>
      <c r="J838" s="28"/>
    </row>
    <row r="839" spans="5:10" ht="14.5" x14ac:dyDescent="0.35">
      <c r="E839" s="27"/>
      <c r="F839" s="27"/>
      <c r="G839" s="27"/>
      <c r="H839" s="27"/>
      <c r="I839" s="27"/>
      <c r="J839" s="28"/>
    </row>
    <row r="840" spans="5:10" ht="14.5" x14ac:dyDescent="0.35">
      <c r="E840" s="27"/>
      <c r="F840" s="27"/>
      <c r="G840" s="27"/>
      <c r="H840" s="27"/>
      <c r="I840" s="27"/>
      <c r="J840" s="28"/>
    </row>
    <row r="841" spans="5:10" ht="14.5" x14ac:dyDescent="0.35">
      <c r="E841" s="27"/>
      <c r="F841" s="27"/>
      <c r="G841" s="27"/>
      <c r="H841" s="27"/>
      <c r="I841" s="27"/>
      <c r="J841" s="28"/>
    </row>
    <row r="842" spans="5:10" ht="14.5" x14ac:dyDescent="0.35">
      <c r="E842" s="27"/>
      <c r="F842" s="27"/>
      <c r="G842" s="27"/>
      <c r="H842" s="27"/>
      <c r="I842" s="27"/>
      <c r="J842" s="28"/>
    </row>
    <row r="843" spans="5:10" ht="14.5" x14ac:dyDescent="0.35">
      <c r="E843" s="27"/>
      <c r="F843" s="27"/>
      <c r="G843" s="27"/>
      <c r="H843" s="27"/>
      <c r="I843" s="27"/>
      <c r="J843" s="28"/>
    </row>
    <row r="844" spans="5:10" ht="14.5" x14ac:dyDescent="0.35">
      <c r="E844" s="27"/>
      <c r="F844" s="27"/>
      <c r="G844" s="27"/>
      <c r="H844" s="27"/>
      <c r="I844" s="27"/>
      <c r="J844" s="28"/>
    </row>
    <row r="845" spans="5:10" ht="14.5" x14ac:dyDescent="0.35">
      <c r="E845" s="27"/>
      <c r="F845" s="27"/>
      <c r="G845" s="27"/>
      <c r="H845" s="27"/>
      <c r="I845" s="27"/>
      <c r="J845" s="28"/>
    </row>
    <row r="846" spans="5:10" ht="14.5" x14ac:dyDescent="0.35">
      <c r="E846" s="27"/>
      <c r="F846" s="27"/>
      <c r="G846" s="27"/>
      <c r="H846" s="27"/>
      <c r="I846" s="27"/>
      <c r="J846" s="28"/>
    </row>
    <row r="847" spans="5:10" ht="14.5" x14ac:dyDescent="0.35">
      <c r="E847" s="27"/>
      <c r="F847" s="27"/>
      <c r="G847" s="27"/>
      <c r="H847" s="27"/>
      <c r="I847" s="27"/>
      <c r="J847" s="28"/>
    </row>
    <row r="848" spans="5:10" ht="14.5" x14ac:dyDescent="0.35">
      <c r="E848" s="27"/>
      <c r="F848" s="27"/>
      <c r="G848" s="27"/>
      <c r="H848" s="27"/>
      <c r="I848" s="27"/>
      <c r="J848" s="28"/>
    </row>
    <row r="849" spans="5:10" ht="14.5" x14ac:dyDescent="0.35">
      <c r="E849" s="27"/>
      <c r="F849" s="27"/>
      <c r="G849" s="27"/>
      <c r="H849" s="27"/>
      <c r="I849" s="27"/>
      <c r="J849" s="28"/>
    </row>
    <row r="850" spans="5:10" ht="14.5" x14ac:dyDescent="0.35">
      <c r="E850" s="27"/>
      <c r="F850" s="27"/>
      <c r="G850" s="27"/>
      <c r="H850" s="27"/>
      <c r="I850" s="27"/>
      <c r="J850" s="28"/>
    </row>
    <row r="851" spans="5:10" ht="14.5" x14ac:dyDescent="0.35">
      <c r="E851" s="27"/>
      <c r="F851" s="27"/>
      <c r="G851" s="27"/>
      <c r="H851" s="27"/>
      <c r="I851" s="27"/>
      <c r="J851" s="28"/>
    </row>
    <row r="852" spans="5:10" ht="14.5" x14ac:dyDescent="0.35">
      <c r="E852" s="27"/>
      <c r="F852" s="27"/>
      <c r="G852" s="27"/>
      <c r="H852" s="27"/>
      <c r="I852" s="27"/>
      <c r="J852" s="28"/>
    </row>
    <row r="853" spans="5:10" ht="14.5" x14ac:dyDescent="0.35">
      <c r="E853" s="27"/>
      <c r="F853" s="27"/>
      <c r="G853" s="27"/>
      <c r="H853" s="27"/>
      <c r="I853" s="27"/>
      <c r="J853" s="28"/>
    </row>
    <row r="854" spans="5:10" ht="14.5" x14ac:dyDescent="0.35">
      <c r="E854" s="27"/>
      <c r="F854" s="27"/>
      <c r="G854" s="27"/>
      <c r="H854" s="27"/>
      <c r="I854" s="27"/>
      <c r="J854" s="28"/>
    </row>
    <row r="855" spans="5:10" ht="14.5" x14ac:dyDescent="0.35">
      <c r="E855" s="27"/>
      <c r="F855" s="27"/>
      <c r="G855" s="27"/>
      <c r="H855" s="27"/>
      <c r="I855" s="27"/>
      <c r="J855" s="28"/>
    </row>
    <row r="856" spans="5:10" ht="14.5" x14ac:dyDescent="0.35">
      <c r="E856" s="27"/>
      <c r="F856" s="27"/>
      <c r="G856" s="27"/>
      <c r="H856" s="27"/>
      <c r="I856" s="27"/>
      <c r="J856" s="28"/>
    </row>
    <row r="857" spans="5:10" ht="14.5" x14ac:dyDescent="0.35">
      <c r="E857" s="27"/>
      <c r="F857" s="27"/>
      <c r="G857" s="27"/>
      <c r="H857" s="27"/>
      <c r="I857" s="27"/>
      <c r="J857" s="28"/>
    </row>
    <row r="858" spans="5:10" ht="14.5" x14ac:dyDescent="0.35">
      <c r="E858" s="27"/>
      <c r="F858" s="27"/>
      <c r="G858" s="27"/>
      <c r="H858" s="27"/>
      <c r="I858" s="27"/>
      <c r="J858" s="28"/>
    </row>
    <row r="859" spans="5:10" ht="14.5" x14ac:dyDescent="0.35">
      <c r="E859" s="27"/>
      <c r="F859" s="27"/>
      <c r="G859" s="27"/>
      <c r="H859" s="27"/>
      <c r="I859" s="27"/>
      <c r="J859" s="28"/>
    </row>
    <row r="860" spans="5:10" ht="14.5" x14ac:dyDescent="0.35">
      <c r="E860" s="27"/>
      <c r="F860" s="27"/>
      <c r="G860" s="27"/>
      <c r="H860" s="27"/>
      <c r="I860" s="27"/>
      <c r="J860" s="28"/>
    </row>
    <row r="861" spans="5:10" ht="14.5" x14ac:dyDescent="0.35">
      <c r="E861" s="27"/>
      <c r="F861" s="27"/>
      <c r="G861" s="27"/>
      <c r="H861" s="27"/>
      <c r="I861" s="27"/>
      <c r="J861" s="28"/>
    </row>
    <row r="862" spans="5:10" ht="14.5" x14ac:dyDescent="0.35">
      <c r="E862" s="27"/>
      <c r="F862" s="27"/>
      <c r="G862" s="27"/>
      <c r="H862" s="27"/>
      <c r="I862" s="27"/>
      <c r="J862" s="28"/>
    </row>
    <row r="863" spans="5:10" ht="14.5" x14ac:dyDescent="0.35">
      <c r="E863" s="27"/>
      <c r="F863" s="27"/>
      <c r="G863" s="27"/>
      <c r="H863" s="27"/>
      <c r="I863" s="27"/>
      <c r="J863" s="28"/>
    </row>
    <row r="864" spans="5:10" ht="14.5" x14ac:dyDescent="0.35">
      <c r="E864" s="27"/>
      <c r="F864" s="27"/>
      <c r="G864" s="27"/>
      <c r="H864" s="27"/>
      <c r="I864" s="27"/>
      <c r="J864" s="28"/>
    </row>
    <row r="865" spans="5:10" ht="14.5" x14ac:dyDescent="0.35">
      <c r="E865" s="27"/>
      <c r="F865" s="27"/>
      <c r="G865" s="27"/>
      <c r="H865" s="27"/>
      <c r="I865" s="27"/>
      <c r="J865" s="28"/>
    </row>
    <row r="866" spans="5:10" ht="14.5" x14ac:dyDescent="0.35">
      <c r="E866" s="27"/>
      <c r="F866" s="27"/>
      <c r="G866" s="27"/>
      <c r="H866" s="27"/>
      <c r="I866" s="27"/>
      <c r="J866" s="28"/>
    </row>
    <row r="867" spans="5:10" ht="14.5" x14ac:dyDescent="0.35">
      <c r="E867" s="27"/>
      <c r="F867" s="27"/>
      <c r="G867" s="27"/>
      <c r="H867" s="27"/>
      <c r="I867" s="27"/>
      <c r="J867" s="28"/>
    </row>
    <row r="868" spans="5:10" ht="14.5" x14ac:dyDescent="0.35">
      <c r="E868" s="27"/>
      <c r="F868" s="27"/>
      <c r="G868" s="27"/>
      <c r="H868" s="27"/>
      <c r="I868" s="27"/>
      <c r="J868" s="28"/>
    </row>
    <row r="869" spans="5:10" ht="14.5" x14ac:dyDescent="0.35">
      <c r="E869" s="27"/>
      <c r="F869" s="27"/>
      <c r="G869" s="27"/>
      <c r="H869" s="27"/>
      <c r="I869" s="27"/>
      <c r="J869" s="28"/>
    </row>
    <row r="870" spans="5:10" ht="14.5" x14ac:dyDescent="0.35">
      <c r="E870" s="27"/>
      <c r="F870" s="27"/>
      <c r="G870" s="27"/>
      <c r="H870" s="27"/>
      <c r="I870" s="27"/>
      <c r="J870" s="28"/>
    </row>
    <row r="871" spans="5:10" ht="14.5" x14ac:dyDescent="0.35">
      <c r="E871" s="27"/>
      <c r="F871" s="27"/>
      <c r="G871" s="27"/>
      <c r="H871" s="27"/>
      <c r="I871" s="27"/>
      <c r="J871" s="28"/>
    </row>
    <row r="872" spans="5:10" ht="14.5" x14ac:dyDescent="0.35">
      <c r="E872" s="27"/>
      <c r="F872" s="27"/>
      <c r="G872" s="27"/>
      <c r="H872" s="27"/>
      <c r="I872" s="27"/>
      <c r="J872" s="28"/>
    </row>
    <row r="873" spans="5:10" ht="14.5" x14ac:dyDescent="0.35">
      <c r="E873" s="27"/>
      <c r="F873" s="27"/>
      <c r="G873" s="27"/>
      <c r="H873" s="27"/>
      <c r="I873" s="27"/>
      <c r="J873" s="28"/>
    </row>
    <row r="874" spans="5:10" ht="14.5" x14ac:dyDescent="0.35">
      <c r="E874" s="27"/>
      <c r="F874" s="27"/>
      <c r="G874" s="27"/>
      <c r="H874" s="27"/>
      <c r="I874" s="27"/>
      <c r="J874" s="28"/>
    </row>
    <row r="875" spans="5:10" ht="14.5" x14ac:dyDescent="0.35">
      <c r="E875" s="27"/>
      <c r="F875" s="27"/>
      <c r="G875" s="27"/>
      <c r="H875" s="27"/>
      <c r="I875" s="27"/>
      <c r="J875" s="28"/>
    </row>
    <row r="876" spans="5:10" ht="14.5" x14ac:dyDescent="0.35">
      <c r="E876" s="27"/>
      <c r="F876" s="27"/>
      <c r="G876" s="27"/>
      <c r="H876" s="27"/>
      <c r="I876" s="27"/>
      <c r="J876" s="28"/>
    </row>
    <row r="877" spans="5:10" ht="14.5" x14ac:dyDescent="0.35">
      <c r="E877" s="27"/>
      <c r="F877" s="27"/>
      <c r="G877" s="27"/>
      <c r="H877" s="27"/>
      <c r="I877" s="27"/>
      <c r="J877" s="28"/>
    </row>
    <row r="878" spans="5:10" ht="14.5" x14ac:dyDescent="0.35">
      <c r="E878" s="27"/>
      <c r="F878" s="27"/>
      <c r="G878" s="27"/>
      <c r="H878" s="27"/>
      <c r="I878" s="27"/>
      <c r="J878" s="28"/>
    </row>
    <row r="879" spans="5:10" ht="14.5" x14ac:dyDescent="0.35">
      <c r="E879" s="27"/>
      <c r="F879" s="27"/>
      <c r="G879" s="27"/>
      <c r="H879" s="27"/>
      <c r="I879" s="27"/>
      <c r="J879" s="28"/>
    </row>
    <row r="880" spans="5:10" ht="14.5" x14ac:dyDescent="0.35">
      <c r="E880" s="27"/>
      <c r="F880" s="27"/>
      <c r="G880" s="27"/>
      <c r="H880" s="27"/>
      <c r="I880" s="27"/>
      <c r="J880" s="28"/>
    </row>
    <row r="881" spans="5:10" ht="14.5" x14ac:dyDescent="0.35">
      <c r="E881" s="27"/>
      <c r="F881" s="27"/>
      <c r="G881" s="27"/>
      <c r="H881" s="27"/>
      <c r="I881" s="27"/>
      <c r="J881" s="28"/>
    </row>
    <row r="882" spans="5:10" ht="14.5" x14ac:dyDescent="0.35">
      <c r="E882" s="27"/>
      <c r="F882" s="27"/>
      <c r="G882" s="27"/>
      <c r="H882" s="27"/>
      <c r="I882" s="27"/>
      <c r="J882" s="28"/>
    </row>
    <row r="883" spans="5:10" ht="14.5" x14ac:dyDescent="0.35">
      <c r="E883" s="27"/>
      <c r="F883" s="27"/>
      <c r="G883" s="27"/>
      <c r="H883" s="27"/>
      <c r="I883" s="27"/>
      <c r="J883" s="28"/>
    </row>
    <row r="884" spans="5:10" ht="14.5" x14ac:dyDescent="0.35">
      <c r="E884" s="27"/>
      <c r="F884" s="27"/>
      <c r="G884" s="27"/>
      <c r="H884" s="27"/>
      <c r="I884" s="27"/>
      <c r="J884" s="28"/>
    </row>
    <row r="885" spans="5:10" ht="14.5" x14ac:dyDescent="0.35">
      <c r="E885" s="27"/>
      <c r="F885" s="27"/>
      <c r="G885" s="27"/>
      <c r="H885" s="27"/>
      <c r="I885" s="27"/>
      <c r="J885" s="28"/>
    </row>
    <row r="886" spans="5:10" ht="14.5" x14ac:dyDescent="0.35">
      <c r="E886" s="27"/>
      <c r="F886" s="27"/>
      <c r="G886" s="27"/>
      <c r="H886" s="27"/>
      <c r="I886" s="27"/>
      <c r="J886" s="28"/>
    </row>
    <row r="887" spans="5:10" ht="14.5" x14ac:dyDescent="0.35">
      <c r="E887" s="27"/>
      <c r="F887" s="27"/>
      <c r="G887" s="27"/>
      <c r="H887" s="27"/>
      <c r="I887" s="27"/>
      <c r="J887" s="28"/>
    </row>
    <row r="888" spans="5:10" ht="14.5" x14ac:dyDescent="0.35">
      <c r="E888" s="27"/>
      <c r="F888" s="27"/>
      <c r="G888" s="27"/>
      <c r="H888" s="27"/>
      <c r="I888" s="27"/>
      <c r="J888" s="28"/>
    </row>
    <row r="889" spans="5:10" ht="14.5" x14ac:dyDescent="0.35">
      <c r="E889" s="27"/>
      <c r="F889" s="27"/>
      <c r="G889" s="27"/>
      <c r="H889" s="27"/>
      <c r="I889" s="27"/>
      <c r="J889" s="28"/>
    </row>
    <row r="890" spans="5:10" ht="14.5" x14ac:dyDescent="0.35">
      <c r="E890" s="27"/>
      <c r="F890" s="27"/>
      <c r="G890" s="27"/>
      <c r="H890" s="27"/>
      <c r="I890" s="27"/>
      <c r="J890" s="28"/>
    </row>
    <row r="891" spans="5:10" ht="14.5" x14ac:dyDescent="0.35">
      <c r="E891" s="27"/>
      <c r="F891" s="27"/>
      <c r="G891" s="27"/>
      <c r="H891" s="27"/>
      <c r="I891" s="27"/>
      <c r="J891" s="28"/>
    </row>
    <row r="892" spans="5:10" ht="14.5" x14ac:dyDescent="0.35">
      <c r="E892" s="27"/>
      <c r="F892" s="27"/>
      <c r="G892" s="27"/>
      <c r="H892" s="27"/>
      <c r="I892" s="27"/>
      <c r="J892" s="28"/>
    </row>
    <row r="893" spans="5:10" ht="14.5" x14ac:dyDescent="0.35">
      <c r="E893" s="27"/>
      <c r="F893" s="27"/>
      <c r="G893" s="27"/>
      <c r="H893" s="27"/>
      <c r="I893" s="27"/>
      <c r="J893" s="28"/>
    </row>
    <row r="894" spans="5:10" ht="14.5" x14ac:dyDescent="0.35">
      <c r="E894" s="27"/>
      <c r="F894" s="27"/>
      <c r="G894" s="27"/>
      <c r="H894" s="27"/>
      <c r="I894" s="27"/>
      <c r="J894" s="28"/>
    </row>
    <row r="895" spans="5:10" ht="14.5" x14ac:dyDescent="0.35">
      <c r="E895" s="27"/>
      <c r="F895" s="27"/>
      <c r="G895" s="27"/>
      <c r="H895" s="27"/>
      <c r="I895" s="27"/>
      <c r="J895" s="28"/>
    </row>
    <row r="896" spans="5:10" ht="14.5" x14ac:dyDescent="0.35">
      <c r="E896" s="27"/>
      <c r="F896" s="27"/>
      <c r="G896" s="27"/>
      <c r="H896" s="27"/>
      <c r="I896" s="27"/>
      <c r="J896" s="28"/>
    </row>
    <row r="897" spans="5:10" ht="14.5" x14ac:dyDescent="0.35">
      <c r="E897" s="27"/>
      <c r="F897" s="27"/>
      <c r="G897" s="27"/>
      <c r="H897" s="27"/>
      <c r="I897" s="27"/>
      <c r="J897" s="28"/>
    </row>
    <row r="898" spans="5:10" ht="14.5" x14ac:dyDescent="0.35">
      <c r="E898" s="27"/>
      <c r="F898" s="27"/>
      <c r="G898" s="27"/>
      <c r="H898" s="27"/>
      <c r="I898" s="27"/>
      <c r="J898" s="28"/>
    </row>
    <row r="899" spans="5:10" ht="14.5" x14ac:dyDescent="0.35">
      <c r="E899" s="27"/>
      <c r="F899" s="27"/>
      <c r="G899" s="27"/>
      <c r="H899" s="27"/>
      <c r="I899" s="27"/>
      <c r="J899" s="28"/>
    </row>
    <row r="900" spans="5:10" ht="14.5" x14ac:dyDescent="0.35">
      <c r="E900" s="27"/>
      <c r="F900" s="27"/>
      <c r="G900" s="27"/>
      <c r="H900" s="27"/>
      <c r="I900" s="27"/>
      <c r="J900" s="28"/>
    </row>
    <row r="901" spans="5:10" ht="14.5" x14ac:dyDescent="0.35">
      <c r="E901" s="27"/>
      <c r="F901" s="27"/>
      <c r="G901" s="27"/>
      <c r="H901" s="27"/>
      <c r="I901" s="27"/>
      <c r="J901" s="28"/>
    </row>
    <row r="902" spans="5:10" ht="14.5" x14ac:dyDescent="0.35">
      <c r="E902" s="27"/>
      <c r="F902" s="27"/>
      <c r="G902" s="27"/>
      <c r="H902" s="27"/>
      <c r="I902" s="27"/>
      <c r="J902" s="28"/>
    </row>
    <row r="903" spans="5:10" ht="14.5" x14ac:dyDescent="0.35">
      <c r="E903" s="27"/>
      <c r="F903" s="27"/>
      <c r="G903" s="27"/>
      <c r="H903" s="27"/>
      <c r="I903" s="27"/>
      <c r="J903" s="28"/>
    </row>
    <row r="904" spans="5:10" ht="14.5" x14ac:dyDescent="0.35">
      <c r="E904" s="27"/>
      <c r="F904" s="27"/>
      <c r="G904" s="27"/>
      <c r="H904" s="27"/>
      <c r="I904" s="27"/>
      <c r="J904" s="28"/>
    </row>
    <row r="905" spans="5:10" ht="14.5" x14ac:dyDescent="0.35">
      <c r="E905" s="27"/>
      <c r="F905" s="27"/>
      <c r="G905" s="27"/>
      <c r="H905" s="27"/>
      <c r="I905" s="27"/>
      <c r="J905" s="28"/>
    </row>
    <row r="906" spans="5:10" ht="14.5" x14ac:dyDescent="0.35">
      <c r="E906" s="27"/>
      <c r="F906" s="27"/>
      <c r="G906" s="27"/>
      <c r="H906" s="27"/>
      <c r="I906" s="27"/>
      <c r="J906" s="28"/>
    </row>
    <row r="907" spans="5:10" ht="14.5" x14ac:dyDescent="0.35">
      <c r="E907" s="27"/>
      <c r="F907" s="27"/>
      <c r="G907" s="27"/>
      <c r="H907" s="27"/>
      <c r="I907" s="27"/>
      <c r="J907" s="28"/>
    </row>
    <row r="908" spans="5:10" ht="14.5" x14ac:dyDescent="0.35">
      <c r="E908" s="27"/>
      <c r="F908" s="27"/>
      <c r="G908" s="27"/>
      <c r="H908" s="27"/>
      <c r="I908" s="27"/>
      <c r="J908" s="28"/>
    </row>
    <row r="909" spans="5:10" ht="14.5" x14ac:dyDescent="0.35">
      <c r="E909" s="27"/>
      <c r="F909" s="27"/>
      <c r="G909" s="27"/>
      <c r="H909" s="27"/>
      <c r="I909" s="27"/>
      <c r="J909" s="28"/>
    </row>
    <row r="910" spans="5:10" ht="14.5" x14ac:dyDescent="0.35">
      <c r="E910" s="27"/>
      <c r="F910" s="27"/>
      <c r="G910" s="27"/>
      <c r="H910" s="27"/>
      <c r="I910" s="27"/>
      <c r="J910" s="28"/>
    </row>
    <row r="911" spans="5:10" ht="14.5" x14ac:dyDescent="0.35">
      <c r="E911" s="27"/>
      <c r="F911" s="27"/>
      <c r="G911" s="27"/>
      <c r="H911" s="27"/>
      <c r="I911" s="27"/>
      <c r="J911" s="28"/>
    </row>
    <row r="912" spans="5:10" ht="14.5" x14ac:dyDescent="0.35">
      <c r="E912" s="27"/>
      <c r="F912" s="27"/>
      <c r="G912" s="27"/>
      <c r="H912" s="27"/>
      <c r="I912" s="27"/>
      <c r="J912" s="28"/>
    </row>
    <row r="913" spans="5:10" ht="14.5" x14ac:dyDescent="0.35">
      <c r="E913" s="27"/>
      <c r="F913" s="27"/>
      <c r="G913" s="27"/>
      <c r="H913" s="27"/>
      <c r="I913" s="27"/>
      <c r="J913" s="28"/>
    </row>
    <row r="914" spans="5:10" ht="14.5" x14ac:dyDescent="0.35">
      <c r="E914" s="27"/>
      <c r="F914" s="27"/>
      <c r="G914" s="27"/>
      <c r="H914" s="27"/>
      <c r="I914" s="27"/>
      <c r="J914" s="28"/>
    </row>
    <row r="915" spans="5:10" ht="14.5" x14ac:dyDescent="0.35">
      <c r="E915" s="27"/>
      <c r="F915" s="27"/>
      <c r="G915" s="27"/>
      <c r="H915" s="27"/>
      <c r="I915" s="27"/>
      <c r="J915" s="28"/>
    </row>
    <row r="916" spans="5:10" ht="14.5" x14ac:dyDescent="0.35">
      <c r="E916" s="27"/>
      <c r="F916" s="27"/>
      <c r="G916" s="27"/>
      <c r="H916" s="27"/>
      <c r="I916" s="27"/>
      <c r="J916" s="28"/>
    </row>
    <row r="917" spans="5:10" ht="14.5" x14ac:dyDescent="0.35">
      <c r="E917" s="27"/>
      <c r="F917" s="27"/>
      <c r="G917" s="27"/>
      <c r="H917" s="27"/>
      <c r="I917" s="27"/>
      <c r="J917" s="28"/>
    </row>
    <row r="918" spans="5:10" ht="14.5" x14ac:dyDescent="0.35">
      <c r="E918" s="27"/>
      <c r="F918" s="27"/>
      <c r="G918" s="27"/>
      <c r="H918" s="27"/>
      <c r="I918" s="27"/>
      <c r="J918" s="28"/>
    </row>
    <row r="919" spans="5:10" ht="14.5" x14ac:dyDescent="0.35">
      <c r="E919" s="27"/>
      <c r="F919" s="27"/>
      <c r="G919" s="27"/>
      <c r="H919" s="27"/>
      <c r="I919" s="27"/>
      <c r="J919" s="28"/>
    </row>
    <row r="920" spans="5:10" ht="14.5" x14ac:dyDescent="0.35">
      <c r="E920" s="27"/>
      <c r="F920" s="27"/>
      <c r="G920" s="27"/>
      <c r="H920" s="27"/>
      <c r="I920" s="27"/>
      <c r="J920" s="28"/>
    </row>
    <row r="921" spans="5:10" ht="14.5" x14ac:dyDescent="0.35">
      <c r="E921" s="27"/>
      <c r="F921" s="27"/>
      <c r="G921" s="27"/>
      <c r="H921" s="27"/>
      <c r="I921" s="27"/>
      <c r="J921" s="28"/>
    </row>
    <row r="922" spans="5:10" ht="14.5" x14ac:dyDescent="0.35">
      <c r="E922" s="27"/>
      <c r="F922" s="27"/>
      <c r="G922" s="27"/>
      <c r="H922" s="27"/>
      <c r="I922" s="27"/>
      <c r="J922" s="28"/>
    </row>
    <row r="923" spans="5:10" ht="14.5" x14ac:dyDescent="0.35">
      <c r="E923" s="27"/>
      <c r="F923" s="27"/>
      <c r="G923" s="27"/>
      <c r="H923" s="27"/>
      <c r="I923" s="27"/>
      <c r="J923" s="28"/>
    </row>
    <row r="924" spans="5:10" ht="14.5" x14ac:dyDescent="0.35">
      <c r="E924" s="27"/>
      <c r="F924" s="27"/>
      <c r="G924" s="27"/>
      <c r="H924" s="27"/>
      <c r="I924" s="27"/>
      <c r="J924" s="28"/>
    </row>
    <row r="925" spans="5:10" ht="14.5" x14ac:dyDescent="0.35">
      <c r="E925" s="27"/>
      <c r="F925" s="27"/>
      <c r="G925" s="27"/>
      <c r="H925" s="27"/>
      <c r="I925" s="27"/>
      <c r="J925" s="28"/>
    </row>
    <row r="926" spans="5:10" ht="14.5" x14ac:dyDescent="0.35">
      <c r="E926" s="27"/>
      <c r="F926" s="27"/>
      <c r="G926" s="27"/>
      <c r="H926" s="27"/>
      <c r="I926" s="27"/>
      <c r="J926" s="28"/>
    </row>
    <row r="927" spans="5:10" ht="14.5" x14ac:dyDescent="0.35">
      <c r="E927" s="27"/>
      <c r="F927" s="27"/>
      <c r="G927" s="27"/>
      <c r="H927" s="27"/>
      <c r="I927" s="27"/>
      <c r="J927" s="28"/>
    </row>
    <row r="928" spans="5:10" ht="14.5" x14ac:dyDescent="0.35">
      <c r="E928" s="27"/>
      <c r="F928" s="27"/>
      <c r="G928" s="27"/>
      <c r="H928" s="27"/>
      <c r="I928" s="27"/>
      <c r="J928" s="28"/>
    </row>
    <row r="929" spans="5:10" ht="14.5" x14ac:dyDescent="0.35">
      <c r="E929" s="27"/>
      <c r="F929" s="27"/>
      <c r="G929" s="27"/>
      <c r="H929" s="27"/>
      <c r="I929" s="27"/>
      <c r="J929" s="28"/>
    </row>
    <row r="930" spans="5:10" ht="14.5" x14ac:dyDescent="0.35">
      <c r="E930" s="27"/>
      <c r="F930" s="27"/>
      <c r="G930" s="27"/>
      <c r="H930" s="27"/>
      <c r="I930" s="27"/>
      <c r="J930" s="28"/>
    </row>
    <row r="931" spans="5:10" ht="14.5" x14ac:dyDescent="0.35">
      <c r="E931" s="27"/>
      <c r="F931" s="27"/>
      <c r="G931" s="27"/>
      <c r="H931" s="27"/>
      <c r="I931" s="27"/>
      <c r="J931" s="28"/>
    </row>
    <row r="932" spans="5:10" ht="14.5" x14ac:dyDescent="0.35">
      <c r="E932" s="27"/>
      <c r="F932" s="27"/>
      <c r="G932" s="27"/>
      <c r="H932" s="27"/>
      <c r="I932" s="27"/>
      <c r="J932" s="28"/>
    </row>
    <row r="933" spans="5:10" ht="14.5" x14ac:dyDescent="0.35">
      <c r="E933" s="27"/>
      <c r="F933" s="27"/>
      <c r="G933" s="27"/>
      <c r="H933" s="27"/>
      <c r="I933" s="27"/>
      <c r="J933" s="28"/>
    </row>
    <row r="934" spans="5:10" ht="14.5" x14ac:dyDescent="0.35">
      <c r="E934" s="27"/>
      <c r="F934" s="27"/>
      <c r="G934" s="27"/>
      <c r="H934" s="27"/>
      <c r="I934" s="27"/>
      <c r="J934" s="28"/>
    </row>
    <row r="935" spans="5:10" ht="14.5" x14ac:dyDescent="0.35">
      <c r="E935" s="27"/>
      <c r="F935" s="27"/>
      <c r="G935" s="27"/>
      <c r="H935" s="27"/>
      <c r="I935" s="27"/>
      <c r="J935" s="28"/>
    </row>
    <row r="936" spans="5:10" ht="14.5" x14ac:dyDescent="0.35">
      <c r="E936" s="27"/>
      <c r="F936" s="27"/>
      <c r="G936" s="27"/>
      <c r="H936" s="27"/>
      <c r="I936" s="27"/>
      <c r="J936" s="28"/>
    </row>
    <row r="937" spans="5:10" ht="14.5" x14ac:dyDescent="0.35">
      <c r="E937" s="27"/>
      <c r="F937" s="27"/>
      <c r="G937" s="27"/>
      <c r="H937" s="27"/>
      <c r="I937" s="27"/>
      <c r="J937" s="28"/>
    </row>
    <row r="938" spans="5:10" ht="14.5" x14ac:dyDescent="0.35">
      <c r="E938" s="27"/>
      <c r="F938" s="27"/>
      <c r="G938" s="27"/>
      <c r="H938" s="27"/>
      <c r="I938" s="27"/>
      <c r="J938" s="28"/>
    </row>
    <row r="939" spans="5:10" ht="14.5" x14ac:dyDescent="0.35">
      <c r="E939" s="27"/>
      <c r="F939" s="27"/>
      <c r="G939" s="27"/>
      <c r="H939" s="27"/>
      <c r="I939" s="27"/>
      <c r="J939" s="28"/>
    </row>
    <row r="940" spans="5:10" ht="14.5" x14ac:dyDescent="0.35">
      <c r="E940" s="27"/>
      <c r="F940" s="27"/>
      <c r="G940" s="27"/>
      <c r="H940" s="27"/>
      <c r="I940" s="27"/>
      <c r="J940" s="28"/>
    </row>
    <row r="941" spans="5:10" ht="14.5" x14ac:dyDescent="0.35">
      <c r="E941" s="27"/>
      <c r="F941" s="27"/>
      <c r="G941" s="27"/>
      <c r="H941" s="27"/>
      <c r="I941" s="27"/>
      <c r="J941" s="28"/>
    </row>
    <row r="942" spans="5:10" ht="14.5" x14ac:dyDescent="0.35">
      <c r="E942" s="27"/>
      <c r="F942" s="27"/>
      <c r="G942" s="27"/>
      <c r="H942" s="27"/>
      <c r="I942" s="27"/>
      <c r="J942" s="28"/>
    </row>
    <row r="943" spans="5:10" ht="14.5" x14ac:dyDescent="0.35">
      <c r="E943" s="27"/>
      <c r="F943" s="27"/>
      <c r="G943" s="27"/>
      <c r="H943" s="27"/>
      <c r="I943" s="27"/>
      <c r="J943" s="28"/>
    </row>
    <row r="944" spans="5:10" ht="14.5" x14ac:dyDescent="0.35">
      <c r="E944" s="27"/>
      <c r="F944" s="27"/>
      <c r="G944" s="27"/>
      <c r="H944" s="27"/>
      <c r="I944" s="27"/>
      <c r="J944" s="28"/>
    </row>
    <row r="945" spans="5:10" ht="14.5" x14ac:dyDescent="0.35">
      <c r="E945" s="27"/>
      <c r="F945" s="27"/>
      <c r="G945" s="27"/>
      <c r="H945" s="27"/>
      <c r="I945" s="27"/>
      <c r="J945" s="28"/>
    </row>
    <row r="946" spans="5:10" ht="14.5" x14ac:dyDescent="0.35">
      <c r="E946" s="27"/>
      <c r="F946" s="27"/>
      <c r="G946" s="27"/>
      <c r="H946" s="27"/>
      <c r="I946" s="27"/>
      <c r="J946" s="28"/>
    </row>
    <row r="947" spans="5:10" ht="14.5" x14ac:dyDescent="0.35">
      <c r="E947" s="27"/>
      <c r="F947" s="27"/>
      <c r="G947" s="27"/>
      <c r="H947" s="27"/>
      <c r="I947" s="27"/>
      <c r="J947" s="28"/>
    </row>
    <row r="948" spans="5:10" ht="14.5" x14ac:dyDescent="0.35">
      <c r="E948" s="27"/>
      <c r="F948" s="27"/>
      <c r="G948" s="27"/>
      <c r="H948" s="27"/>
      <c r="I948" s="27"/>
      <c r="J948" s="28"/>
    </row>
    <row r="949" spans="5:10" ht="14.5" x14ac:dyDescent="0.35">
      <c r="E949" s="27"/>
      <c r="F949" s="27"/>
      <c r="G949" s="27"/>
      <c r="H949" s="27"/>
      <c r="I949" s="27"/>
      <c r="J949" s="28"/>
    </row>
    <row r="950" spans="5:10" ht="14.5" x14ac:dyDescent="0.35">
      <c r="E950" s="27"/>
      <c r="F950" s="27"/>
      <c r="G950" s="27"/>
      <c r="H950" s="27"/>
      <c r="I950" s="27"/>
      <c r="J950" s="28"/>
    </row>
    <row r="951" spans="5:10" ht="14.5" x14ac:dyDescent="0.35">
      <c r="E951" s="27"/>
      <c r="F951" s="27"/>
      <c r="G951" s="27"/>
      <c r="H951" s="27"/>
      <c r="I951" s="27"/>
      <c r="J951" s="28"/>
    </row>
    <row r="952" spans="5:10" ht="14.5" x14ac:dyDescent="0.35">
      <c r="E952" s="27"/>
      <c r="F952" s="27"/>
      <c r="G952" s="27"/>
      <c r="H952" s="27"/>
      <c r="I952" s="27"/>
      <c r="J952" s="28"/>
    </row>
    <row r="953" spans="5:10" ht="14.5" x14ac:dyDescent="0.35">
      <c r="E953" s="27"/>
      <c r="F953" s="27"/>
      <c r="G953" s="27"/>
      <c r="H953" s="27"/>
      <c r="I953" s="27"/>
      <c r="J953" s="28"/>
    </row>
    <row r="954" spans="5:10" ht="14.5" x14ac:dyDescent="0.35">
      <c r="E954" s="27"/>
      <c r="F954" s="27"/>
      <c r="G954" s="27"/>
      <c r="H954" s="27"/>
      <c r="I954" s="27"/>
      <c r="J954" s="28"/>
    </row>
    <row r="955" spans="5:10" ht="14.5" x14ac:dyDescent="0.35">
      <c r="E955" s="27"/>
      <c r="F955" s="27"/>
      <c r="G955" s="27"/>
      <c r="H955" s="27"/>
      <c r="I955" s="27"/>
      <c r="J955" s="28"/>
    </row>
    <row r="956" spans="5:10" ht="14.5" x14ac:dyDescent="0.35">
      <c r="E956" s="27"/>
      <c r="F956" s="27"/>
      <c r="G956" s="27"/>
      <c r="H956" s="27"/>
      <c r="I956" s="27"/>
      <c r="J956" s="28"/>
    </row>
    <row r="957" spans="5:10" ht="14.5" x14ac:dyDescent="0.35">
      <c r="E957" s="27"/>
      <c r="F957" s="27"/>
      <c r="G957" s="27"/>
      <c r="H957" s="27"/>
      <c r="I957" s="27"/>
      <c r="J957" s="28"/>
    </row>
    <row r="958" spans="5:10" ht="14.5" x14ac:dyDescent="0.35">
      <c r="E958" s="27"/>
      <c r="F958" s="27"/>
      <c r="G958" s="27"/>
      <c r="H958" s="27"/>
      <c r="I958" s="27"/>
      <c r="J958" s="28"/>
    </row>
    <row r="959" spans="5:10" ht="14.5" x14ac:dyDescent="0.35">
      <c r="E959" s="27"/>
      <c r="F959" s="27"/>
      <c r="G959" s="27"/>
      <c r="H959" s="27"/>
      <c r="I959" s="27"/>
      <c r="J959" s="28"/>
    </row>
    <row r="960" spans="5:10" ht="14.5" x14ac:dyDescent="0.35">
      <c r="E960" s="27"/>
      <c r="F960" s="27"/>
      <c r="G960" s="27"/>
      <c r="H960" s="27"/>
      <c r="I960" s="27"/>
      <c r="J960" s="28"/>
    </row>
    <row r="961" spans="5:10" ht="14.5" x14ac:dyDescent="0.35">
      <c r="E961" s="27"/>
      <c r="F961" s="27"/>
      <c r="G961" s="27"/>
      <c r="H961" s="27"/>
      <c r="I961" s="27"/>
      <c r="J961" s="28"/>
    </row>
    <row r="962" spans="5:10" ht="14.5" x14ac:dyDescent="0.35">
      <c r="E962" s="27"/>
      <c r="F962" s="27"/>
      <c r="G962" s="27"/>
      <c r="H962" s="27"/>
      <c r="I962" s="27"/>
      <c r="J962" s="28"/>
    </row>
    <row r="963" spans="5:10" ht="14.5" x14ac:dyDescent="0.35">
      <c r="E963" s="27"/>
      <c r="F963" s="27"/>
      <c r="G963" s="27"/>
      <c r="H963" s="27"/>
      <c r="I963" s="27"/>
      <c r="J963" s="28"/>
    </row>
    <row r="964" spans="5:10" ht="14.5" x14ac:dyDescent="0.35">
      <c r="E964" s="27"/>
      <c r="F964" s="27"/>
      <c r="G964" s="27"/>
      <c r="H964" s="27"/>
      <c r="I964" s="27"/>
      <c r="J964" s="28"/>
    </row>
    <row r="965" spans="5:10" ht="14.5" x14ac:dyDescent="0.35">
      <c r="E965" s="27"/>
      <c r="F965" s="27"/>
      <c r="G965" s="27"/>
      <c r="H965" s="27"/>
      <c r="I965" s="27"/>
      <c r="J965" s="28"/>
    </row>
    <row r="966" spans="5:10" ht="14.5" x14ac:dyDescent="0.35">
      <c r="E966" s="27"/>
      <c r="F966" s="27"/>
      <c r="G966" s="27"/>
      <c r="H966" s="27"/>
      <c r="I966" s="27"/>
      <c r="J966" s="28"/>
    </row>
    <row r="967" spans="5:10" ht="14.5" x14ac:dyDescent="0.35">
      <c r="E967" s="27"/>
      <c r="F967" s="27"/>
      <c r="G967" s="27"/>
      <c r="H967" s="27"/>
      <c r="I967" s="27"/>
      <c r="J967" s="28"/>
    </row>
    <row r="968" spans="5:10" ht="14.5" x14ac:dyDescent="0.35">
      <c r="E968" s="27"/>
      <c r="F968" s="27"/>
      <c r="G968" s="27"/>
      <c r="H968" s="27"/>
      <c r="I968" s="27"/>
      <c r="J968" s="28"/>
    </row>
    <row r="969" spans="5:10" ht="14.5" x14ac:dyDescent="0.35">
      <c r="E969" s="27"/>
      <c r="F969" s="27"/>
      <c r="G969" s="27"/>
      <c r="H969" s="27"/>
      <c r="I969" s="27"/>
      <c r="J969" s="28"/>
    </row>
    <row r="970" spans="5:10" ht="14.5" x14ac:dyDescent="0.35">
      <c r="E970" s="27"/>
      <c r="F970" s="27"/>
      <c r="G970" s="27"/>
      <c r="H970" s="27"/>
      <c r="I970" s="27"/>
      <c r="J970" s="28"/>
    </row>
    <row r="971" spans="5:10" ht="14.5" x14ac:dyDescent="0.35">
      <c r="E971" s="27"/>
      <c r="F971" s="27"/>
      <c r="G971" s="27"/>
      <c r="H971" s="27"/>
      <c r="I971" s="27"/>
      <c r="J971" s="28"/>
    </row>
    <row r="972" spans="5:10" ht="14.5" x14ac:dyDescent="0.35">
      <c r="E972" s="27"/>
      <c r="F972" s="27"/>
      <c r="G972" s="27"/>
      <c r="H972" s="27"/>
      <c r="I972" s="27"/>
      <c r="J972" s="28"/>
    </row>
    <row r="973" spans="5:10" ht="14.5" x14ac:dyDescent="0.35">
      <c r="E973" s="27"/>
      <c r="F973" s="27"/>
      <c r="G973" s="27"/>
      <c r="H973" s="27"/>
      <c r="I973" s="27"/>
      <c r="J973" s="28"/>
    </row>
    <row r="974" spans="5:10" ht="14.5" x14ac:dyDescent="0.35">
      <c r="E974" s="27"/>
      <c r="F974" s="27"/>
      <c r="G974" s="27"/>
      <c r="H974" s="27"/>
      <c r="I974" s="27"/>
      <c r="J974" s="28"/>
    </row>
    <row r="975" spans="5:10" ht="14.5" x14ac:dyDescent="0.35">
      <c r="E975" s="27"/>
      <c r="F975" s="27"/>
      <c r="G975" s="27"/>
      <c r="H975" s="27"/>
      <c r="I975" s="27"/>
      <c r="J975" s="28"/>
    </row>
    <row r="976" spans="5:10" ht="14.5" x14ac:dyDescent="0.35">
      <c r="E976" s="27"/>
      <c r="F976" s="27"/>
      <c r="G976" s="27"/>
      <c r="H976" s="27"/>
      <c r="I976" s="27"/>
      <c r="J976" s="28"/>
    </row>
    <row r="977" spans="5:10" ht="14.5" x14ac:dyDescent="0.35">
      <c r="E977" s="27"/>
      <c r="F977" s="27"/>
      <c r="G977" s="27"/>
      <c r="H977" s="27"/>
      <c r="I977" s="27"/>
      <c r="J977" s="28"/>
    </row>
    <row r="978" spans="5:10" ht="14.5" x14ac:dyDescent="0.35">
      <c r="E978" s="27"/>
      <c r="F978" s="27"/>
      <c r="G978" s="27"/>
      <c r="H978" s="27"/>
      <c r="I978" s="27"/>
      <c r="J978" s="28"/>
    </row>
    <row r="979" spans="5:10" ht="14.5" x14ac:dyDescent="0.35">
      <c r="E979" s="27"/>
      <c r="F979" s="27"/>
      <c r="G979" s="27"/>
      <c r="H979" s="27"/>
      <c r="I979" s="27"/>
      <c r="J979" s="28"/>
    </row>
    <row r="980" spans="5:10" ht="14.5" x14ac:dyDescent="0.35">
      <c r="E980" s="27"/>
      <c r="F980" s="27"/>
      <c r="G980" s="27"/>
      <c r="H980" s="27"/>
      <c r="I980" s="27"/>
      <c r="J980" s="28"/>
    </row>
    <row r="981" spans="5:10" ht="14.5" x14ac:dyDescent="0.35">
      <c r="E981" s="27"/>
      <c r="F981" s="27"/>
      <c r="G981" s="27"/>
      <c r="H981" s="27"/>
      <c r="I981" s="27"/>
      <c r="J981" s="28"/>
    </row>
    <row r="982" spans="5:10" ht="14.5" x14ac:dyDescent="0.35">
      <c r="E982" s="27"/>
      <c r="F982" s="27"/>
      <c r="G982" s="27"/>
      <c r="H982" s="27"/>
      <c r="I982" s="27"/>
      <c r="J982" s="28"/>
    </row>
    <row r="983" spans="5:10" ht="14.5" x14ac:dyDescent="0.35">
      <c r="E983" s="27"/>
      <c r="F983" s="27"/>
      <c r="G983" s="27"/>
      <c r="H983" s="27"/>
      <c r="I983" s="27"/>
      <c r="J983" s="28"/>
    </row>
    <row r="984" spans="5:10" ht="14.5" x14ac:dyDescent="0.35">
      <c r="E984" s="27"/>
      <c r="F984" s="27"/>
      <c r="G984" s="27"/>
      <c r="H984" s="27"/>
      <c r="I984" s="27"/>
      <c r="J984" s="28"/>
    </row>
    <row r="985" spans="5:10" ht="14.5" x14ac:dyDescent="0.35">
      <c r="E985" s="27"/>
      <c r="F985" s="27"/>
      <c r="G985" s="27"/>
      <c r="H985" s="27"/>
      <c r="I985" s="27"/>
      <c r="J985" s="28"/>
    </row>
    <row r="986" spans="5:10" ht="14.5" x14ac:dyDescent="0.35">
      <c r="E986" s="27"/>
      <c r="F986" s="27"/>
      <c r="G986" s="27"/>
      <c r="H986" s="27"/>
      <c r="I986" s="27"/>
      <c r="J986" s="28"/>
    </row>
    <row r="987" spans="5:10" ht="14.5" x14ac:dyDescent="0.35">
      <c r="E987" s="27"/>
      <c r="F987" s="27"/>
      <c r="G987" s="27"/>
      <c r="H987" s="27"/>
      <c r="I987" s="27"/>
      <c r="J987" s="28"/>
    </row>
    <row r="988" spans="5:10" ht="14.5" x14ac:dyDescent="0.35">
      <c r="E988" s="27"/>
      <c r="F988" s="27"/>
      <c r="G988" s="27"/>
      <c r="H988" s="27"/>
      <c r="I988" s="27"/>
      <c r="J988" s="28"/>
    </row>
    <row r="989" spans="5:10" ht="14.5" x14ac:dyDescent="0.35">
      <c r="E989" s="27"/>
      <c r="F989" s="27"/>
      <c r="G989" s="27"/>
      <c r="H989" s="27"/>
      <c r="I989" s="27"/>
      <c r="J989" s="28"/>
    </row>
    <row r="990" spans="5:10" ht="14.5" x14ac:dyDescent="0.35">
      <c r="E990" s="27"/>
      <c r="F990" s="27"/>
      <c r="G990" s="27"/>
      <c r="H990" s="27"/>
      <c r="I990" s="27"/>
      <c r="J990" s="28"/>
    </row>
    <row r="991" spans="5:10" ht="14.5" x14ac:dyDescent="0.35">
      <c r="E991" s="27"/>
      <c r="F991" s="27"/>
      <c r="G991" s="27"/>
      <c r="H991" s="27"/>
      <c r="I991" s="27"/>
      <c r="J991" s="28"/>
    </row>
    <row r="992" spans="5:10" ht="14.5" x14ac:dyDescent="0.35">
      <c r="E992" s="27"/>
      <c r="F992" s="27"/>
      <c r="G992" s="27"/>
      <c r="H992" s="27"/>
      <c r="I992" s="27"/>
      <c r="J992" s="28"/>
    </row>
    <row r="993" spans="5:10" ht="14.5" x14ac:dyDescent="0.35">
      <c r="E993" s="27"/>
      <c r="F993" s="27"/>
      <c r="G993" s="27"/>
      <c r="H993" s="27"/>
      <c r="I993" s="27"/>
      <c r="J993" s="28"/>
    </row>
    <row r="994" spans="5:10" ht="14.5" x14ac:dyDescent="0.35">
      <c r="E994" s="27"/>
      <c r="F994" s="27"/>
      <c r="G994" s="27"/>
      <c r="H994" s="27"/>
      <c r="I994" s="27"/>
      <c r="J994" s="28"/>
    </row>
    <row r="995" spans="5:10" ht="14.5" x14ac:dyDescent="0.35">
      <c r="E995" s="27"/>
      <c r="F995" s="27"/>
      <c r="G995" s="27"/>
      <c r="H995" s="27"/>
      <c r="I995" s="27"/>
      <c r="J995" s="28"/>
    </row>
    <row r="996" spans="5:10" ht="14.5" x14ac:dyDescent="0.35">
      <c r="E996" s="27"/>
      <c r="F996" s="27"/>
      <c r="G996" s="27"/>
      <c r="H996" s="27"/>
      <c r="I996" s="27"/>
      <c r="J996" s="28"/>
    </row>
    <row r="997" spans="5:10" ht="14.5" x14ac:dyDescent="0.35">
      <c r="E997" s="27"/>
      <c r="F997" s="27"/>
      <c r="G997" s="27"/>
      <c r="H997" s="27"/>
      <c r="I997" s="27"/>
      <c r="J997" s="28"/>
    </row>
    <row r="998" spans="5:10" ht="14.5" x14ac:dyDescent="0.35">
      <c r="E998" s="27"/>
      <c r="F998" s="27"/>
      <c r="G998" s="27"/>
      <c r="H998" s="27"/>
      <c r="I998" s="27"/>
      <c r="J998" s="28"/>
    </row>
    <row r="999" spans="5:10" ht="14.5" x14ac:dyDescent="0.35">
      <c r="E999" s="27"/>
      <c r="F999" s="27"/>
      <c r="G999" s="27"/>
      <c r="H999" s="27"/>
      <c r="I999" s="27"/>
      <c r="J999" s="28"/>
    </row>
    <row r="1000" spans="5:10" ht="14.5" x14ac:dyDescent="0.35">
      <c r="E1000" s="27"/>
      <c r="F1000" s="27"/>
      <c r="G1000" s="27"/>
      <c r="H1000" s="27"/>
      <c r="I1000" s="27"/>
      <c r="J1000" s="28"/>
    </row>
  </sheetData>
  <autoFilter ref="A9:O908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1000"/>
  <sheetViews>
    <sheetView showGridLines="0" workbookViewId="0"/>
  </sheetViews>
  <sheetFormatPr defaultColWidth="14.453125" defaultRowHeight="15" customHeight="1" x14ac:dyDescent="0.35"/>
  <sheetData>
    <row r="1" spans="1:17" x14ac:dyDescent="0.35">
      <c r="A1" s="30"/>
      <c r="B1" s="31" t="str">
        <f>Input!M1</f>
        <v>ACCEPTED:</v>
      </c>
      <c r="C1" s="31" t="str">
        <f>Input!N1</f>
        <v>Date:</v>
      </c>
      <c r="D1" s="31" t="str">
        <f>Input!O1</f>
        <v>Update 3</v>
      </c>
      <c r="E1" s="30" t="str">
        <f>Input!A1</f>
        <v>Subcontractor:</v>
      </c>
      <c r="F1" s="30" t="str">
        <f>Input!B1</f>
        <v>Subcontract Number:</v>
      </c>
      <c r="G1" s="30" t="str">
        <f>Input!C1</f>
        <v>Change Order Number:</v>
      </c>
      <c r="H1" s="30" t="str">
        <f>Input!D1</f>
        <v>Owner's Change Order No.</v>
      </c>
      <c r="I1" s="30" t="str">
        <f>Input!E1</f>
        <v>Previous Contract</v>
      </c>
      <c r="J1" s="30" t="str">
        <f>Input!F1</f>
        <v>Increase</v>
      </c>
      <c r="K1" s="30" t="str">
        <f>Input!G1</f>
        <v>Decrease</v>
      </c>
      <c r="L1" s="30" t="str">
        <f>Input!H1</f>
        <v>Net Change</v>
      </c>
      <c r="M1" s="32" t="str">
        <f>Input!I1</f>
        <v>Revised Contract</v>
      </c>
      <c r="N1" s="32" t="str">
        <f>Input!J1</f>
        <v>Date:</v>
      </c>
      <c r="O1" s="32" t="str">
        <f>Input!K1</f>
        <v>Log 11</v>
      </c>
      <c r="P1" s="32" t="str">
        <f>Input!L1</f>
        <v>Log 12</v>
      </c>
      <c r="Q1" s="32"/>
    </row>
    <row r="2" spans="1:17" x14ac:dyDescent="0.35">
      <c r="A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 x14ac:dyDescent="0.35">
      <c r="A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</row>
    <row r="4" spans="1:17" x14ac:dyDescent="0.35">
      <c r="A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</row>
    <row r="5" spans="1:17" x14ac:dyDescent="0.35">
      <c r="A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35">
      <c r="A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</row>
    <row r="7" spans="1:17" x14ac:dyDescent="0.35">
      <c r="A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</row>
    <row r="8" spans="1:17" x14ac:dyDescent="0.35">
      <c r="A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</row>
    <row r="9" spans="1:17" x14ac:dyDescent="0.35">
      <c r="A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</row>
    <row r="10" spans="1:17" x14ac:dyDescent="0.35">
      <c r="A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</row>
    <row r="11" spans="1:17" x14ac:dyDescent="0.35">
      <c r="A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</row>
    <row r="12" spans="1:17" x14ac:dyDescent="0.35">
      <c r="A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</row>
    <row r="13" spans="1:17" x14ac:dyDescent="0.35">
      <c r="A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 spans="1:17" x14ac:dyDescent="0.35">
      <c r="A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</row>
    <row r="15" spans="1:17" x14ac:dyDescent="0.35">
      <c r="A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spans="1:17" x14ac:dyDescent="0.35">
      <c r="A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1:17" x14ac:dyDescent="0.35">
      <c r="A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spans="1:17" x14ac:dyDescent="0.35">
      <c r="A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</row>
    <row r="19" spans="1:17" x14ac:dyDescent="0.35">
      <c r="A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</row>
    <row r="20" spans="1:17" x14ac:dyDescent="0.35">
      <c r="A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spans="1:17" x14ac:dyDescent="0.35">
      <c r="A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spans="1:17" x14ac:dyDescent="0.35">
      <c r="A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</row>
    <row r="23" spans="1:17" x14ac:dyDescent="0.35">
      <c r="A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4" spans="1:17" x14ac:dyDescent="0.35">
      <c r="A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7" x14ac:dyDescent="0.35">
      <c r="A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spans="1:17" x14ac:dyDescent="0.35">
      <c r="A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  <row r="27" spans="1:17" x14ac:dyDescent="0.35">
      <c r="A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</row>
    <row r="28" spans="1:17" x14ac:dyDescent="0.35">
      <c r="A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</row>
    <row r="29" spans="1:17" x14ac:dyDescent="0.35">
      <c r="A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</row>
    <row r="30" spans="1:17" x14ac:dyDescent="0.35">
      <c r="A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</row>
    <row r="31" spans="1:17" x14ac:dyDescent="0.35">
      <c r="A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</row>
    <row r="32" spans="1:17" x14ac:dyDescent="0.35">
      <c r="A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</row>
    <row r="33" spans="1:17" x14ac:dyDescent="0.35">
      <c r="A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</row>
    <row r="34" spans="1:17" x14ac:dyDescent="0.35">
      <c r="A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</row>
    <row r="35" spans="1:17" x14ac:dyDescent="0.35">
      <c r="A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</row>
    <row r="36" spans="1:17" x14ac:dyDescent="0.35">
      <c r="A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</row>
    <row r="37" spans="1:17" x14ac:dyDescent="0.35">
      <c r="A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</row>
    <row r="38" spans="1:17" x14ac:dyDescent="0.35">
      <c r="A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</row>
    <row r="39" spans="1:17" x14ac:dyDescent="0.35">
      <c r="A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</row>
    <row r="40" spans="1:17" x14ac:dyDescent="0.35">
      <c r="A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</row>
    <row r="41" spans="1:17" x14ac:dyDescent="0.35">
      <c r="A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</row>
    <row r="42" spans="1:17" x14ac:dyDescent="0.35">
      <c r="A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</row>
    <row r="43" spans="1:17" x14ac:dyDescent="0.35">
      <c r="A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</row>
    <row r="44" spans="1:17" x14ac:dyDescent="0.35">
      <c r="A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</row>
    <row r="45" spans="1:17" x14ac:dyDescent="0.35">
      <c r="A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</row>
    <row r="46" spans="1:17" x14ac:dyDescent="0.35">
      <c r="A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</row>
    <row r="47" spans="1:17" x14ac:dyDescent="0.35">
      <c r="A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</row>
    <row r="48" spans="1:17" x14ac:dyDescent="0.35">
      <c r="A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</row>
    <row r="49" spans="1:17" x14ac:dyDescent="0.35">
      <c r="A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</row>
    <row r="50" spans="1:17" x14ac:dyDescent="0.35">
      <c r="A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</row>
    <row r="51" spans="1:17" x14ac:dyDescent="0.35">
      <c r="A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</row>
    <row r="52" spans="1:17" x14ac:dyDescent="0.35">
      <c r="A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</row>
    <row r="53" spans="1:17" x14ac:dyDescent="0.35">
      <c r="A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</row>
    <row r="54" spans="1:17" x14ac:dyDescent="0.35">
      <c r="A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</row>
    <row r="55" spans="1:17" x14ac:dyDescent="0.35">
      <c r="A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</row>
    <row r="56" spans="1:17" x14ac:dyDescent="0.35">
      <c r="A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</row>
    <row r="57" spans="1:17" x14ac:dyDescent="0.35">
      <c r="A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</row>
    <row r="58" spans="1:17" x14ac:dyDescent="0.35">
      <c r="A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</row>
    <row r="59" spans="1:17" x14ac:dyDescent="0.35">
      <c r="A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</row>
    <row r="60" spans="1:17" x14ac:dyDescent="0.35">
      <c r="A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</row>
    <row r="61" spans="1:17" x14ac:dyDescent="0.35">
      <c r="A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</row>
    <row r="62" spans="1:17" x14ac:dyDescent="0.35">
      <c r="A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</row>
    <row r="63" spans="1:17" x14ac:dyDescent="0.35">
      <c r="A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</row>
    <row r="64" spans="1:17" x14ac:dyDescent="0.35">
      <c r="A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</row>
    <row r="65" spans="1:17" x14ac:dyDescent="0.35">
      <c r="A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</row>
    <row r="66" spans="1:17" x14ac:dyDescent="0.35">
      <c r="A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</row>
    <row r="67" spans="1:17" x14ac:dyDescent="0.35">
      <c r="A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</row>
    <row r="68" spans="1:17" x14ac:dyDescent="0.35">
      <c r="A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</row>
    <row r="69" spans="1:17" x14ac:dyDescent="0.35">
      <c r="A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</row>
    <row r="70" spans="1:17" x14ac:dyDescent="0.35">
      <c r="A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</row>
    <row r="71" spans="1:17" x14ac:dyDescent="0.35">
      <c r="A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</row>
    <row r="72" spans="1:17" x14ac:dyDescent="0.35">
      <c r="A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</row>
    <row r="73" spans="1:17" x14ac:dyDescent="0.35">
      <c r="A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</row>
    <row r="74" spans="1:17" x14ac:dyDescent="0.35">
      <c r="A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</row>
    <row r="75" spans="1:17" x14ac:dyDescent="0.35">
      <c r="A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</row>
    <row r="76" spans="1:17" x14ac:dyDescent="0.35">
      <c r="A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</row>
    <row r="77" spans="1:17" x14ac:dyDescent="0.35">
      <c r="A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</row>
    <row r="78" spans="1:17" x14ac:dyDescent="0.35">
      <c r="A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</row>
    <row r="79" spans="1:17" x14ac:dyDescent="0.35">
      <c r="A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</row>
    <row r="80" spans="1:17" x14ac:dyDescent="0.35">
      <c r="A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</row>
    <row r="81" spans="1:17" x14ac:dyDescent="0.35">
      <c r="A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</row>
    <row r="82" spans="1:17" x14ac:dyDescent="0.35">
      <c r="A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</row>
    <row r="83" spans="1:17" x14ac:dyDescent="0.35">
      <c r="A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</row>
    <row r="84" spans="1:17" x14ac:dyDescent="0.35">
      <c r="A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</row>
    <row r="85" spans="1:17" x14ac:dyDescent="0.35">
      <c r="A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</row>
    <row r="86" spans="1:17" x14ac:dyDescent="0.35">
      <c r="A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</row>
    <row r="87" spans="1:17" x14ac:dyDescent="0.35">
      <c r="A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</row>
    <row r="88" spans="1:17" x14ac:dyDescent="0.35">
      <c r="A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</row>
    <row r="89" spans="1:17" x14ac:dyDescent="0.35">
      <c r="A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</row>
    <row r="90" spans="1:17" x14ac:dyDescent="0.35">
      <c r="A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</row>
    <row r="91" spans="1:17" x14ac:dyDescent="0.35">
      <c r="A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</row>
    <row r="92" spans="1:17" x14ac:dyDescent="0.35">
      <c r="A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</row>
    <row r="93" spans="1:17" x14ac:dyDescent="0.35">
      <c r="A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</row>
    <row r="94" spans="1:17" x14ac:dyDescent="0.35">
      <c r="A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</row>
    <row r="95" spans="1:17" x14ac:dyDescent="0.35">
      <c r="A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</row>
    <row r="96" spans="1:17" x14ac:dyDescent="0.35">
      <c r="A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</row>
    <row r="97" spans="1:17" x14ac:dyDescent="0.35">
      <c r="A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</row>
    <row r="98" spans="1:17" x14ac:dyDescent="0.35">
      <c r="A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</row>
    <row r="99" spans="1:17" x14ac:dyDescent="0.35">
      <c r="A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</row>
    <row r="100" spans="1:17" x14ac:dyDescent="0.35">
      <c r="A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</row>
    <row r="101" spans="1:17" x14ac:dyDescent="0.35">
      <c r="A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</row>
    <row r="102" spans="1:17" x14ac:dyDescent="0.35">
      <c r="A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</row>
    <row r="103" spans="1:17" x14ac:dyDescent="0.35">
      <c r="A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</row>
    <row r="104" spans="1:17" x14ac:dyDescent="0.35">
      <c r="A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</row>
    <row r="105" spans="1:17" x14ac:dyDescent="0.35">
      <c r="A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</row>
    <row r="106" spans="1:17" x14ac:dyDescent="0.35">
      <c r="A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</row>
    <row r="107" spans="1:17" x14ac:dyDescent="0.35">
      <c r="A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</row>
    <row r="108" spans="1:17" x14ac:dyDescent="0.35">
      <c r="A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</row>
    <row r="109" spans="1:17" x14ac:dyDescent="0.35">
      <c r="A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</row>
    <row r="110" spans="1:17" x14ac:dyDescent="0.35">
      <c r="A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</row>
    <row r="111" spans="1:17" x14ac:dyDescent="0.35">
      <c r="A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</row>
    <row r="112" spans="1:17" x14ac:dyDescent="0.35">
      <c r="A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</row>
    <row r="113" spans="1:17" x14ac:dyDescent="0.35">
      <c r="A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</row>
    <row r="114" spans="1:17" x14ac:dyDescent="0.35">
      <c r="A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</row>
    <row r="115" spans="1:17" x14ac:dyDescent="0.35">
      <c r="A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</row>
    <row r="116" spans="1:17" x14ac:dyDescent="0.35">
      <c r="A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</row>
    <row r="117" spans="1:17" x14ac:dyDescent="0.35">
      <c r="A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</row>
    <row r="118" spans="1:17" x14ac:dyDescent="0.35">
      <c r="A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</row>
    <row r="119" spans="1:17" x14ac:dyDescent="0.35">
      <c r="A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</row>
    <row r="120" spans="1:17" x14ac:dyDescent="0.35">
      <c r="A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</row>
    <row r="121" spans="1:17" x14ac:dyDescent="0.35">
      <c r="A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</row>
    <row r="122" spans="1:17" x14ac:dyDescent="0.35">
      <c r="A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</row>
    <row r="123" spans="1:17" x14ac:dyDescent="0.35">
      <c r="A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</row>
    <row r="124" spans="1:17" x14ac:dyDescent="0.35">
      <c r="A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</row>
    <row r="125" spans="1:17" x14ac:dyDescent="0.35">
      <c r="A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</row>
    <row r="126" spans="1:17" x14ac:dyDescent="0.35">
      <c r="A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</row>
    <row r="127" spans="1:17" x14ac:dyDescent="0.35">
      <c r="A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</row>
    <row r="128" spans="1:17" x14ac:dyDescent="0.35">
      <c r="A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</row>
    <row r="129" spans="1:17" x14ac:dyDescent="0.35">
      <c r="A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</row>
    <row r="130" spans="1:17" x14ac:dyDescent="0.35">
      <c r="A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</row>
    <row r="131" spans="1:17" x14ac:dyDescent="0.35">
      <c r="A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</row>
    <row r="132" spans="1:17" x14ac:dyDescent="0.35">
      <c r="A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</row>
    <row r="133" spans="1:17" x14ac:dyDescent="0.35">
      <c r="A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</row>
    <row r="134" spans="1:17" x14ac:dyDescent="0.35">
      <c r="A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</row>
    <row r="135" spans="1:17" x14ac:dyDescent="0.35">
      <c r="A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</row>
    <row r="136" spans="1:17" x14ac:dyDescent="0.35">
      <c r="A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</row>
    <row r="137" spans="1:17" x14ac:dyDescent="0.35">
      <c r="A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</row>
    <row r="138" spans="1:17" x14ac:dyDescent="0.35">
      <c r="A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</row>
    <row r="139" spans="1:17" x14ac:dyDescent="0.35">
      <c r="A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</row>
    <row r="140" spans="1:17" x14ac:dyDescent="0.35">
      <c r="A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</row>
    <row r="141" spans="1:17" x14ac:dyDescent="0.35">
      <c r="A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</row>
    <row r="142" spans="1:17" x14ac:dyDescent="0.35">
      <c r="A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</row>
    <row r="143" spans="1:17" x14ac:dyDescent="0.35">
      <c r="A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</row>
    <row r="144" spans="1:17" x14ac:dyDescent="0.35">
      <c r="A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</row>
    <row r="145" spans="1:17" x14ac:dyDescent="0.35">
      <c r="A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</row>
    <row r="146" spans="1:17" x14ac:dyDescent="0.35">
      <c r="A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</row>
    <row r="147" spans="1:17" x14ac:dyDescent="0.35">
      <c r="A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</row>
    <row r="148" spans="1:17" x14ac:dyDescent="0.35">
      <c r="A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</row>
    <row r="149" spans="1:17" x14ac:dyDescent="0.35">
      <c r="A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</row>
    <row r="150" spans="1:17" x14ac:dyDescent="0.35">
      <c r="A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</row>
    <row r="151" spans="1:17" x14ac:dyDescent="0.35">
      <c r="A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</row>
    <row r="152" spans="1:17" x14ac:dyDescent="0.35">
      <c r="A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</row>
    <row r="153" spans="1:17" x14ac:dyDescent="0.35">
      <c r="A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</row>
    <row r="154" spans="1:17" x14ac:dyDescent="0.35">
      <c r="A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</row>
    <row r="155" spans="1:17" x14ac:dyDescent="0.35">
      <c r="A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</row>
    <row r="156" spans="1:17" x14ac:dyDescent="0.35">
      <c r="A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</row>
    <row r="157" spans="1:17" x14ac:dyDescent="0.35">
      <c r="A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</row>
    <row r="158" spans="1:17" x14ac:dyDescent="0.35">
      <c r="A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</row>
    <row r="159" spans="1:17" x14ac:dyDescent="0.35">
      <c r="A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</row>
    <row r="160" spans="1:17" x14ac:dyDescent="0.35">
      <c r="A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</row>
    <row r="161" spans="1:17" x14ac:dyDescent="0.35">
      <c r="A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</row>
    <row r="162" spans="1:17" x14ac:dyDescent="0.35">
      <c r="A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</row>
    <row r="163" spans="1:17" x14ac:dyDescent="0.35">
      <c r="A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</row>
    <row r="164" spans="1:17" x14ac:dyDescent="0.35">
      <c r="A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</row>
    <row r="165" spans="1:17" x14ac:dyDescent="0.35">
      <c r="A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</row>
    <row r="166" spans="1:17" x14ac:dyDescent="0.35">
      <c r="A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</row>
    <row r="167" spans="1:17" x14ac:dyDescent="0.35">
      <c r="A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</row>
    <row r="168" spans="1:17" x14ac:dyDescent="0.35">
      <c r="A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</row>
    <row r="169" spans="1:17" x14ac:dyDescent="0.35">
      <c r="A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</row>
    <row r="170" spans="1:17" x14ac:dyDescent="0.35">
      <c r="A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</row>
    <row r="171" spans="1:17" x14ac:dyDescent="0.35">
      <c r="A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</row>
    <row r="172" spans="1:17" x14ac:dyDescent="0.35">
      <c r="A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</row>
    <row r="173" spans="1:17" x14ac:dyDescent="0.35">
      <c r="A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</row>
    <row r="174" spans="1:17" x14ac:dyDescent="0.35">
      <c r="A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</row>
    <row r="175" spans="1:17" x14ac:dyDescent="0.35">
      <c r="A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</row>
    <row r="176" spans="1:17" x14ac:dyDescent="0.35">
      <c r="A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</row>
    <row r="177" spans="1:17" x14ac:dyDescent="0.35">
      <c r="A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</row>
    <row r="178" spans="1:17" x14ac:dyDescent="0.35">
      <c r="A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</row>
    <row r="179" spans="1:17" x14ac:dyDescent="0.35">
      <c r="A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</row>
    <row r="180" spans="1:17" x14ac:dyDescent="0.35">
      <c r="A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</row>
    <row r="181" spans="1:17" x14ac:dyDescent="0.35">
      <c r="A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</row>
    <row r="182" spans="1:17" x14ac:dyDescent="0.35">
      <c r="A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</row>
    <row r="183" spans="1:17" x14ac:dyDescent="0.35">
      <c r="A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</row>
    <row r="184" spans="1:17" x14ac:dyDescent="0.35">
      <c r="A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</row>
    <row r="185" spans="1:17" x14ac:dyDescent="0.35">
      <c r="A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</row>
    <row r="186" spans="1:17" x14ac:dyDescent="0.35">
      <c r="A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</row>
    <row r="187" spans="1:17" x14ac:dyDescent="0.35">
      <c r="A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</row>
    <row r="188" spans="1:17" x14ac:dyDescent="0.35">
      <c r="A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</row>
    <row r="189" spans="1:17" x14ac:dyDescent="0.35">
      <c r="A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</row>
    <row r="190" spans="1:17" x14ac:dyDescent="0.35">
      <c r="A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</row>
    <row r="191" spans="1:17" x14ac:dyDescent="0.35">
      <c r="A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</row>
    <row r="192" spans="1:17" x14ac:dyDescent="0.35">
      <c r="A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</row>
    <row r="193" spans="1:17" x14ac:dyDescent="0.35">
      <c r="A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</row>
    <row r="194" spans="1:17" x14ac:dyDescent="0.35">
      <c r="A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</row>
    <row r="195" spans="1:17" x14ac:dyDescent="0.35">
      <c r="A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</row>
    <row r="196" spans="1:17" x14ac:dyDescent="0.35">
      <c r="A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</row>
    <row r="197" spans="1:17" x14ac:dyDescent="0.35">
      <c r="A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</row>
    <row r="198" spans="1:17" x14ac:dyDescent="0.35">
      <c r="A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</row>
    <row r="199" spans="1:17" x14ac:dyDescent="0.35">
      <c r="A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</row>
    <row r="200" spans="1:17" x14ac:dyDescent="0.35">
      <c r="A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</row>
    <row r="201" spans="1:17" x14ac:dyDescent="0.35">
      <c r="A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</row>
    <row r="202" spans="1:17" x14ac:dyDescent="0.35">
      <c r="A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</row>
    <row r="203" spans="1:17" x14ac:dyDescent="0.35">
      <c r="A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</row>
    <row r="204" spans="1:17" x14ac:dyDescent="0.35">
      <c r="A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</row>
    <row r="205" spans="1:17" x14ac:dyDescent="0.35">
      <c r="A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</row>
    <row r="206" spans="1:17" x14ac:dyDescent="0.35">
      <c r="A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</row>
    <row r="207" spans="1:17" x14ac:dyDescent="0.35">
      <c r="A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</row>
    <row r="208" spans="1:17" x14ac:dyDescent="0.35">
      <c r="A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</row>
    <row r="209" spans="1:17" x14ac:dyDescent="0.35">
      <c r="A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</row>
    <row r="210" spans="1:17" x14ac:dyDescent="0.35">
      <c r="A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</row>
    <row r="211" spans="1:17" x14ac:dyDescent="0.35">
      <c r="A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</row>
    <row r="212" spans="1:17" x14ac:dyDescent="0.35">
      <c r="A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</row>
    <row r="213" spans="1:17" x14ac:dyDescent="0.35">
      <c r="A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</row>
    <row r="214" spans="1:17" x14ac:dyDescent="0.35">
      <c r="A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</row>
    <row r="215" spans="1:17" x14ac:dyDescent="0.35">
      <c r="A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</row>
    <row r="216" spans="1:17" x14ac:dyDescent="0.35">
      <c r="A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</row>
    <row r="217" spans="1:17" x14ac:dyDescent="0.35">
      <c r="A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</row>
    <row r="218" spans="1:17" x14ac:dyDescent="0.35">
      <c r="A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</row>
    <row r="219" spans="1:17" x14ac:dyDescent="0.35">
      <c r="A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</row>
    <row r="220" spans="1:17" x14ac:dyDescent="0.35">
      <c r="A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</row>
    <row r="221" spans="1:17" x14ac:dyDescent="0.35">
      <c r="A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</row>
    <row r="222" spans="1:17" x14ac:dyDescent="0.35">
      <c r="A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</row>
    <row r="223" spans="1:17" x14ac:dyDescent="0.35">
      <c r="A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</row>
    <row r="224" spans="1:17" x14ac:dyDescent="0.35">
      <c r="A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</row>
    <row r="225" spans="1:17" x14ac:dyDescent="0.35">
      <c r="A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</row>
    <row r="226" spans="1:17" x14ac:dyDescent="0.35">
      <c r="A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</row>
    <row r="227" spans="1:17" x14ac:dyDescent="0.35">
      <c r="A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</row>
    <row r="228" spans="1:17" x14ac:dyDescent="0.35">
      <c r="A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</row>
    <row r="229" spans="1:17" x14ac:dyDescent="0.35">
      <c r="A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</row>
    <row r="230" spans="1:17" x14ac:dyDescent="0.35">
      <c r="A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</row>
    <row r="231" spans="1:17" x14ac:dyDescent="0.35">
      <c r="A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</row>
    <row r="232" spans="1:17" x14ac:dyDescent="0.35">
      <c r="A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</row>
    <row r="233" spans="1:17" x14ac:dyDescent="0.35">
      <c r="A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</row>
    <row r="234" spans="1:17" x14ac:dyDescent="0.35">
      <c r="A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</row>
    <row r="235" spans="1:17" x14ac:dyDescent="0.35">
      <c r="A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</row>
    <row r="236" spans="1:17" x14ac:dyDescent="0.35">
      <c r="A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</row>
    <row r="237" spans="1:17" x14ac:dyDescent="0.35">
      <c r="A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</row>
    <row r="238" spans="1:17" x14ac:dyDescent="0.35">
      <c r="A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</row>
    <row r="239" spans="1:17" x14ac:dyDescent="0.35">
      <c r="A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</row>
    <row r="240" spans="1:17" x14ac:dyDescent="0.35">
      <c r="A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</row>
    <row r="241" spans="1:17" x14ac:dyDescent="0.35">
      <c r="A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</row>
    <row r="242" spans="1:17" x14ac:dyDescent="0.35">
      <c r="A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</row>
    <row r="243" spans="1:17" x14ac:dyDescent="0.35">
      <c r="A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</row>
    <row r="244" spans="1:17" x14ac:dyDescent="0.35">
      <c r="A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</row>
    <row r="245" spans="1:17" x14ac:dyDescent="0.35">
      <c r="A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</row>
    <row r="246" spans="1:17" x14ac:dyDescent="0.35">
      <c r="A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</row>
    <row r="247" spans="1:17" x14ac:dyDescent="0.35">
      <c r="A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</row>
    <row r="248" spans="1:17" x14ac:dyDescent="0.35">
      <c r="A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</row>
    <row r="249" spans="1:17" x14ac:dyDescent="0.35">
      <c r="A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</row>
    <row r="250" spans="1:17" x14ac:dyDescent="0.35">
      <c r="A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</row>
    <row r="251" spans="1:17" x14ac:dyDescent="0.35">
      <c r="A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</row>
    <row r="252" spans="1:17" x14ac:dyDescent="0.35">
      <c r="A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</row>
    <row r="253" spans="1:17" x14ac:dyDescent="0.35">
      <c r="A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</row>
    <row r="254" spans="1:17" x14ac:dyDescent="0.35">
      <c r="A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</row>
    <row r="255" spans="1:17" x14ac:dyDescent="0.35">
      <c r="A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</row>
    <row r="256" spans="1:17" x14ac:dyDescent="0.35">
      <c r="A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</row>
    <row r="257" spans="1:17" x14ac:dyDescent="0.35">
      <c r="A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</row>
    <row r="258" spans="1:17" x14ac:dyDescent="0.35">
      <c r="A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</row>
    <row r="259" spans="1:17" x14ac:dyDescent="0.35">
      <c r="A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</row>
    <row r="260" spans="1:17" x14ac:dyDescent="0.35">
      <c r="A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</row>
    <row r="261" spans="1:17" x14ac:dyDescent="0.35">
      <c r="A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</row>
    <row r="262" spans="1:17" x14ac:dyDescent="0.35">
      <c r="A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</row>
    <row r="263" spans="1:17" x14ac:dyDescent="0.35">
      <c r="A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</row>
    <row r="264" spans="1:17" x14ac:dyDescent="0.35">
      <c r="A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</row>
    <row r="265" spans="1:17" x14ac:dyDescent="0.35">
      <c r="A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</row>
    <row r="266" spans="1:17" x14ac:dyDescent="0.35">
      <c r="A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</row>
    <row r="267" spans="1:17" x14ac:dyDescent="0.35">
      <c r="A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</row>
    <row r="268" spans="1:17" x14ac:dyDescent="0.35">
      <c r="A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</row>
    <row r="269" spans="1:17" x14ac:dyDescent="0.35">
      <c r="A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</row>
    <row r="270" spans="1:17" x14ac:dyDescent="0.35">
      <c r="A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</row>
    <row r="271" spans="1:17" x14ac:dyDescent="0.35">
      <c r="A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</row>
    <row r="272" spans="1:17" x14ac:dyDescent="0.35">
      <c r="A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</row>
    <row r="273" spans="1:17" x14ac:dyDescent="0.35">
      <c r="A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</row>
    <row r="274" spans="1:17" x14ac:dyDescent="0.35">
      <c r="A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</row>
    <row r="275" spans="1:17" x14ac:dyDescent="0.35">
      <c r="A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</row>
    <row r="276" spans="1:17" x14ac:dyDescent="0.35">
      <c r="A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</row>
    <row r="277" spans="1:17" x14ac:dyDescent="0.35">
      <c r="A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</row>
    <row r="278" spans="1:17" x14ac:dyDescent="0.35">
      <c r="A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</row>
    <row r="279" spans="1:17" x14ac:dyDescent="0.35">
      <c r="A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</row>
    <row r="280" spans="1:17" x14ac:dyDescent="0.35">
      <c r="A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</row>
    <row r="281" spans="1:17" x14ac:dyDescent="0.35">
      <c r="A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</row>
    <row r="282" spans="1:17" x14ac:dyDescent="0.35">
      <c r="A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</row>
    <row r="283" spans="1:17" x14ac:dyDescent="0.35">
      <c r="A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</row>
    <row r="284" spans="1:17" x14ac:dyDescent="0.35">
      <c r="A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</row>
    <row r="285" spans="1:17" x14ac:dyDescent="0.35">
      <c r="A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</row>
    <row r="286" spans="1:17" x14ac:dyDescent="0.35">
      <c r="A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</row>
    <row r="287" spans="1:17" x14ac:dyDescent="0.35">
      <c r="A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</row>
    <row r="288" spans="1:17" x14ac:dyDescent="0.35">
      <c r="A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</row>
    <row r="289" spans="1:17" x14ac:dyDescent="0.35">
      <c r="A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</row>
    <row r="290" spans="1:17" x14ac:dyDescent="0.35">
      <c r="A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</row>
    <row r="291" spans="1:17" x14ac:dyDescent="0.35">
      <c r="A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</row>
    <row r="292" spans="1:17" x14ac:dyDescent="0.35">
      <c r="A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</row>
    <row r="293" spans="1:17" x14ac:dyDescent="0.35">
      <c r="A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</row>
    <row r="294" spans="1:17" x14ac:dyDescent="0.35">
      <c r="A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</row>
    <row r="295" spans="1:17" x14ac:dyDescent="0.35">
      <c r="A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</row>
    <row r="296" spans="1:17" x14ac:dyDescent="0.35">
      <c r="A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</row>
    <row r="297" spans="1:17" x14ac:dyDescent="0.35">
      <c r="A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</row>
    <row r="298" spans="1:17" x14ac:dyDescent="0.35">
      <c r="A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</row>
    <row r="299" spans="1:17" x14ac:dyDescent="0.35">
      <c r="A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</row>
    <row r="300" spans="1:17" x14ac:dyDescent="0.35">
      <c r="A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</row>
    <row r="301" spans="1:17" x14ac:dyDescent="0.35">
      <c r="A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</row>
    <row r="302" spans="1:17" x14ac:dyDescent="0.35">
      <c r="A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</row>
    <row r="303" spans="1:17" x14ac:dyDescent="0.35">
      <c r="A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</row>
    <row r="304" spans="1:17" x14ac:dyDescent="0.35">
      <c r="A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</row>
    <row r="305" spans="1:17" x14ac:dyDescent="0.35">
      <c r="A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</row>
    <row r="306" spans="1:17" x14ac:dyDescent="0.35">
      <c r="A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</row>
    <row r="307" spans="1:17" x14ac:dyDescent="0.35">
      <c r="A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</row>
    <row r="308" spans="1:17" x14ac:dyDescent="0.35">
      <c r="A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</row>
    <row r="309" spans="1:17" x14ac:dyDescent="0.35">
      <c r="A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</row>
    <row r="310" spans="1:17" x14ac:dyDescent="0.35">
      <c r="A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</row>
    <row r="311" spans="1:17" x14ac:dyDescent="0.35">
      <c r="A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</row>
    <row r="312" spans="1:17" x14ac:dyDescent="0.35">
      <c r="A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</row>
    <row r="313" spans="1:17" x14ac:dyDescent="0.35">
      <c r="A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</row>
    <row r="314" spans="1:17" x14ac:dyDescent="0.35">
      <c r="A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</row>
    <row r="315" spans="1:17" x14ac:dyDescent="0.35">
      <c r="A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</row>
    <row r="316" spans="1:17" x14ac:dyDescent="0.35">
      <c r="A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</row>
    <row r="317" spans="1:17" x14ac:dyDescent="0.35">
      <c r="A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</row>
    <row r="318" spans="1:17" x14ac:dyDescent="0.35">
      <c r="A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</row>
    <row r="319" spans="1:17" x14ac:dyDescent="0.35">
      <c r="A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</row>
    <row r="320" spans="1:17" x14ac:dyDescent="0.35">
      <c r="A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</row>
    <row r="321" spans="1:17" x14ac:dyDescent="0.35">
      <c r="A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</row>
    <row r="322" spans="1:17" x14ac:dyDescent="0.35">
      <c r="A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</row>
    <row r="323" spans="1:17" x14ac:dyDescent="0.35">
      <c r="A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</row>
    <row r="324" spans="1:17" x14ac:dyDescent="0.35">
      <c r="A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</row>
    <row r="325" spans="1:17" x14ac:dyDescent="0.35">
      <c r="A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</row>
    <row r="326" spans="1:17" x14ac:dyDescent="0.35">
      <c r="A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</row>
    <row r="327" spans="1:17" x14ac:dyDescent="0.35">
      <c r="A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</row>
    <row r="328" spans="1:17" x14ac:dyDescent="0.35">
      <c r="A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</row>
    <row r="329" spans="1:17" x14ac:dyDescent="0.35">
      <c r="A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</row>
    <row r="330" spans="1:17" x14ac:dyDescent="0.35">
      <c r="A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</row>
    <row r="331" spans="1:17" x14ac:dyDescent="0.35">
      <c r="A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</row>
    <row r="332" spans="1:17" x14ac:dyDescent="0.35">
      <c r="A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</row>
    <row r="333" spans="1:17" x14ac:dyDescent="0.35">
      <c r="A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</row>
    <row r="334" spans="1:17" x14ac:dyDescent="0.35">
      <c r="A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</row>
    <row r="335" spans="1:17" x14ac:dyDescent="0.35">
      <c r="A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</row>
    <row r="336" spans="1:17" x14ac:dyDescent="0.35">
      <c r="A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</row>
    <row r="337" spans="1:17" x14ac:dyDescent="0.35">
      <c r="A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</row>
    <row r="338" spans="1:17" x14ac:dyDescent="0.35">
      <c r="A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</row>
    <row r="339" spans="1:17" x14ac:dyDescent="0.35">
      <c r="A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</row>
    <row r="340" spans="1:17" x14ac:dyDescent="0.35">
      <c r="A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</row>
    <row r="341" spans="1:17" x14ac:dyDescent="0.35">
      <c r="A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</row>
    <row r="342" spans="1:17" x14ac:dyDescent="0.35">
      <c r="A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</row>
    <row r="343" spans="1:17" x14ac:dyDescent="0.35">
      <c r="A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</row>
    <row r="344" spans="1:17" x14ac:dyDescent="0.35">
      <c r="A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</row>
    <row r="345" spans="1:17" x14ac:dyDescent="0.35">
      <c r="A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</row>
    <row r="346" spans="1:17" x14ac:dyDescent="0.35">
      <c r="A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</row>
    <row r="347" spans="1:17" x14ac:dyDescent="0.35">
      <c r="A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</row>
    <row r="348" spans="1:17" x14ac:dyDescent="0.35">
      <c r="A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</row>
    <row r="349" spans="1:17" x14ac:dyDescent="0.35">
      <c r="A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</row>
    <row r="350" spans="1:17" x14ac:dyDescent="0.35">
      <c r="A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</row>
    <row r="351" spans="1:17" x14ac:dyDescent="0.35">
      <c r="A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</row>
    <row r="352" spans="1:17" x14ac:dyDescent="0.35">
      <c r="A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</row>
    <row r="353" spans="1:17" x14ac:dyDescent="0.35">
      <c r="A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</row>
    <row r="354" spans="1:17" x14ac:dyDescent="0.35">
      <c r="A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</row>
    <row r="355" spans="1:17" x14ac:dyDescent="0.35">
      <c r="A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</row>
    <row r="356" spans="1:17" x14ac:dyDescent="0.35">
      <c r="A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</row>
    <row r="357" spans="1:17" x14ac:dyDescent="0.35">
      <c r="A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</row>
    <row r="358" spans="1:17" x14ac:dyDescent="0.35">
      <c r="A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</row>
    <row r="359" spans="1:17" x14ac:dyDescent="0.35">
      <c r="A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</row>
    <row r="360" spans="1:17" x14ac:dyDescent="0.35">
      <c r="A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</row>
    <row r="361" spans="1:17" x14ac:dyDescent="0.35">
      <c r="A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</row>
    <row r="362" spans="1:17" x14ac:dyDescent="0.35">
      <c r="A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</row>
    <row r="363" spans="1:17" x14ac:dyDescent="0.35">
      <c r="A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</row>
    <row r="364" spans="1:17" x14ac:dyDescent="0.35">
      <c r="A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</row>
    <row r="365" spans="1:17" x14ac:dyDescent="0.35">
      <c r="A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</row>
    <row r="366" spans="1:17" x14ac:dyDescent="0.35">
      <c r="A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</row>
    <row r="367" spans="1:17" x14ac:dyDescent="0.35">
      <c r="A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</row>
    <row r="368" spans="1:17" x14ac:dyDescent="0.35">
      <c r="A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</row>
    <row r="369" spans="1:17" x14ac:dyDescent="0.35">
      <c r="A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</row>
    <row r="370" spans="1:17" x14ac:dyDescent="0.35">
      <c r="A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</row>
    <row r="371" spans="1:17" x14ac:dyDescent="0.35">
      <c r="A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</row>
    <row r="372" spans="1:17" x14ac:dyDescent="0.35">
      <c r="A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</row>
    <row r="373" spans="1:17" x14ac:dyDescent="0.35">
      <c r="A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</row>
    <row r="374" spans="1:17" x14ac:dyDescent="0.35">
      <c r="A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</row>
    <row r="375" spans="1:17" x14ac:dyDescent="0.35">
      <c r="A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</row>
    <row r="376" spans="1:17" x14ac:dyDescent="0.35">
      <c r="A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</row>
    <row r="377" spans="1:17" x14ac:dyDescent="0.35">
      <c r="A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</row>
    <row r="378" spans="1:17" x14ac:dyDescent="0.35">
      <c r="A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</row>
    <row r="379" spans="1:17" x14ac:dyDescent="0.35">
      <c r="A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</row>
    <row r="380" spans="1:17" x14ac:dyDescent="0.35">
      <c r="A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</row>
    <row r="381" spans="1:17" x14ac:dyDescent="0.35">
      <c r="A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</row>
    <row r="382" spans="1:17" x14ac:dyDescent="0.35">
      <c r="A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</row>
    <row r="383" spans="1:17" x14ac:dyDescent="0.35">
      <c r="A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</row>
    <row r="384" spans="1:17" x14ac:dyDescent="0.35">
      <c r="A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</row>
    <row r="385" spans="1:17" x14ac:dyDescent="0.35">
      <c r="A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</row>
    <row r="386" spans="1:17" x14ac:dyDescent="0.35">
      <c r="A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</row>
    <row r="387" spans="1:17" x14ac:dyDescent="0.35">
      <c r="A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</row>
    <row r="388" spans="1:17" x14ac:dyDescent="0.35">
      <c r="A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</row>
    <row r="389" spans="1:17" x14ac:dyDescent="0.35">
      <c r="A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</row>
    <row r="390" spans="1:17" x14ac:dyDescent="0.35">
      <c r="A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</row>
    <row r="391" spans="1:17" x14ac:dyDescent="0.35">
      <c r="A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</row>
    <row r="392" spans="1:17" x14ac:dyDescent="0.35">
      <c r="A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</row>
    <row r="393" spans="1:17" x14ac:dyDescent="0.35">
      <c r="A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</row>
    <row r="394" spans="1:17" x14ac:dyDescent="0.35">
      <c r="A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</row>
    <row r="395" spans="1:17" x14ac:dyDescent="0.35">
      <c r="A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</row>
    <row r="396" spans="1:17" x14ac:dyDescent="0.35">
      <c r="A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</row>
    <row r="397" spans="1:17" x14ac:dyDescent="0.35">
      <c r="A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</row>
    <row r="398" spans="1:17" x14ac:dyDescent="0.35">
      <c r="A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</row>
    <row r="399" spans="1:17" x14ac:dyDescent="0.35">
      <c r="A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</row>
    <row r="400" spans="1:17" x14ac:dyDescent="0.35">
      <c r="A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</row>
    <row r="401" spans="1:17" x14ac:dyDescent="0.35">
      <c r="A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</row>
    <row r="402" spans="1:17" x14ac:dyDescent="0.35">
      <c r="A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</row>
    <row r="403" spans="1:17" x14ac:dyDescent="0.35">
      <c r="A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</row>
    <row r="404" spans="1:17" x14ac:dyDescent="0.35">
      <c r="A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</row>
    <row r="405" spans="1:17" x14ac:dyDescent="0.35">
      <c r="A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</row>
    <row r="406" spans="1:17" x14ac:dyDescent="0.35">
      <c r="A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</row>
    <row r="407" spans="1:17" x14ac:dyDescent="0.35">
      <c r="A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</row>
    <row r="408" spans="1:17" x14ac:dyDescent="0.35">
      <c r="A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</row>
    <row r="409" spans="1:17" x14ac:dyDescent="0.35">
      <c r="A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</row>
    <row r="410" spans="1:17" x14ac:dyDescent="0.35">
      <c r="A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</row>
    <row r="411" spans="1:17" x14ac:dyDescent="0.35">
      <c r="A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</row>
    <row r="412" spans="1:17" x14ac:dyDescent="0.35">
      <c r="A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</row>
    <row r="413" spans="1:17" x14ac:dyDescent="0.35">
      <c r="A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</row>
    <row r="414" spans="1:17" x14ac:dyDescent="0.35">
      <c r="A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</row>
    <row r="415" spans="1:17" x14ac:dyDescent="0.35">
      <c r="A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</row>
    <row r="416" spans="1:17" x14ac:dyDescent="0.35">
      <c r="A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</row>
    <row r="417" spans="1:17" x14ac:dyDescent="0.35">
      <c r="A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</row>
    <row r="418" spans="1:17" x14ac:dyDescent="0.35">
      <c r="A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</row>
    <row r="419" spans="1:17" x14ac:dyDescent="0.35">
      <c r="A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</row>
    <row r="420" spans="1:17" x14ac:dyDescent="0.35">
      <c r="A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</row>
    <row r="421" spans="1:17" x14ac:dyDescent="0.35">
      <c r="A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</row>
    <row r="422" spans="1:17" x14ac:dyDescent="0.35">
      <c r="A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</row>
    <row r="423" spans="1:17" x14ac:dyDescent="0.35">
      <c r="A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</row>
    <row r="424" spans="1:17" x14ac:dyDescent="0.35">
      <c r="A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</row>
    <row r="425" spans="1:17" x14ac:dyDescent="0.35">
      <c r="A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</row>
    <row r="426" spans="1:17" x14ac:dyDescent="0.35">
      <c r="A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</row>
    <row r="427" spans="1:17" x14ac:dyDescent="0.35">
      <c r="A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</row>
    <row r="428" spans="1:17" x14ac:dyDescent="0.35">
      <c r="A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</row>
    <row r="429" spans="1:17" x14ac:dyDescent="0.35">
      <c r="A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</row>
    <row r="430" spans="1:17" x14ac:dyDescent="0.35">
      <c r="A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</row>
    <row r="431" spans="1:17" x14ac:dyDescent="0.35">
      <c r="A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</row>
    <row r="432" spans="1:17" x14ac:dyDescent="0.35">
      <c r="A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</row>
    <row r="433" spans="1:17" x14ac:dyDescent="0.35">
      <c r="A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</row>
    <row r="434" spans="1:17" x14ac:dyDescent="0.35">
      <c r="A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</row>
    <row r="435" spans="1:17" x14ac:dyDescent="0.35">
      <c r="A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</row>
    <row r="436" spans="1:17" x14ac:dyDescent="0.35">
      <c r="A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</row>
    <row r="437" spans="1:17" x14ac:dyDescent="0.35">
      <c r="A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</row>
    <row r="438" spans="1:17" x14ac:dyDescent="0.35">
      <c r="A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</row>
    <row r="439" spans="1:17" x14ac:dyDescent="0.35">
      <c r="A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</row>
    <row r="440" spans="1:17" x14ac:dyDescent="0.35">
      <c r="A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</row>
    <row r="441" spans="1:17" x14ac:dyDescent="0.35">
      <c r="A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</row>
    <row r="442" spans="1:17" x14ac:dyDescent="0.35">
      <c r="A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</row>
    <row r="443" spans="1:17" x14ac:dyDescent="0.35">
      <c r="A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</row>
    <row r="444" spans="1:17" x14ac:dyDescent="0.35">
      <c r="A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</row>
    <row r="445" spans="1:17" x14ac:dyDescent="0.35">
      <c r="A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</row>
    <row r="446" spans="1:17" x14ac:dyDescent="0.35">
      <c r="A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</row>
    <row r="447" spans="1:17" x14ac:dyDescent="0.35">
      <c r="A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</row>
    <row r="448" spans="1:17" x14ac:dyDescent="0.35">
      <c r="A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</row>
    <row r="449" spans="1:17" x14ac:dyDescent="0.35">
      <c r="A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</row>
    <row r="450" spans="1:17" x14ac:dyDescent="0.35">
      <c r="A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</row>
    <row r="451" spans="1:17" x14ac:dyDescent="0.35">
      <c r="A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</row>
    <row r="452" spans="1:17" x14ac:dyDescent="0.35">
      <c r="A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</row>
    <row r="453" spans="1:17" x14ac:dyDescent="0.35">
      <c r="A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</row>
    <row r="454" spans="1:17" x14ac:dyDescent="0.35">
      <c r="A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</row>
    <row r="455" spans="1:17" x14ac:dyDescent="0.35">
      <c r="A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</row>
    <row r="456" spans="1:17" x14ac:dyDescent="0.35">
      <c r="A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</row>
    <row r="457" spans="1:17" x14ac:dyDescent="0.35">
      <c r="A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</row>
    <row r="458" spans="1:17" x14ac:dyDescent="0.35">
      <c r="A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</row>
    <row r="459" spans="1:17" x14ac:dyDescent="0.35">
      <c r="A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</row>
    <row r="460" spans="1:17" x14ac:dyDescent="0.35">
      <c r="A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</row>
    <row r="461" spans="1:17" x14ac:dyDescent="0.35">
      <c r="A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</row>
    <row r="462" spans="1:17" x14ac:dyDescent="0.35">
      <c r="A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</row>
    <row r="463" spans="1:17" x14ac:dyDescent="0.35">
      <c r="A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</row>
    <row r="464" spans="1:17" x14ac:dyDescent="0.35">
      <c r="A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</row>
    <row r="465" spans="1:17" x14ac:dyDescent="0.35">
      <c r="A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</row>
    <row r="466" spans="1:17" x14ac:dyDescent="0.35">
      <c r="A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</row>
    <row r="467" spans="1:17" x14ac:dyDescent="0.35">
      <c r="A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</row>
    <row r="468" spans="1:17" x14ac:dyDescent="0.35">
      <c r="A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</row>
    <row r="469" spans="1:17" x14ac:dyDescent="0.35">
      <c r="A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</row>
    <row r="470" spans="1:17" x14ac:dyDescent="0.35">
      <c r="A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</row>
    <row r="471" spans="1:17" x14ac:dyDescent="0.35">
      <c r="A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</row>
    <row r="472" spans="1:17" x14ac:dyDescent="0.35">
      <c r="A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</row>
    <row r="473" spans="1:17" x14ac:dyDescent="0.35">
      <c r="A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</row>
    <row r="474" spans="1:17" x14ac:dyDescent="0.35">
      <c r="A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</row>
    <row r="475" spans="1:17" x14ac:dyDescent="0.35">
      <c r="A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</row>
    <row r="476" spans="1:17" x14ac:dyDescent="0.35">
      <c r="A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</row>
    <row r="477" spans="1:17" x14ac:dyDescent="0.35">
      <c r="A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</row>
    <row r="478" spans="1:17" x14ac:dyDescent="0.35">
      <c r="A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</row>
    <row r="479" spans="1:17" x14ac:dyDescent="0.35">
      <c r="A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</row>
    <row r="480" spans="1:17" x14ac:dyDescent="0.35">
      <c r="A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</row>
    <row r="481" spans="1:17" x14ac:dyDescent="0.35">
      <c r="A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</row>
    <row r="482" spans="1:17" x14ac:dyDescent="0.35">
      <c r="A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</row>
    <row r="483" spans="1:17" x14ac:dyDescent="0.35">
      <c r="A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</row>
    <row r="484" spans="1:17" x14ac:dyDescent="0.35">
      <c r="A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</row>
    <row r="485" spans="1:17" x14ac:dyDescent="0.35">
      <c r="A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</row>
    <row r="486" spans="1:17" x14ac:dyDescent="0.35">
      <c r="A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</row>
    <row r="487" spans="1:17" x14ac:dyDescent="0.35">
      <c r="A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</row>
    <row r="488" spans="1:17" x14ac:dyDescent="0.35">
      <c r="A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</row>
    <row r="489" spans="1:17" x14ac:dyDescent="0.35">
      <c r="A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</row>
    <row r="490" spans="1:17" x14ac:dyDescent="0.35">
      <c r="A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</row>
    <row r="491" spans="1:17" x14ac:dyDescent="0.35">
      <c r="A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</row>
    <row r="492" spans="1:17" x14ac:dyDescent="0.35">
      <c r="A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</row>
    <row r="493" spans="1:17" x14ac:dyDescent="0.35">
      <c r="A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</row>
    <row r="494" spans="1:17" x14ac:dyDescent="0.35">
      <c r="A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</row>
    <row r="495" spans="1:17" x14ac:dyDescent="0.35">
      <c r="A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</row>
    <row r="496" spans="1:17" x14ac:dyDescent="0.35">
      <c r="A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</row>
    <row r="497" spans="1:17" x14ac:dyDescent="0.35">
      <c r="A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</row>
    <row r="498" spans="1:17" x14ac:dyDescent="0.35">
      <c r="A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</row>
    <row r="499" spans="1:17" x14ac:dyDescent="0.35">
      <c r="A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</row>
    <row r="500" spans="1:17" x14ac:dyDescent="0.35">
      <c r="A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</row>
    <row r="501" spans="1:17" x14ac:dyDescent="0.35">
      <c r="A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</row>
    <row r="502" spans="1:17" x14ac:dyDescent="0.35">
      <c r="A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</row>
    <row r="503" spans="1:17" x14ac:dyDescent="0.35">
      <c r="A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</row>
    <row r="504" spans="1:17" x14ac:dyDescent="0.35">
      <c r="A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</row>
    <row r="505" spans="1:17" x14ac:dyDescent="0.35">
      <c r="A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</row>
    <row r="506" spans="1:17" x14ac:dyDescent="0.35">
      <c r="A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</row>
    <row r="507" spans="1:17" x14ac:dyDescent="0.35">
      <c r="A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</row>
    <row r="508" spans="1:17" x14ac:dyDescent="0.35">
      <c r="A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</row>
    <row r="509" spans="1:17" x14ac:dyDescent="0.35">
      <c r="A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</row>
    <row r="510" spans="1:17" x14ac:dyDescent="0.35">
      <c r="A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</row>
    <row r="511" spans="1:17" x14ac:dyDescent="0.35">
      <c r="A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</row>
    <row r="512" spans="1:17" x14ac:dyDescent="0.35">
      <c r="A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</row>
    <row r="513" spans="1:17" x14ac:dyDescent="0.35">
      <c r="A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</row>
    <row r="514" spans="1:17" x14ac:dyDescent="0.35">
      <c r="A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</row>
    <row r="515" spans="1:17" x14ac:dyDescent="0.35">
      <c r="A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</row>
    <row r="516" spans="1:17" x14ac:dyDescent="0.35">
      <c r="A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</row>
    <row r="517" spans="1:17" x14ac:dyDescent="0.35">
      <c r="A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</row>
    <row r="518" spans="1:17" x14ac:dyDescent="0.35">
      <c r="A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</row>
    <row r="519" spans="1:17" x14ac:dyDescent="0.35">
      <c r="A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</row>
    <row r="520" spans="1:17" x14ac:dyDescent="0.35">
      <c r="A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</row>
    <row r="521" spans="1:17" x14ac:dyDescent="0.35">
      <c r="A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</row>
    <row r="522" spans="1:17" x14ac:dyDescent="0.35">
      <c r="A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</row>
    <row r="523" spans="1:17" x14ac:dyDescent="0.35">
      <c r="A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</row>
    <row r="524" spans="1:17" x14ac:dyDescent="0.35">
      <c r="A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</row>
    <row r="525" spans="1:17" x14ac:dyDescent="0.35">
      <c r="A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</row>
    <row r="526" spans="1:17" x14ac:dyDescent="0.35">
      <c r="A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</row>
    <row r="527" spans="1:17" x14ac:dyDescent="0.35">
      <c r="A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</row>
    <row r="528" spans="1:17" x14ac:dyDescent="0.35">
      <c r="A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</row>
    <row r="529" spans="1:17" x14ac:dyDescent="0.35">
      <c r="A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</row>
    <row r="530" spans="1:17" x14ac:dyDescent="0.35">
      <c r="A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</row>
    <row r="531" spans="1:17" x14ac:dyDescent="0.35">
      <c r="A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</row>
    <row r="532" spans="1:17" x14ac:dyDescent="0.35">
      <c r="A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</row>
    <row r="533" spans="1:17" x14ac:dyDescent="0.35">
      <c r="A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</row>
    <row r="534" spans="1:17" x14ac:dyDescent="0.35">
      <c r="A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</row>
    <row r="535" spans="1:17" x14ac:dyDescent="0.35">
      <c r="A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</row>
    <row r="536" spans="1:17" x14ac:dyDescent="0.35">
      <c r="A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</row>
    <row r="537" spans="1:17" x14ac:dyDescent="0.35">
      <c r="A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</row>
    <row r="538" spans="1:17" x14ac:dyDescent="0.35">
      <c r="A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</row>
    <row r="539" spans="1:17" x14ac:dyDescent="0.35">
      <c r="A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</row>
    <row r="540" spans="1:17" x14ac:dyDescent="0.35">
      <c r="A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</row>
    <row r="541" spans="1:17" x14ac:dyDescent="0.35">
      <c r="A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</row>
    <row r="542" spans="1:17" x14ac:dyDescent="0.35">
      <c r="A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</row>
    <row r="543" spans="1:17" x14ac:dyDescent="0.35">
      <c r="A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</row>
    <row r="544" spans="1:17" x14ac:dyDescent="0.35">
      <c r="A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</row>
    <row r="545" spans="1:17" x14ac:dyDescent="0.35">
      <c r="A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</row>
    <row r="546" spans="1:17" x14ac:dyDescent="0.35">
      <c r="A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</row>
    <row r="547" spans="1:17" x14ac:dyDescent="0.35">
      <c r="A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</row>
    <row r="548" spans="1:17" x14ac:dyDescent="0.35">
      <c r="A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</row>
    <row r="549" spans="1:17" x14ac:dyDescent="0.35">
      <c r="A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</row>
    <row r="550" spans="1:17" x14ac:dyDescent="0.35">
      <c r="A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</row>
    <row r="551" spans="1:17" x14ac:dyDescent="0.35">
      <c r="A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</row>
    <row r="552" spans="1:17" x14ac:dyDescent="0.35">
      <c r="A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</row>
    <row r="553" spans="1:17" x14ac:dyDescent="0.35">
      <c r="A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</row>
    <row r="554" spans="1:17" x14ac:dyDescent="0.35">
      <c r="A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</row>
    <row r="555" spans="1:17" x14ac:dyDescent="0.35">
      <c r="A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</row>
    <row r="556" spans="1:17" x14ac:dyDescent="0.35">
      <c r="A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</row>
    <row r="557" spans="1:17" x14ac:dyDescent="0.35">
      <c r="A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</row>
    <row r="558" spans="1:17" x14ac:dyDescent="0.35">
      <c r="A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</row>
    <row r="559" spans="1:17" x14ac:dyDescent="0.35">
      <c r="A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</row>
    <row r="560" spans="1:17" x14ac:dyDescent="0.35">
      <c r="A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</row>
    <row r="561" spans="1:17" x14ac:dyDescent="0.35">
      <c r="A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</row>
    <row r="562" spans="1:17" x14ac:dyDescent="0.35">
      <c r="A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</row>
    <row r="563" spans="1:17" x14ac:dyDescent="0.35">
      <c r="A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</row>
    <row r="564" spans="1:17" x14ac:dyDescent="0.35">
      <c r="A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</row>
    <row r="565" spans="1:17" x14ac:dyDescent="0.35">
      <c r="A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</row>
    <row r="566" spans="1:17" x14ac:dyDescent="0.35">
      <c r="A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</row>
    <row r="567" spans="1:17" x14ac:dyDescent="0.35">
      <c r="A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</row>
    <row r="568" spans="1:17" x14ac:dyDescent="0.35">
      <c r="A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</row>
    <row r="569" spans="1:17" x14ac:dyDescent="0.35">
      <c r="A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</row>
    <row r="570" spans="1:17" x14ac:dyDescent="0.35">
      <c r="A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</row>
    <row r="571" spans="1:17" x14ac:dyDescent="0.35">
      <c r="A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</row>
    <row r="572" spans="1:17" x14ac:dyDescent="0.35">
      <c r="A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</row>
    <row r="573" spans="1:17" x14ac:dyDescent="0.35">
      <c r="A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</row>
    <row r="574" spans="1:17" x14ac:dyDescent="0.35">
      <c r="A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</row>
    <row r="575" spans="1:17" x14ac:dyDescent="0.35">
      <c r="A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</row>
    <row r="576" spans="1:17" x14ac:dyDescent="0.35">
      <c r="A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</row>
    <row r="577" spans="1:17" x14ac:dyDescent="0.35">
      <c r="A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</row>
    <row r="578" spans="1:17" x14ac:dyDescent="0.35">
      <c r="A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</row>
    <row r="579" spans="1:17" x14ac:dyDescent="0.35">
      <c r="A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</row>
    <row r="580" spans="1:17" x14ac:dyDescent="0.35">
      <c r="A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</row>
    <row r="581" spans="1:17" x14ac:dyDescent="0.35">
      <c r="A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</row>
    <row r="582" spans="1:17" x14ac:dyDescent="0.35">
      <c r="A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</row>
    <row r="583" spans="1:17" x14ac:dyDescent="0.35">
      <c r="A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</row>
    <row r="584" spans="1:17" x14ac:dyDescent="0.35">
      <c r="A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</row>
    <row r="585" spans="1:17" x14ac:dyDescent="0.35">
      <c r="A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</row>
    <row r="586" spans="1:17" x14ac:dyDescent="0.35">
      <c r="A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</row>
    <row r="587" spans="1:17" x14ac:dyDescent="0.35">
      <c r="A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</row>
    <row r="588" spans="1:17" x14ac:dyDescent="0.35">
      <c r="A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</row>
    <row r="589" spans="1:17" x14ac:dyDescent="0.35">
      <c r="A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</row>
    <row r="590" spans="1:17" x14ac:dyDescent="0.35">
      <c r="A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</row>
    <row r="591" spans="1:17" x14ac:dyDescent="0.35">
      <c r="A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</row>
    <row r="592" spans="1:17" x14ac:dyDescent="0.35">
      <c r="A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</row>
    <row r="593" spans="1:17" x14ac:dyDescent="0.35">
      <c r="A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</row>
    <row r="594" spans="1:17" x14ac:dyDescent="0.35">
      <c r="A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</row>
    <row r="595" spans="1:17" x14ac:dyDescent="0.35">
      <c r="A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</row>
    <row r="596" spans="1:17" x14ac:dyDescent="0.35">
      <c r="A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</row>
    <row r="597" spans="1:17" x14ac:dyDescent="0.35">
      <c r="A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</row>
    <row r="598" spans="1:17" x14ac:dyDescent="0.35">
      <c r="A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</row>
    <row r="599" spans="1:17" x14ac:dyDescent="0.35">
      <c r="A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</row>
    <row r="600" spans="1:17" x14ac:dyDescent="0.35">
      <c r="A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</row>
    <row r="601" spans="1:17" x14ac:dyDescent="0.35">
      <c r="A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</row>
    <row r="602" spans="1:17" x14ac:dyDescent="0.35">
      <c r="A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</row>
    <row r="603" spans="1:17" x14ac:dyDescent="0.35">
      <c r="A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</row>
    <row r="604" spans="1:17" x14ac:dyDescent="0.35">
      <c r="A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</row>
    <row r="605" spans="1:17" x14ac:dyDescent="0.35">
      <c r="A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</row>
    <row r="606" spans="1:17" x14ac:dyDescent="0.35">
      <c r="A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</row>
    <row r="607" spans="1:17" x14ac:dyDescent="0.35">
      <c r="A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</row>
    <row r="608" spans="1:17" x14ac:dyDescent="0.35">
      <c r="A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</row>
    <row r="609" spans="1:17" x14ac:dyDescent="0.35">
      <c r="A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</row>
    <row r="610" spans="1:17" x14ac:dyDescent="0.35">
      <c r="A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</row>
    <row r="611" spans="1:17" x14ac:dyDescent="0.35">
      <c r="A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</row>
    <row r="612" spans="1:17" x14ac:dyDescent="0.35">
      <c r="A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</row>
    <row r="613" spans="1:17" x14ac:dyDescent="0.35">
      <c r="A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</row>
    <row r="614" spans="1:17" x14ac:dyDescent="0.35">
      <c r="A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</row>
    <row r="615" spans="1:17" x14ac:dyDescent="0.35">
      <c r="A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</row>
    <row r="616" spans="1:17" x14ac:dyDescent="0.35">
      <c r="A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</row>
    <row r="617" spans="1:17" x14ac:dyDescent="0.35">
      <c r="A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</row>
    <row r="618" spans="1:17" x14ac:dyDescent="0.35">
      <c r="A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</row>
    <row r="619" spans="1:17" x14ac:dyDescent="0.35">
      <c r="A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</row>
    <row r="620" spans="1:17" x14ac:dyDescent="0.35">
      <c r="A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</row>
    <row r="621" spans="1:17" x14ac:dyDescent="0.35">
      <c r="A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</row>
    <row r="622" spans="1:17" x14ac:dyDescent="0.35">
      <c r="A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</row>
    <row r="623" spans="1:17" x14ac:dyDescent="0.35">
      <c r="A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</row>
    <row r="624" spans="1:17" x14ac:dyDescent="0.35">
      <c r="A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</row>
    <row r="625" spans="1:17" x14ac:dyDescent="0.35">
      <c r="A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</row>
    <row r="626" spans="1:17" x14ac:dyDescent="0.35">
      <c r="A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</row>
    <row r="627" spans="1:17" x14ac:dyDescent="0.35">
      <c r="A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</row>
    <row r="628" spans="1:17" x14ac:dyDescent="0.35">
      <c r="A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</row>
    <row r="629" spans="1:17" x14ac:dyDescent="0.35">
      <c r="A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</row>
    <row r="630" spans="1:17" x14ac:dyDescent="0.35">
      <c r="A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</row>
    <row r="631" spans="1:17" x14ac:dyDescent="0.35">
      <c r="A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</row>
    <row r="632" spans="1:17" x14ac:dyDescent="0.35">
      <c r="A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</row>
    <row r="633" spans="1:17" x14ac:dyDescent="0.35">
      <c r="A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</row>
    <row r="634" spans="1:17" x14ac:dyDescent="0.35">
      <c r="A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</row>
    <row r="635" spans="1:17" x14ac:dyDescent="0.35">
      <c r="A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</row>
    <row r="636" spans="1:17" x14ac:dyDescent="0.35">
      <c r="A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</row>
    <row r="637" spans="1:17" x14ac:dyDescent="0.35">
      <c r="A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</row>
    <row r="638" spans="1:17" x14ac:dyDescent="0.35">
      <c r="A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</row>
    <row r="639" spans="1:17" x14ac:dyDescent="0.35">
      <c r="A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</row>
    <row r="640" spans="1:17" x14ac:dyDescent="0.35">
      <c r="A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</row>
    <row r="641" spans="1:17" x14ac:dyDescent="0.35">
      <c r="A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</row>
    <row r="642" spans="1:17" x14ac:dyDescent="0.35">
      <c r="A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</row>
    <row r="643" spans="1:17" x14ac:dyDescent="0.35">
      <c r="A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</row>
    <row r="644" spans="1:17" x14ac:dyDescent="0.35">
      <c r="A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</row>
    <row r="645" spans="1:17" x14ac:dyDescent="0.35">
      <c r="A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</row>
    <row r="646" spans="1:17" x14ac:dyDescent="0.35">
      <c r="A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</row>
    <row r="647" spans="1:17" x14ac:dyDescent="0.35">
      <c r="A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</row>
    <row r="648" spans="1:17" x14ac:dyDescent="0.35">
      <c r="A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</row>
    <row r="649" spans="1:17" x14ac:dyDescent="0.35">
      <c r="A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</row>
    <row r="650" spans="1:17" x14ac:dyDescent="0.35">
      <c r="A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</row>
    <row r="651" spans="1:17" x14ac:dyDescent="0.35">
      <c r="A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</row>
    <row r="652" spans="1:17" x14ac:dyDescent="0.35">
      <c r="A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</row>
    <row r="653" spans="1:17" x14ac:dyDescent="0.35">
      <c r="A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</row>
    <row r="654" spans="1:17" x14ac:dyDescent="0.35">
      <c r="A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</row>
    <row r="655" spans="1:17" x14ac:dyDescent="0.35">
      <c r="A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</row>
    <row r="656" spans="1:17" x14ac:dyDescent="0.35">
      <c r="A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</row>
    <row r="657" spans="1:17" x14ac:dyDescent="0.35">
      <c r="A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</row>
    <row r="658" spans="1:17" x14ac:dyDescent="0.35">
      <c r="A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</row>
    <row r="659" spans="1:17" x14ac:dyDescent="0.35">
      <c r="A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</row>
    <row r="660" spans="1:17" x14ac:dyDescent="0.35">
      <c r="A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</row>
    <row r="661" spans="1:17" x14ac:dyDescent="0.35">
      <c r="A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</row>
    <row r="662" spans="1:17" x14ac:dyDescent="0.35">
      <c r="A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</row>
    <row r="663" spans="1:17" x14ac:dyDescent="0.35">
      <c r="A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</row>
    <row r="664" spans="1:17" x14ac:dyDescent="0.35">
      <c r="A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</row>
    <row r="665" spans="1:17" x14ac:dyDescent="0.35">
      <c r="A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</row>
    <row r="666" spans="1:17" x14ac:dyDescent="0.35">
      <c r="A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</row>
    <row r="667" spans="1:17" x14ac:dyDescent="0.35">
      <c r="A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</row>
    <row r="668" spans="1:17" x14ac:dyDescent="0.35">
      <c r="A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</row>
    <row r="669" spans="1:17" x14ac:dyDescent="0.35">
      <c r="A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</row>
    <row r="670" spans="1:17" x14ac:dyDescent="0.35">
      <c r="A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</row>
    <row r="671" spans="1:17" x14ac:dyDescent="0.35">
      <c r="A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</row>
    <row r="672" spans="1:17" x14ac:dyDescent="0.35">
      <c r="A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</row>
    <row r="673" spans="1:17" x14ac:dyDescent="0.35">
      <c r="A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</row>
    <row r="674" spans="1:17" x14ac:dyDescent="0.35">
      <c r="A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</row>
    <row r="675" spans="1:17" x14ac:dyDescent="0.35">
      <c r="A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</row>
    <row r="676" spans="1:17" x14ac:dyDescent="0.35">
      <c r="A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</row>
    <row r="677" spans="1:17" x14ac:dyDescent="0.35">
      <c r="A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</row>
    <row r="678" spans="1:17" x14ac:dyDescent="0.35">
      <c r="A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</row>
    <row r="679" spans="1:17" x14ac:dyDescent="0.35">
      <c r="A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</row>
    <row r="680" spans="1:17" x14ac:dyDescent="0.35">
      <c r="A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</row>
    <row r="681" spans="1:17" x14ac:dyDescent="0.35">
      <c r="A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</row>
    <row r="682" spans="1:17" x14ac:dyDescent="0.35">
      <c r="A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</row>
    <row r="683" spans="1:17" x14ac:dyDescent="0.35">
      <c r="A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</row>
    <row r="684" spans="1:17" x14ac:dyDescent="0.35">
      <c r="A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</row>
    <row r="685" spans="1:17" x14ac:dyDescent="0.35">
      <c r="A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</row>
    <row r="686" spans="1:17" x14ac:dyDescent="0.35">
      <c r="A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</row>
    <row r="687" spans="1:17" x14ac:dyDescent="0.35">
      <c r="A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</row>
    <row r="688" spans="1:17" x14ac:dyDescent="0.35">
      <c r="A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</row>
    <row r="689" spans="1:17" x14ac:dyDescent="0.35">
      <c r="A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</row>
    <row r="690" spans="1:17" x14ac:dyDescent="0.35">
      <c r="A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</row>
    <row r="691" spans="1:17" x14ac:dyDescent="0.35">
      <c r="A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</row>
    <row r="692" spans="1:17" x14ac:dyDescent="0.35">
      <c r="A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</row>
    <row r="693" spans="1:17" x14ac:dyDescent="0.35">
      <c r="A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</row>
    <row r="694" spans="1:17" x14ac:dyDescent="0.35">
      <c r="A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</row>
    <row r="695" spans="1:17" x14ac:dyDescent="0.35">
      <c r="A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</row>
    <row r="696" spans="1:17" x14ac:dyDescent="0.35">
      <c r="A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</row>
    <row r="697" spans="1:17" x14ac:dyDescent="0.35">
      <c r="A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</row>
    <row r="698" spans="1:17" x14ac:dyDescent="0.35">
      <c r="A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</row>
    <row r="699" spans="1:17" x14ac:dyDescent="0.35">
      <c r="A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</row>
    <row r="700" spans="1:17" x14ac:dyDescent="0.35">
      <c r="A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</row>
    <row r="701" spans="1:17" x14ac:dyDescent="0.35">
      <c r="A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</row>
    <row r="702" spans="1:17" x14ac:dyDescent="0.35">
      <c r="A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</row>
    <row r="703" spans="1:17" x14ac:dyDescent="0.35">
      <c r="A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</row>
    <row r="704" spans="1:17" x14ac:dyDescent="0.35">
      <c r="A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</row>
    <row r="705" spans="1:17" x14ac:dyDescent="0.35">
      <c r="A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</row>
    <row r="706" spans="1:17" x14ac:dyDescent="0.35">
      <c r="A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</row>
    <row r="707" spans="1:17" x14ac:dyDescent="0.35">
      <c r="A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</row>
    <row r="708" spans="1:17" x14ac:dyDescent="0.35">
      <c r="A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</row>
    <row r="709" spans="1:17" x14ac:dyDescent="0.35">
      <c r="A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</row>
    <row r="710" spans="1:17" x14ac:dyDescent="0.35">
      <c r="A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</row>
    <row r="711" spans="1:17" x14ac:dyDescent="0.35">
      <c r="A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</row>
    <row r="712" spans="1:17" x14ac:dyDescent="0.35">
      <c r="A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</row>
    <row r="713" spans="1:17" x14ac:dyDescent="0.35">
      <c r="A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</row>
    <row r="714" spans="1:17" x14ac:dyDescent="0.35">
      <c r="A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</row>
    <row r="715" spans="1:17" x14ac:dyDescent="0.35">
      <c r="A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</row>
    <row r="716" spans="1:17" x14ac:dyDescent="0.35">
      <c r="A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</row>
    <row r="717" spans="1:17" x14ac:dyDescent="0.35">
      <c r="A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</row>
    <row r="718" spans="1:17" x14ac:dyDescent="0.35">
      <c r="A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</row>
    <row r="719" spans="1:17" x14ac:dyDescent="0.35">
      <c r="A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</row>
    <row r="720" spans="1:17" x14ac:dyDescent="0.35">
      <c r="A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</row>
    <row r="721" spans="1:17" x14ac:dyDescent="0.35">
      <c r="A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</row>
    <row r="722" spans="1:17" x14ac:dyDescent="0.35">
      <c r="A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</row>
    <row r="723" spans="1:17" x14ac:dyDescent="0.35">
      <c r="A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</row>
    <row r="724" spans="1:17" x14ac:dyDescent="0.35">
      <c r="A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</row>
    <row r="725" spans="1:17" x14ac:dyDescent="0.35">
      <c r="A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</row>
    <row r="726" spans="1:17" x14ac:dyDescent="0.35">
      <c r="A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</row>
    <row r="727" spans="1:17" x14ac:dyDescent="0.35">
      <c r="A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</row>
    <row r="728" spans="1:17" x14ac:dyDescent="0.35">
      <c r="A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</row>
    <row r="729" spans="1:17" x14ac:dyDescent="0.35">
      <c r="A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</row>
    <row r="730" spans="1:17" x14ac:dyDescent="0.35">
      <c r="A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</row>
    <row r="731" spans="1:17" x14ac:dyDescent="0.35">
      <c r="A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</row>
    <row r="732" spans="1:17" x14ac:dyDescent="0.35">
      <c r="A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</row>
    <row r="733" spans="1:17" x14ac:dyDescent="0.35">
      <c r="A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</row>
    <row r="734" spans="1:17" x14ac:dyDescent="0.35">
      <c r="A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</row>
    <row r="735" spans="1:17" x14ac:dyDescent="0.35">
      <c r="A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</row>
    <row r="736" spans="1:17" x14ac:dyDescent="0.35">
      <c r="A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</row>
    <row r="737" spans="1:17" x14ac:dyDescent="0.35">
      <c r="A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</row>
    <row r="738" spans="1:17" x14ac:dyDescent="0.35">
      <c r="A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</row>
    <row r="739" spans="1:17" x14ac:dyDescent="0.35">
      <c r="A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</row>
    <row r="740" spans="1:17" x14ac:dyDescent="0.35">
      <c r="A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</row>
    <row r="741" spans="1:17" x14ac:dyDescent="0.35">
      <c r="A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</row>
    <row r="742" spans="1:17" x14ac:dyDescent="0.35">
      <c r="A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</row>
    <row r="743" spans="1:17" x14ac:dyDescent="0.35">
      <c r="A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</row>
    <row r="744" spans="1:17" x14ac:dyDescent="0.35">
      <c r="A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</row>
    <row r="745" spans="1:17" x14ac:dyDescent="0.35">
      <c r="A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</row>
    <row r="746" spans="1:17" x14ac:dyDescent="0.35">
      <c r="A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</row>
    <row r="747" spans="1:17" x14ac:dyDescent="0.35">
      <c r="A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</row>
    <row r="748" spans="1:17" x14ac:dyDescent="0.35">
      <c r="A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</row>
    <row r="749" spans="1:17" x14ac:dyDescent="0.35">
      <c r="A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</row>
    <row r="750" spans="1:17" x14ac:dyDescent="0.35">
      <c r="A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</row>
    <row r="751" spans="1:17" x14ac:dyDescent="0.35">
      <c r="A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</row>
    <row r="752" spans="1:17" x14ac:dyDescent="0.35">
      <c r="A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</row>
    <row r="753" spans="1:17" x14ac:dyDescent="0.35">
      <c r="A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</row>
    <row r="754" spans="1:17" x14ac:dyDescent="0.35">
      <c r="A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</row>
    <row r="755" spans="1:17" x14ac:dyDescent="0.35">
      <c r="A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</row>
    <row r="756" spans="1:17" x14ac:dyDescent="0.35">
      <c r="A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</row>
    <row r="757" spans="1:17" x14ac:dyDescent="0.35">
      <c r="A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</row>
    <row r="758" spans="1:17" x14ac:dyDescent="0.35">
      <c r="A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</row>
    <row r="759" spans="1:17" x14ac:dyDescent="0.35">
      <c r="A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</row>
    <row r="760" spans="1:17" x14ac:dyDescent="0.35">
      <c r="A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</row>
    <row r="761" spans="1:17" x14ac:dyDescent="0.35">
      <c r="A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</row>
    <row r="762" spans="1:17" x14ac:dyDescent="0.35">
      <c r="A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</row>
    <row r="763" spans="1:17" x14ac:dyDescent="0.35">
      <c r="A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</row>
    <row r="764" spans="1:17" x14ac:dyDescent="0.35">
      <c r="A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</row>
    <row r="765" spans="1:17" x14ac:dyDescent="0.35">
      <c r="A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</row>
    <row r="766" spans="1:17" x14ac:dyDescent="0.35">
      <c r="A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</row>
    <row r="767" spans="1:17" x14ac:dyDescent="0.35">
      <c r="A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</row>
    <row r="768" spans="1:17" x14ac:dyDescent="0.35">
      <c r="A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</row>
    <row r="769" spans="1:17" x14ac:dyDescent="0.35">
      <c r="A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</row>
    <row r="770" spans="1:17" x14ac:dyDescent="0.35">
      <c r="A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</row>
    <row r="771" spans="1:17" x14ac:dyDescent="0.35">
      <c r="A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</row>
    <row r="772" spans="1:17" x14ac:dyDescent="0.35">
      <c r="A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</row>
    <row r="773" spans="1:17" x14ac:dyDescent="0.35">
      <c r="A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</row>
    <row r="774" spans="1:17" x14ac:dyDescent="0.35">
      <c r="A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</row>
    <row r="775" spans="1:17" x14ac:dyDescent="0.35">
      <c r="A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</row>
    <row r="776" spans="1:17" x14ac:dyDescent="0.35">
      <c r="A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</row>
    <row r="777" spans="1:17" x14ac:dyDescent="0.35">
      <c r="A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</row>
    <row r="778" spans="1:17" x14ac:dyDescent="0.35">
      <c r="A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</row>
    <row r="779" spans="1:17" x14ac:dyDescent="0.35">
      <c r="A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</row>
    <row r="780" spans="1:17" x14ac:dyDescent="0.35">
      <c r="A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</row>
    <row r="781" spans="1:17" x14ac:dyDescent="0.35">
      <c r="A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</row>
    <row r="782" spans="1:17" x14ac:dyDescent="0.35">
      <c r="A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</row>
    <row r="783" spans="1:17" x14ac:dyDescent="0.35">
      <c r="A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</row>
    <row r="784" spans="1:17" x14ac:dyDescent="0.35">
      <c r="A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</row>
    <row r="785" spans="1:17" x14ac:dyDescent="0.35">
      <c r="A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</row>
    <row r="786" spans="1:17" x14ac:dyDescent="0.35">
      <c r="A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</row>
    <row r="787" spans="1:17" x14ac:dyDescent="0.35">
      <c r="A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</row>
    <row r="788" spans="1:17" x14ac:dyDescent="0.35">
      <c r="A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</row>
    <row r="789" spans="1:17" x14ac:dyDescent="0.35">
      <c r="A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</row>
    <row r="790" spans="1:17" x14ac:dyDescent="0.35">
      <c r="A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</row>
    <row r="791" spans="1:17" x14ac:dyDescent="0.35">
      <c r="A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</row>
    <row r="792" spans="1:17" x14ac:dyDescent="0.35">
      <c r="A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</row>
    <row r="793" spans="1:17" x14ac:dyDescent="0.35">
      <c r="A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</row>
    <row r="794" spans="1:17" x14ac:dyDescent="0.35">
      <c r="A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</row>
    <row r="795" spans="1:17" x14ac:dyDescent="0.35">
      <c r="A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</row>
    <row r="796" spans="1:17" x14ac:dyDescent="0.35">
      <c r="A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</row>
    <row r="797" spans="1:17" x14ac:dyDescent="0.35">
      <c r="A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</row>
    <row r="798" spans="1:17" x14ac:dyDescent="0.35">
      <c r="A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</row>
    <row r="799" spans="1:17" x14ac:dyDescent="0.35">
      <c r="A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</row>
    <row r="800" spans="1:17" x14ac:dyDescent="0.35">
      <c r="A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</row>
    <row r="801" spans="1:17" x14ac:dyDescent="0.35">
      <c r="A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</row>
    <row r="802" spans="1:17" x14ac:dyDescent="0.35">
      <c r="A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</row>
    <row r="803" spans="1:17" x14ac:dyDescent="0.35">
      <c r="A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</row>
    <row r="804" spans="1:17" x14ac:dyDescent="0.35">
      <c r="A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</row>
    <row r="805" spans="1:17" x14ac:dyDescent="0.35">
      <c r="A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</row>
    <row r="806" spans="1:17" x14ac:dyDescent="0.35">
      <c r="A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</row>
    <row r="807" spans="1:17" x14ac:dyDescent="0.35">
      <c r="A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</row>
    <row r="808" spans="1:17" x14ac:dyDescent="0.35">
      <c r="A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</row>
    <row r="809" spans="1:17" x14ac:dyDescent="0.35">
      <c r="A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</row>
    <row r="810" spans="1:17" x14ac:dyDescent="0.35">
      <c r="A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</row>
    <row r="811" spans="1:17" x14ac:dyDescent="0.35">
      <c r="A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</row>
    <row r="812" spans="1:17" x14ac:dyDescent="0.35">
      <c r="A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</row>
    <row r="813" spans="1:17" x14ac:dyDescent="0.35">
      <c r="A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</row>
    <row r="814" spans="1:17" x14ac:dyDescent="0.35">
      <c r="A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</row>
    <row r="815" spans="1:17" x14ac:dyDescent="0.35">
      <c r="A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</row>
    <row r="816" spans="1:17" x14ac:dyDescent="0.35">
      <c r="A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</row>
    <row r="817" spans="1:17" x14ac:dyDescent="0.35">
      <c r="A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</row>
    <row r="818" spans="1:17" x14ac:dyDescent="0.35">
      <c r="A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</row>
    <row r="819" spans="1:17" x14ac:dyDescent="0.35">
      <c r="A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</row>
    <row r="820" spans="1:17" x14ac:dyDescent="0.35">
      <c r="A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</row>
    <row r="821" spans="1:17" x14ac:dyDescent="0.35">
      <c r="A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</row>
    <row r="822" spans="1:17" x14ac:dyDescent="0.35">
      <c r="A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</row>
    <row r="823" spans="1:17" x14ac:dyDescent="0.35">
      <c r="A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</row>
    <row r="824" spans="1:17" x14ac:dyDescent="0.35">
      <c r="A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</row>
    <row r="825" spans="1:17" x14ac:dyDescent="0.35">
      <c r="A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</row>
    <row r="826" spans="1:17" x14ac:dyDescent="0.35">
      <c r="A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</row>
    <row r="827" spans="1:17" x14ac:dyDescent="0.35">
      <c r="A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</row>
    <row r="828" spans="1:17" x14ac:dyDescent="0.35">
      <c r="A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</row>
    <row r="829" spans="1:17" x14ac:dyDescent="0.35">
      <c r="A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</row>
    <row r="830" spans="1:17" x14ac:dyDescent="0.35">
      <c r="A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</row>
    <row r="831" spans="1:17" x14ac:dyDescent="0.35">
      <c r="A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</row>
    <row r="832" spans="1:17" x14ac:dyDescent="0.35">
      <c r="A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</row>
    <row r="833" spans="1:17" x14ac:dyDescent="0.35">
      <c r="A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</row>
    <row r="834" spans="1:17" x14ac:dyDescent="0.35">
      <c r="A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</row>
    <row r="835" spans="1:17" x14ac:dyDescent="0.35">
      <c r="A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</row>
    <row r="836" spans="1:17" x14ac:dyDescent="0.35">
      <c r="A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</row>
    <row r="837" spans="1:17" x14ac:dyDescent="0.35">
      <c r="A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</row>
    <row r="838" spans="1:17" x14ac:dyDescent="0.35">
      <c r="A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</row>
    <row r="839" spans="1:17" x14ac:dyDescent="0.35">
      <c r="A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</row>
    <row r="840" spans="1:17" x14ac:dyDescent="0.35">
      <c r="A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</row>
    <row r="841" spans="1:17" x14ac:dyDescent="0.35">
      <c r="A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</row>
    <row r="842" spans="1:17" x14ac:dyDescent="0.35">
      <c r="A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</row>
    <row r="843" spans="1:17" x14ac:dyDescent="0.35">
      <c r="A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</row>
    <row r="844" spans="1:17" x14ac:dyDescent="0.35">
      <c r="A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</row>
    <row r="845" spans="1:17" x14ac:dyDescent="0.35">
      <c r="A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</row>
    <row r="846" spans="1:17" x14ac:dyDescent="0.35">
      <c r="A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</row>
    <row r="847" spans="1:17" x14ac:dyDescent="0.35">
      <c r="A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</row>
    <row r="848" spans="1:17" x14ac:dyDescent="0.35">
      <c r="A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</row>
    <row r="849" spans="1:17" x14ac:dyDescent="0.35">
      <c r="A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</row>
    <row r="850" spans="1:17" x14ac:dyDescent="0.35">
      <c r="A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</row>
    <row r="851" spans="1:17" x14ac:dyDescent="0.35">
      <c r="A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</row>
    <row r="852" spans="1:17" x14ac:dyDescent="0.35">
      <c r="A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</row>
    <row r="853" spans="1:17" x14ac:dyDescent="0.35">
      <c r="A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</row>
    <row r="854" spans="1:17" x14ac:dyDescent="0.35">
      <c r="A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</row>
    <row r="855" spans="1:17" x14ac:dyDescent="0.35">
      <c r="A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</row>
    <row r="856" spans="1:17" x14ac:dyDescent="0.35">
      <c r="A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</row>
    <row r="857" spans="1:17" x14ac:dyDescent="0.35">
      <c r="A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</row>
    <row r="858" spans="1:17" x14ac:dyDescent="0.35">
      <c r="A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</row>
    <row r="859" spans="1:17" x14ac:dyDescent="0.35">
      <c r="A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</row>
    <row r="860" spans="1:17" x14ac:dyDescent="0.35">
      <c r="A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</row>
    <row r="861" spans="1:17" x14ac:dyDescent="0.35">
      <c r="A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</row>
    <row r="862" spans="1:17" x14ac:dyDescent="0.35">
      <c r="A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</row>
    <row r="863" spans="1:17" x14ac:dyDescent="0.35">
      <c r="A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</row>
    <row r="864" spans="1:17" x14ac:dyDescent="0.35">
      <c r="A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</row>
    <row r="865" spans="1:17" x14ac:dyDescent="0.35">
      <c r="A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</row>
    <row r="866" spans="1:17" x14ac:dyDescent="0.35">
      <c r="A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</row>
    <row r="867" spans="1:17" x14ac:dyDescent="0.35">
      <c r="A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</row>
    <row r="868" spans="1:17" x14ac:dyDescent="0.35">
      <c r="A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</row>
    <row r="869" spans="1:17" x14ac:dyDescent="0.35">
      <c r="A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</row>
    <row r="870" spans="1:17" x14ac:dyDescent="0.35">
      <c r="A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</row>
    <row r="871" spans="1:17" x14ac:dyDescent="0.35">
      <c r="A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</row>
    <row r="872" spans="1:17" x14ac:dyDescent="0.35">
      <c r="A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</row>
    <row r="873" spans="1:17" x14ac:dyDescent="0.35">
      <c r="A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</row>
    <row r="874" spans="1:17" x14ac:dyDescent="0.35">
      <c r="A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</row>
    <row r="875" spans="1:17" x14ac:dyDescent="0.35">
      <c r="A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</row>
    <row r="876" spans="1:17" x14ac:dyDescent="0.35">
      <c r="A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</row>
    <row r="877" spans="1:17" x14ac:dyDescent="0.35">
      <c r="A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</row>
    <row r="878" spans="1:17" x14ac:dyDescent="0.35">
      <c r="A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</row>
    <row r="879" spans="1:17" x14ac:dyDescent="0.35">
      <c r="A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</row>
    <row r="880" spans="1:17" x14ac:dyDescent="0.35">
      <c r="A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</row>
    <row r="881" spans="1:17" x14ac:dyDescent="0.35">
      <c r="A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</row>
    <row r="882" spans="1:17" x14ac:dyDescent="0.35">
      <c r="A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</row>
    <row r="883" spans="1:17" x14ac:dyDescent="0.35">
      <c r="A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</row>
    <row r="884" spans="1:17" x14ac:dyDescent="0.35">
      <c r="A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</row>
    <row r="885" spans="1:17" x14ac:dyDescent="0.35">
      <c r="A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</row>
    <row r="886" spans="1:17" x14ac:dyDescent="0.35">
      <c r="A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</row>
    <row r="887" spans="1:17" x14ac:dyDescent="0.35">
      <c r="A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</row>
    <row r="888" spans="1:17" x14ac:dyDescent="0.35">
      <c r="A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</row>
    <row r="889" spans="1:17" x14ac:dyDescent="0.35">
      <c r="A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</row>
    <row r="890" spans="1:17" x14ac:dyDescent="0.35">
      <c r="A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</row>
    <row r="891" spans="1:17" x14ac:dyDescent="0.35">
      <c r="A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</row>
    <row r="892" spans="1:17" x14ac:dyDescent="0.35">
      <c r="A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</row>
    <row r="893" spans="1:17" x14ac:dyDescent="0.35">
      <c r="A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</row>
    <row r="894" spans="1:17" x14ac:dyDescent="0.35">
      <c r="A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</row>
    <row r="895" spans="1:17" x14ac:dyDescent="0.35">
      <c r="A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</row>
    <row r="896" spans="1:17" x14ac:dyDescent="0.35">
      <c r="A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</row>
    <row r="897" spans="1:17" x14ac:dyDescent="0.35">
      <c r="A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</row>
    <row r="898" spans="1:17" x14ac:dyDescent="0.35">
      <c r="A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</row>
    <row r="899" spans="1:17" x14ac:dyDescent="0.35">
      <c r="A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</row>
    <row r="900" spans="1:17" x14ac:dyDescent="0.35">
      <c r="A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</row>
    <row r="901" spans="1:17" x14ac:dyDescent="0.35">
      <c r="A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</row>
    <row r="902" spans="1:17" x14ac:dyDescent="0.35">
      <c r="A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</row>
    <row r="903" spans="1:17" x14ac:dyDescent="0.35">
      <c r="A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</row>
    <row r="904" spans="1:17" x14ac:dyDescent="0.35">
      <c r="A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</row>
    <row r="905" spans="1:17" x14ac:dyDescent="0.35">
      <c r="A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</row>
    <row r="906" spans="1:17" x14ac:dyDescent="0.35">
      <c r="A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</row>
    <row r="907" spans="1:17" x14ac:dyDescent="0.35">
      <c r="A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</row>
    <row r="908" spans="1:17" x14ac:dyDescent="0.35">
      <c r="A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</row>
    <row r="909" spans="1:17" x14ac:dyDescent="0.35">
      <c r="A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</row>
    <row r="910" spans="1:17" x14ac:dyDescent="0.35">
      <c r="A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</row>
    <row r="911" spans="1:17" x14ac:dyDescent="0.35">
      <c r="A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</row>
    <row r="912" spans="1:17" x14ac:dyDescent="0.35">
      <c r="A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</row>
    <row r="913" spans="1:17" x14ac:dyDescent="0.35">
      <c r="A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</row>
    <row r="914" spans="1:17" x14ac:dyDescent="0.35">
      <c r="A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</row>
    <row r="915" spans="1:17" x14ac:dyDescent="0.35">
      <c r="A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</row>
    <row r="916" spans="1:17" x14ac:dyDescent="0.35">
      <c r="A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</row>
    <row r="917" spans="1:17" x14ac:dyDescent="0.35">
      <c r="A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</row>
    <row r="918" spans="1:17" x14ac:dyDescent="0.35">
      <c r="A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</row>
    <row r="919" spans="1:17" x14ac:dyDescent="0.35">
      <c r="A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</row>
    <row r="920" spans="1:17" x14ac:dyDescent="0.35">
      <c r="A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</row>
    <row r="921" spans="1:17" x14ac:dyDescent="0.35">
      <c r="A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</row>
    <row r="922" spans="1:17" x14ac:dyDescent="0.35">
      <c r="A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</row>
    <row r="923" spans="1:17" x14ac:dyDescent="0.35">
      <c r="A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</row>
    <row r="924" spans="1:17" x14ac:dyDescent="0.35">
      <c r="A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</row>
    <row r="925" spans="1:17" x14ac:dyDescent="0.35">
      <c r="A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</row>
    <row r="926" spans="1:17" x14ac:dyDescent="0.35">
      <c r="A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</row>
    <row r="927" spans="1:17" x14ac:dyDescent="0.35">
      <c r="A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</row>
    <row r="928" spans="1:17" x14ac:dyDescent="0.35">
      <c r="A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</row>
    <row r="929" spans="1:17" x14ac:dyDescent="0.35">
      <c r="A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</row>
    <row r="930" spans="1:17" x14ac:dyDescent="0.35">
      <c r="A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</row>
    <row r="931" spans="1:17" x14ac:dyDescent="0.35">
      <c r="A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</row>
    <row r="932" spans="1:17" x14ac:dyDescent="0.35">
      <c r="A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</row>
    <row r="933" spans="1:17" x14ac:dyDescent="0.35">
      <c r="A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</row>
    <row r="934" spans="1:17" x14ac:dyDescent="0.35">
      <c r="A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</row>
    <row r="935" spans="1:17" x14ac:dyDescent="0.35">
      <c r="A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</row>
    <row r="936" spans="1:17" x14ac:dyDescent="0.35">
      <c r="A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</row>
    <row r="937" spans="1:17" x14ac:dyDescent="0.35">
      <c r="A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</row>
    <row r="938" spans="1:17" x14ac:dyDescent="0.35">
      <c r="A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</row>
    <row r="939" spans="1:17" x14ac:dyDescent="0.35">
      <c r="A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</row>
    <row r="940" spans="1:17" x14ac:dyDescent="0.35">
      <c r="A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</row>
    <row r="941" spans="1:17" x14ac:dyDescent="0.35">
      <c r="A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</row>
    <row r="942" spans="1:17" x14ac:dyDescent="0.35">
      <c r="A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</row>
    <row r="943" spans="1:17" x14ac:dyDescent="0.35">
      <c r="A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</row>
    <row r="944" spans="1:17" x14ac:dyDescent="0.35">
      <c r="A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</row>
    <row r="945" spans="1:17" x14ac:dyDescent="0.35">
      <c r="A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</row>
    <row r="946" spans="1:17" x14ac:dyDescent="0.35">
      <c r="A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</row>
    <row r="947" spans="1:17" x14ac:dyDescent="0.35">
      <c r="A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</row>
    <row r="948" spans="1:17" x14ac:dyDescent="0.35">
      <c r="A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</row>
    <row r="949" spans="1:17" x14ac:dyDescent="0.35">
      <c r="A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</row>
    <row r="950" spans="1:17" x14ac:dyDescent="0.35">
      <c r="A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</row>
    <row r="951" spans="1:17" x14ac:dyDescent="0.35">
      <c r="A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</row>
    <row r="952" spans="1:17" x14ac:dyDescent="0.35">
      <c r="A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</row>
    <row r="953" spans="1:17" x14ac:dyDescent="0.35">
      <c r="A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</row>
    <row r="954" spans="1:17" x14ac:dyDescent="0.35">
      <c r="A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</row>
    <row r="955" spans="1:17" x14ac:dyDescent="0.35">
      <c r="A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</row>
    <row r="956" spans="1:17" x14ac:dyDescent="0.35">
      <c r="A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</row>
    <row r="957" spans="1:17" x14ac:dyDescent="0.35">
      <c r="A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</row>
    <row r="958" spans="1:17" x14ac:dyDescent="0.35">
      <c r="A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</row>
    <row r="959" spans="1:17" x14ac:dyDescent="0.35">
      <c r="A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</row>
    <row r="960" spans="1:17" x14ac:dyDescent="0.35">
      <c r="A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</row>
    <row r="961" spans="1:17" x14ac:dyDescent="0.35">
      <c r="A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</row>
    <row r="962" spans="1:17" x14ac:dyDescent="0.35">
      <c r="A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</row>
    <row r="963" spans="1:17" x14ac:dyDescent="0.35">
      <c r="A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</row>
    <row r="964" spans="1:17" x14ac:dyDescent="0.35">
      <c r="A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</row>
    <row r="965" spans="1:17" x14ac:dyDescent="0.35">
      <c r="A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</row>
    <row r="966" spans="1:17" x14ac:dyDescent="0.35">
      <c r="A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</row>
    <row r="967" spans="1:17" x14ac:dyDescent="0.35">
      <c r="A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</row>
    <row r="968" spans="1:17" x14ac:dyDescent="0.35">
      <c r="A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</row>
    <row r="969" spans="1:17" x14ac:dyDescent="0.35">
      <c r="A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</row>
    <row r="970" spans="1:17" x14ac:dyDescent="0.35">
      <c r="A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</row>
    <row r="971" spans="1:17" x14ac:dyDescent="0.35">
      <c r="A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</row>
    <row r="972" spans="1:17" x14ac:dyDescent="0.35">
      <c r="A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</row>
    <row r="973" spans="1:17" x14ac:dyDescent="0.35">
      <c r="A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</row>
    <row r="974" spans="1:17" x14ac:dyDescent="0.35">
      <c r="A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</row>
    <row r="975" spans="1:17" x14ac:dyDescent="0.35">
      <c r="A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</row>
    <row r="976" spans="1:17" x14ac:dyDescent="0.35">
      <c r="A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</row>
    <row r="977" spans="1:17" x14ac:dyDescent="0.35">
      <c r="A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</row>
    <row r="978" spans="1:17" x14ac:dyDescent="0.35">
      <c r="A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</row>
    <row r="979" spans="1:17" x14ac:dyDescent="0.35">
      <c r="A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</row>
    <row r="980" spans="1:17" x14ac:dyDescent="0.35">
      <c r="A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</row>
    <row r="981" spans="1:17" x14ac:dyDescent="0.35">
      <c r="A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</row>
    <row r="982" spans="1:17" x14ac:dyDescent="0.35">
      <c r="A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</row>
    <row r="983" spans="1:17" x14ac:dyDescent="0.35">
      <c r="A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</row>
    <row r="984" spans="1:17" x14ac:dyDescent="0.35">
      <c r="A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</row>
    <row r="985" spans="1:17" x14ac:dyDescent="0.35">
      <c r="A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</row>
    <row r="986" spans="1:17" x14ac:dyDescent="0.35">
      <c r="A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</row>
    <row r="987" spans="1:17" x14ac:dyDescent="0.35">
      <c r="A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</row>
    <row r="988" spans="1:17" x14ac:dyDescent="0.35">
      <c r="A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</row>
    <row r="989" spans="1:17" x14ac:dyDescent="0.35">
      <c r="A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</row>
    <row r="990" spans="1:17" x14ac:dyDescent="0.35">
      <c r="A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</row>
    <row r="991" spans="1:17" x14ac:dyDescent="0.35">
      <c r="A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</row>
    <row r="992" spans="1:17" x14ac:dyDescent="0.35">
      <c r="A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</row>
    <row r="993" spans="1:17" x14ac:dyDescent="0.35">
      <c r="A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</row>
    <row r="994" spans="1:17" x14ac:dyDescent="0.35">
      <c r="A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</row>
    <row r="995" spans="1:17" x14ac:dyDescent="0.35">
      <c r="A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</row>
    <row r="996" spans="1:17" x14ac:dyDescent="0.35">
      <c r="A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</row>
    <row r="997" spans="1:17" x14ac:dyDescent="0.35">
      <c r="A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</row>
    <row r="998" spans="1:17" x14ac:dyDescent="0.35">
      <c r="A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</row>
    <row r="999" spans="1:17" x14ac:dyDescent="0.35">
      <c r="A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</row>
    <row r="1000" spans="1:17" x14ac:dyDescent="0.35">
      <c r="A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G1"/>
  <sheetViews>
    <sheetView showGridLines="0" workbookViewId="0"/>
  </sheetViews>
  <sheetFormatPr defaultColWidth="14.453125" defaultRowHeight="15" customHeight="1" x14ac:dyDescent="0.35"/>
  <sheetData>
    <row r="1" spans="1:33" x14ac:dyDescent="0.35">
      <c r="A1" s="26" t="str">
        <f>Data!S1&amp;"- "&amp;T1&amp;"- "&amp;U1&amp;"- "&amp;V1&amp;"- "&amp;W1&amp;"- "&amp;X1&amp;"- "&amp;Y1&amp;"- "&amp;Z1&amp;"- "&amp;AA1&amp;"- "&amp;AB1&amp;"- "&amp;AC1&amp;"- "&amp;AD1</f>
        <v>Subcontractor:- Subcontract Number:- Change Order Number:- Owner's Change Order No.- Previous Contract- Increase- Decrease- Net Change- Revised Contract- Date:- Log 11- Log 12</v>
      </c>
      <c r="S1" s="26" t="str">
        <f>Input!A1</f>
        <v>Subcontractor:</v>
      </c>
      <c r="T1" s="26" t="str">
        <f>Input!B1</f>
        <v>Subcontract Number:</v>
      </c>
      <c r="U1" s="26" t="str">
        <f>Input!C1</f>
        <v>Change Order Number:</v>
      </c>
      <c r="V1" s="26" t="str">
        <f>Input!D1</f>
        <v>Owner's Change Order No.</v>
      </c>
      <c r="W1" s="26" t="str">
        <f>Input!E1</f>
        <v>Previous Contract</v>
      </c>
      <c r="X1" s="26" t="str">
        <f>Input!F1</f>
        <v>Increase</v>
      </c>
      <c r="Y1" s="26" t="str">
        <f>Input!G1</f>
        <v>Decrease</v>
      </c>
      <c r="Z1" s="26" t="str">
        <f>Input!H1</f>
        <v>Net Change</v>
      </c>
      <c r="AA1" s="26" t="str">
        <f>Input!I1</f>
        <v>Revised Contract</v>
      </c>
      <c r="AB1" s="26" t="str">
        <f>Input!J1</f>
        <v>Date:</v>
      </c>
      <c r="AC1" s="26" t="str">
        <f>Input!K1</f>
        <v>Log 11</v>
      </c>
      <c r="AD1" s="26" t="str">
        <f>Input!L1</f>
        <v>Log 12</v>
      </c>
      <c r="AE1" s="26" t="str">
        <f>Input!M1</f>
        <v>ACCEPTED:</v>
      </c>
      <c r="AF1" s="26" t="str">
        <f>Input!N1</f>
        <v>Date:</v>
      </c>
      <c r="AG1" s="26" t="str">
        <f>Input!O1</f>
        <v>Update 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Q1"/>
  <sheetViews>
    <sheetView workbookViewId="0"/>
  </sheetViews>
  <sheetFormatPr defaultColWidth="14.453125" defaultRowHeight="15" customHeight="1" x14ac:dyDescent="0.35"/>
  <sheetData>
    <row r="1" spans="1:69" x14ac:dyDescent="0.35">
      <c r="A1" s="26" t="str">
        <f>B1 &amp; " " &amp; C1 &amp; " " &amp; D1</f>
        <v>First Name Middle Name Last Name</v>
      </c>
      <c r="B1" s="25" t="s">
        <v>37</v>
      </c>
      <c r="C1" s="26" t="s">
        <v>38</v>
      </c>
      <c r="D1" s="26" t="s">
        <v>39</v>
      </c>
      <c r="E1" s="26" t="s">
        <v>40</v>
      </c>
      <c r="P1" s="26" t="s">
        <v>41</v>
      </c>
      <c r="T1" s="26" t="s">
        <v>42</v>
      </c>
      <c r="V1" s="26" t="s">
        <v>43</v>
      </c>
      <c r="Z1" s="26" t="s">
        <v>44</v>
      </c>
      <c r="AD1" s="26" t="s">
        <v>45</v>
      </c>
      <c r="AE1" s="26" t="s">
        <v>46</v>
      </c>
      <c r="AF1" s="26" t="s">
        <v>47</v>
      </c>
      <c r="AN1" s="26" t="s">
        <v>48</v>
      </c>
      <c r="AP1" s="26" t="s">
        <v>49</v>
      </c>
      <c r="AR1" s="26" t="s">
        <v>3</v>
      </c>
      <c r="AZ1" s="26" t="s">
        <v>50</v>
      </c>
      <c r="BD1" s="26" t="s">
        <v>51</v>
      </c>
      <c r="BE1" s="26" t="s">
        <v>52</v>
      </c>
      <c r="BF1" s="26" t="s">
        <v>53</v>
      </c>
      <c r="BK1" s="26" t="s">
        <v>54</v>
      </c>
      <c r="BO1" s="26" t="s">
        <v>55</v>
      </c>
      <c r="BP1" s="26" t="s">
        <v>56</v>
      </c>
      <c r="BQ1" s="26" t="s">
        <v>57</v>
      </c>
    </row>
  </sheetData>
  <autoFilter ref="A1:CL2000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15"/>
  <sheetViews>
    <sheetView workbookViewId="0">
      <selection activeCell="F13" sqref="F13"/>
    </sheetView>
  </sheetViews>
  <sheetFormatPr defaultColWidth="14.453125" defaultRowHeight="15" customHeight="1" x14ac:dyDescent="0.35"/>
  <cols>
    <col min="1" max="1" width="28.7265625" customWidth="1"/>
    <col min="5" max="7" width="28.7265625" customWidth="1"/>
  </cols>
  <sheetData>
    <row r="1" spans="1:7" x14ac:dyDescent="0.35">
      <c r="A1" s="33" t="str">
        <f>contacts!A1</f>
        <v>First Name Middle Name Last Name</v>
      </c>
      <c r="B1" s="62"/>
      <c r="C1" s="36"/>
      <c r="D1" s="36"/>
      <c r="E1" s="34" t="s">
        <v>58</v>
      </c>
      <c r="F1" s="25"/>
    </row>
    <row r="2" spans="1:7" x14ac:dyDescent="0.35">
      <c r="A2" s="33" t="str">
        <f>contacts!AR1</f>
        <v>Company</v>
      </c>
      <c r="B2" s="26" t="e">
        <f>VLOOKUP(B1, contacts!A:CJ, 44, FALSE)</f>
        <v>#N/A</v>
      </c>
      <c r="E2" s="33" t="str">
        <f>contacts!AR1</f>
        <v>Company</v>
      </c>
      <c r="G2" s="26"/>
    </row>
    <row r="3" spans="1:7" x14ac:dyDescent="0.35">
      <c r="A3" s="33" t="str">
        <f>contacts!AZ1</f>
        <v>Business Street</v>
      </c>
      <c r="B3" s="26" t="e">
        <f>VLOOKUP(B1, contacts!A:CJ, 52, FALSE)</f>
        <v>#N/A</v>
      </c>
      <c r="E3" s="33" t="str">
        <f>contacts!AZ1</f>
        <v>Business Street</v>
      </c>
      <c r="G3" s="26"/>
    </row>
    <row r="4" spans="1:7" x14ac:dyDescent="0.35">
      <c r="A4" s="33" t="str">
        <f>contacts!BD1</f>
        <v>Business City</v>
      </c>
      <c r="B4" s="26" t="e">
        <f>VLOOKUP(B1, contacts!A:CJ, 56, FALSE) &amp; ", " &amp; VLOOKUP(B1, contacts!A:CJ, 57, FALSE) &amp; "   " &amp; VLOOKUP(B1, contacts!A:CJ, 58, FALSE)</f>
        <v>#N/A</v>
      </c>
      <c r="E4" s="33" t="str">
        <f>contacts!BD1</f>
        <v>Business City</v>
      </c>
      <c r="G4" s="26"/>
    </row>
    <row r="5" spans="1:7" x14ac:dyDescent="0.35">
      <c r="A5" s="33" t="str">
        <f>contacts!P1</f>
        <v>E-mail Address</v>
      </c>
      <c r="B5" s="26" t="e">
        <f>HYPERLINK(VLOOKUP(B1, contacts!A:CJ, 16, FALSE))</f>
        <v>#N/A</v>
      </c>
      <c r="E5" s="33" t="str">
        <f>contacts!P1</f>
        <v>E-mail Address</v>
      </c>
      <c r="G5" s="26"/>
    </row>
    <row r="6" spans="1:7" x14ac:dyDescent="0.35">
      <c r="A6" s="33" t="str">
        <f>contacts!AN1</f>
        <v>Business Phone</v>
      </c>
      <c r="B6" s="26" t="e">
        <f>VLOOKUP(B1, contacts!A:CJ, 40, FALSE)</f>
        <v>#N/A</v>
      </c>
      <c r="E6" s="33" t="str">
        <f>contacts!AN1</f>
        <v>Business Phone</v>
      </c>
      <c r="G6" s="26"/>
    </row>
    <row r="7" spans="1:7" x14ac:dyDescent="0.35">
      <c r="A7" s="33" t="str">
        <f>contacts!AP1</f>
        <v>Business Fax</v>
      </c>
      <c r="B7" s="26" t="e">
        <f>VLOOKUP(B1, contacts!A:CJ, 42, FALSE)</f>
        <v>#N/A</v>
      </c>
      <c r="E7" s="33" t="str">
        <f>contacts!AP1</f>
        <v>Business Fax</v>
      </c>
      <c r="G7" s="26"/>
    </row>
    <row r="8" spans="1:7" x14ac:dyDescent="0.35">
      <c r="A8" s="33" t="str">
        <f>contacts!Z1</f>
        <v>Home Street</v>
      </c>
      <c r="B8" s="26" t="e">
        <f>VLOOKUP(B1, contacts!A:CJ, 26, FALSE)</f>
        <v>#N/A</v>
      </c>
      <c r="E8" s="33" t="str">
        <f>contacts!Z1</f>
        <v>Home Street</v>
      </c>
      <c r="G8" s="26"/>
    </row>
    <row r="9" spans="1:7" x14ac:dyDescent="0.35">
      <c r="A9" s="33" t="str">
        <f>contacts!AD1</f>
        <v>Home City</v>
      </c>
      <c r="B9" s="26" t="e">
        <f>VLOOKUP(B1, contacts!A:CJ, 30, FALSE) &amp; ", " &amp; VLOOKUP(B1, contacts!A:CJ, 31, FALSE) &amp; "   " &amp; VLOOKUP(B1, contacts!A:CJ, 32, FALSE)</f>
        <v>#N/A</v>
      </c>
      <c r="E9" s="33" t="str">
        <f>contacts!AD1</f>
        <v>Home City</v>
      </c>
      <c r="G9" s="26"/>
    </row>
    <row r="10" spans="1:7" x14ac:dyDescent="0.35">
      <c r="A10" s="33" t="str">
        <f>contacts!BK1</f>
        <v>Other Street</v>
      </c>
      <c r="B10" s="26" t="e">
        <f>VLOOKUP(B1, contacts!A:CJ, 63, FALSE)</f>
        <v>#N/A</v>
      </c>
      <c r="E10" s="33" t="str">
        <f>contacts!BK1</f>
        <v>Other Street</v>
      </c>
      <c r="G10" s="26"/>
    </row>
    <row r="11" spans="1:7" x14ac:dyDescent="0.35">
      <c r="A11" s="33" t="str">
        <f>contacts!BO1</f>
        <v>Other City</v>
      </c>
      <c r="B11" s="26" t="e">
        <f>VLOOKUP(B1, contacts!A:CJ, 67, FALSE) &amp; ", " &amp; VLOOKUP(B1, contacts!A:CJ, 68, FALSE) &amp; "   " &amp; VLOOKUP(B1, contacts!A:CJ, 69, FALSE)</f>
        <v>#N/A</v>
      </c>
      <c r="E11" s="33" t="str">
        <f>contacts!BO1</f>
        <v>Other City</v>
      </c>
      <c r="G11" s="26"/>
    </row>
    <row r="12" spans="1:7" x14ac:dyDescent="0.35">
      <c r="A12" s="33" t="str">
        <f>contacts!E1</f>
        <v>Title</v>
      </c>
      <c r="B12" s="26" t="e">
        <f>VLOOKUP(B1, contacts!A:CJ, 5, FALSE)</f>
        <v>#N/A</v>
      </c>
      <c r="E12" s="33" t="str">
        <f>contacts!E1</f>
        <v>Title</v>
      </c>
      <c r="G12" s="26"/>
    </row>
    <row r="13" spans="1:7" x14ac:dyDescent="0.35">
      <c r="A13" s="33" t="str">
        <f>contacts!T1</f>
        <v>Home Phone</v>
      </c>
      <c r="B13" s="26" t="e">
        <f>VLOOKUP(B1, contacts!A:CJ, 20, FALSE)</f>
        <v>#N/A</v>
      </c>
      <c r="E13" s="33" t="str">
        <f>contacts!T1</f>
        <v>Home Phone</v>
      </c>
      <c r="G13" s="26"/>
    </row>
    <row r="14" spans="1:7" x14ac:dyDescent="0.35">
      <c r="A14" s="33" t="str">
        <f>contacts!V1</f>
        <v>Mobile Phone</v>
      </c>
      <c r="B14" s="26" t="e">
        <f>VLOOKUP(B1, contacts!A:CJ, 22, FALSE)</f>
        <v>#N/A</v>
      </c>
      <c r="E14" s="33" t="str">
        <f>contacts!V1</f>
        <v>Mobile Phone</v>
      </c>
      <c r="G14" s="26"/>
    </row>
    <row r="15" spans="1:7" x14ac:dyDescent="0.35">
      <c r="F15" s="26" t="s">
        <v>59</v>
      </c>
      <c r="G15" s="26" t="s">
        <v>60</v>
      </c>
    </row>
  </sheetData>
  <mergeCells count="1">
    <mergeCell ref="B1: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700-000000000000}">
          <x14:formula1>
            <xm:f>contacts!$A:$A</xm:f>
          </x14:formula1>
          <xm:sqref>B1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1000"/>
  <sheetViews>
    <sheetView workbookViewId="0">
      <selection activeCell="B1" sqref="B1"/>
    </sheetView>
  </sheetViews>
  <sheetFormatPr defaultColWidth="14.453125" defaultRowHeight="15" customHeight="1" x14ac:dyDescent="0.35"/>
  <cols>
    <col min="1" max="2" width="28.7265625" customWidth="1"/>
  </cols>
  <sheetData>
    <row r="1" spans="1:9" x14ac:dyDescent="0.35">
      <c r="A1" s="33" t="str">
        <f>contacts!B1</f>
        <v>First Name</v>
      </c>
      <c r="B1" s="25"/>
    </row>
    <row r="2" spans="1:9" x14ac:dyDescent="0.35">
      <c r="A2" s="33" t="str">
        <f>contacts!C1</f>
        <v>Middle Name</v>
      </c>
      <c r="B2" s="25"/>
    </row>
    <row r="3" spans="1:9" x14ac:dyDescent="0.35">
      <c r="A3" s="33" t="str">
        <f>contacts!D1</f>
        <v>Last Name</v>
      </c>
      <c r="B3" s="25"/>
      <c r="F3" s="63"/>
      <c r="G3" s="36"/>
      <c r="H3" s="36"/>
      <c r="I3" s="36"/>
    </row>
    <row r="4" spans="1:9" x14ac:dyDescent="0.35">
      <c r="A4" s="33" t="str">
        <f>contacts!AR1</f>
        <v>Company</v>
      </c>
      <c r="B4" s="25"/>
    </row>
    <row r="5" spans="1:9" x14ac:dyDescent="0.35">
      <c r="A5" s="33" t="str">
        <f>contacts!AZ1</f>
        <v>Business Street</v>
      </c>
      <c r="B5" s="25"/>
    </row>
    <row r="6" spans="1:9" x14ac:dyDescent="0.35">
      <c r="A6" s="33" t="str">
        <f>contacts!BD1</f>
        <v>Business City</v>
      </c>
      <c r="B6" s="25"/>
    </row>
    <row r="7" spans="1:9" x14ac:dyDescent="0.35">
      <c r="A7" s="33" t="str">
        <f>contacts!BE1</f>
        <v>Business State</v>
      </c>
      <c r="B7" s="25"/>
    </row>
    <row r="8" spans="1:9" x14ac:dyDescent="0.35">
      <c r="A8" s="33" t="str">
        <f>contacts!BF1</f>
        <v>Business Postal Code</v>
      </c>
      <c r="B8" s="25"/>
    </row>
    <row r="9" spans="1:9" x14ac:dyDescent="0.35">
      <c r="A9" s="33" t="str">
        <f>contacts!P1</f>
        <v>E-mail Address</v>
      </c>
      <c r="B9" s="25"/>
    </row>
    <row r="10" spans="1:9" x14ac:dyDescent="0.35">
      <c r="A10" s="33" t="str">
        <f>contacts!AN1</f>
        <v>Business Phone</v>
      </c>
      <c r="B10" s="25"/>
    </row>
    <row r="11" spans="1:9" x14ac:dyDescent="0.35">
      <c r="A11" s="33" t="str">
        <f>contacts!AP1</f>
        <v>Business Fax</v>
      </c>
      <c r="B11" s="25"/>
    </row>
    <row r="12" spans="1:9" x14ac:dyDescent="0.35">
      <c r="A12" s="33" t="str">
        <f>contacts!Z1</f>
        <v>Home Street</v>
      </c>
      <c r="B12" s="25"/>
    </row>
    <row r="13" spans="1:9" x14ac:dyDescent="0.35">
      <c r="A13" s="33" t="str">
        <f>contacts!AD1</f>
        <v>Home City</v>
      </c>
      <c r="B13" s="25"/>
    </row>
    <row r="14" spans="1:9" x14ac:dyDescent="0.35">
      <c r="A14" s="33" t="str">
        <f>contacts!AE1</f>
        <v>Home State</v>
      </c>
      <c r="B14" s="25"/>
    </row>
    <row r="15" spans="1:9" x14ac:dyDescent="0.35">
      <c r="A15" s="33" t="str">
        <f>contacts!AF1</f>
        <v>Home Postal Code</v>
      </c>
      <c r="B15" s="25"/>
    </row>
    <row r="16" spans="1:9" x14ac:dyDescent="0.35">
      <c r="A16" s="33" t="str">
        <f>contacts!BK1</f>
        <v>Other Street</v>
      </c>
      <c r="B16" s="25"/>
    </row>
    <row r="17" spans="1:2" x14ac:dyDescent="0.35">
      <c r="A17" s="33" t="str">
        <f>contacts!BO1</f>
        <v>Other City</v>
      </c>
      <c r="B17" s="25"/>
    </row>
    <row r="18" spans="1:2" x14ac:dyDescent="0.35">
      <c r="A18" s="33" t="str">
        <f>contacts!BP1</f>
        <v>Other State</v>
      </c>
      <c r="B18" s="25"/>
    </row>
    <row r="19" spans="1:2" x14ac:dyDescent="0.35">
      <c r="A19" s="33" t="str">
        <f>contacts!BQ1</f>
        <v>Other Postal Code</v>
      </c>
      <c r="B19" s="25"/>
    </row>
    <row r="20" spans="1:2" x14ac:dyDescent="0.35">
      <c r="A20" s="33" t="str">
        <f>contacts!E1</f>
        <v>Title</v>
      </c>
      <c r="B20" s="25"/>
    </row>
    <row r="21" spans="1:2" x14ac:dyDescent="0.35">
      <c r="A21" s="33" t="str">
        <f>contacts!T1</f>
        <v>Home Phone</v>
      </c>
      <c r="B21" s="25"/>
    </row>
    <row r="22" spans="1:2" x14ac:dyDescent="0.35">
      <c r="A22" s="33" t="str">
        <f>contacts!V1</f>
        <v>Mobile Phone</v>
      </c>
      <c r="B22" s="25"/>
    </row>
    <row r="23" spans="1:2" x14ac:dyDescent="0.35">
      <c r="A23" s="33"/>
      <c r="B23" s="26" t="s">
        <v>61</v>
      </c>
    </row>
    <row r="24" spans="1:2" x14ac:dyDescent="0.35">
      <c r="A24" s="33"/>
    </row>
    <row r="25" spans="1:2" x14ac:dyDescent="0.35">
      <c r="A25" s="33"/>
    </row>
    <row r="26" spans="1:2" x14ac:dyDescent="0.35">
      <c r="A26" s="33"/>
    </row>
    <row r="27" spans="1:2" x14ac:dyDescent="0.35">
      <c r="A27" s="33"/>
    </row>
    <row r="28" spans="1:2" x14ac:dyDescent="0.35">
      <c r="A28" s="33"/>
    </row>
    <row r="29" spans="1:2" x14ac:dyDescent="0.35">
      <c r="A29" s="33"/>
    </row>
    <row r="30" spans="1:2" x14ac:dyDescent="0.35">
      <c r="A30" s="33"/>
    </row>
    <row r="31" spans="1:2" x14ac:dyDescent="0.35">
      <c r="A31" s="33"/>
    </row>
    <row r="32" spans="1:2" x14ac:dyDescent="0.35">
      <c r="A32" s="33"/>
    </row>
    <row r="33" spans="1:1" x14ac:dyDescent="0.35">
      <c r="A33" s="33"/>
    </row>
    <row r="34" spans="1:1" x14ac:dyDescent="0.35">
      <c r="A34" s="33"/>
    </row>
    <row r="35" spans="1:1" x14ac:dyDescent="0.35">
      <c r="A35" s="33"/>
    </row>
    <row r="36" spans="1:1" x14ac:dyDescent="0.35">
      <c r="A36" s="33"/>
    </row>
    <row r="37" spans="1:1" x14ac:dyDescent="0.35">
      <c r="A37" s="33"/>
    </row>
    <row r="38" spans="1:1" x14ac:dyDescent="0.35">
      <c r="A38" s="33"/>
    </row>
    <row r="39" spans="1:1" x14ac:dyDescent="0.35">
      <c r="A39" s="33"/>
    </row>
    <row r="40" spans="1:1" x14ac:dyDescent="0.35">
      <c r="A40" s="33"/>
    </row>
    <row r="41" spans="1:1" x14ac:dyDescent="0.35">
      <c r="A41" s="33"/>
    </row>
    <row r="42" spans="1:1" x14ac:dyDescent="0.35">
      <c r="A42" s="33"/>
    </row>
    <row r="43" spans="1:1" x14ac:dyDescent="0.35">
      <c r="A43" s="33"/>
    </row>
    <row r="44" spans="1:1" x14ac:dyDescent="0.35">
      <c r="A44" s="33"/>
    </row>
    <row r="45" spans="1:1" x14ac:dyDescent="0.35">
      <c r="A45" s="33"/>
    </row>
    <row r="46" spans="1:1" x14ac:dyDescent="0.35">
      <c r="A46" s="33"/>
    </row>
    <row r="47" spans="1:1" x14ac:dyDescent="0.35">
      <c r="A47" s="33"/>
    </row>
    <row r="48" spans="1:1" x14ac:dyDescent="0.35">
      <c r="A48" s="33"/>
    </row>
    <row r="49" spans="1:1" x14ac:dyDescent="0.35">
      <c r="A49" s="33"/>
    </row>
    <row r="50" spans="1:1" x14ac:dyDescent="0.35">
      <c r="A50" s="33"/>
    </row>
    <row r="51" spans="1:1" x14ac:dyDescent="0.35">
      <c r="A51" s="33"/>
    </row>
    <row r="52" spans="1:1" x14ac:dyDescent="0.35">
      <c r="A52" s="33"/>
    </row>
    <row r="53" spans="1:1" x14ac:dyDescent="0.35">
      <c r="A53" s="33"/>
    </row>
    <row r="54" spans="1:1" x14ac:dyDescent="0.35">
      <c r="A54" s="33"/>
    </row>
    <row r="55" spans="1:1" x14ac:dyDescent="0.35">
      <c r="A55" s="33"/>
    </row>
    <row r="56" spans="1:1" x14ac:dyDescent="0.35">
      <c r="A56" s="33"/>
    </row>
    <row r="57" spans="1:1" x14ac:dyDescent="0.35">
      <c r="A57" s="33"/>
    </row>
    <row r="58" spans="1:1" x14ac:dyDescent="0.35">
      <c r="A58" s="33"/>
    </row>
    <row r="59" spans="1:1" x14ac:dyDescent="0.35">
      <c r="A59" s="33"/>
    </row>
    <row r="60" spans="1:1" x14ac:dyDescent="0.35">
      <c r="A60" s="33"/>
    </row>
    <row r="61" spans="1:1" x14ac:dyDescent="0.35">
      <c r="A61" s="33"/>
    </row>
    <row r="62" spans="1:1" x14ac:dyDescent="0.35">
      <c r="A62" s="33"/>
    </row>
    <row r="63" spans="1:1" x14ac:dyDescent="0.35">
      <c r="A63" s="33"/>
    </row>
    <row r="64" spans="1:1" x14ac:dyDescent="0.35">
      <c r="A64" s="33"/>
    </row>
    <row r="65" spans="1:1" x14ac:dyDescent="0.35">
      <c r="A65" s="33"/>
    </row>
    <row r="66" spans="1:1" x14ac:dyDescent="0.35">
      <c r="A66" s="33"/>
    </row>
    <row r="67" spans="1:1" x14ac:dyDescent="0.35">
      <c r="A67" s="33"/>
    </row>
    <row r="68" spans="1:1" x14ac:dyDescent="0.35">
      <c r="A68" s="33"/>
    </row>
    <row r="69" spans="1:1" x14ac:dyDescent="0.35">
      <c r="A69" s="33"/>
    </row>
    <row r="70" spans="1:1" x14ac:dyDescent="0.35">
      <c r="A70" s="33"/>
    </row>
    <row r="71" spans="1:1" x14ac:dyDescent="0.35">
      <c r="A71" s="33"/>
    </row>
    <row r="72" spans="1:1" x14ac:dyDescent="0.35">
      <c r="A72" s="33"/>
    </row>
    <row r="73" spans="1:1" x14ac:dyDescent="0.35">
      <c r="A73" s="33"/>
    </row>
    <row r="74" spans="1:1" x14ac:dyDescent="0.35">
      <c r="A74" s="33"/>
    </row>
    <row r="75" spans="1:1" x14ac:dyDescent="0.35">
      <c r="A75" s="33"/>
    </row>
    <row r="76" spans="1:1" x14ac:dyDescent="0.35">
      <c r="A76" s="33"/>
    </row>
    <row r="77" spans="1:1" x14ac:dyDescent="0.35">
      <c r="A77" s="33"/>
    </row>
    <row r="78" spans="1:1" x14ac:dyDescent="0.35">
      <c r="A78" s="33"/>
    </row>
    <row r="79" spans="1:1" x14ac:dyDescent="0.35">
      <c r="A79" s="33"/>
    </row>
    <row r="80" spans="1:1" x14ac:dyDescent="0.35">
      <c r="A80" s="33"/>
    </row>
    <row r="81" spans="1:1" x14ac:dyDescent="0.35">
      <c r="A81" s="33"/>
    </row>
    <row r="82" spans="1:1" x14ac:dyDescent="0.35">
      <c r="A82" s="33"/>
    </row>
    <row r="83" spans="1:1" x14ac:dyDescent="0.35">
      <c r="A83" s="33"/>
    </row>
    <row r="84" spans="1:1" x14ac:dyDescent="0.35">
      <c r="A84" s="33"/>
    </row>
    <row r="85" spans="1:1" x14ac:dyDescent="0.35">
      <c r="A85" s="33"/>
    </row>
    <row r="86" spans="1:1" x14ac:dyDescent="0.35">
      <c r="A86" s="33"/>
    </row>
    <row r="87" spans="1:1" x14ac:dyDescent="0.35">
      <c r="A87" s="33"/>
    </row>
    <row r="88" spans="1:1" x14ac:dyDescent="0.35">
      <c r="A88" s="33"/>
    </row>
    <row r="89" spans="1:1" x14ac:dyDescent="0.35">
      <c r="A89" s="33"/>
    </row>
    <row r="90" spans="1:1" x14ac:dyDescent="0.35">
      <c r="A90" s="33"/>
    </row>
    <row r="91" spans="1:1" x14ac:dyDescent="0.35">
      <c r="A91" s="33"/>
    </row>
    <row r="92" spans="1:1" x14ac:dyDescent="0.35">
      <c r="A92" s="33"/>
    </row>
    <row r="93" spans="1:1" x14ac:dyDescent="0.35">
      <c r="A93" s="33"/>
    </row>
    <row r="94" spans="1:1" x14ac:dyDescent="0.35">
      <c r="A94" s="33"/>
    </row>
    <row r="95" spans="1:1" x14ac:dyDescent="0.35">
      <c r="A95" s="33"/>
    </row>
    <row r="96" spans="1:1" x14ac:dyDescent="0.35">
      <c r="A96" s="33"/>
    </row>
    <row r="97" spans="1:1" x14ac:dyDescent="0.35">
      <c r="A97" s="33"/>
    </row>
    <row r="98" spans="1:1" x14ac:dyDescent="0.35">
      <c r="A98" s="33"/>
    </row>
    <row r="99" spans="1:1" x14ac:dyDescent="0.35">
      <c r="A99" s="33"/>
    </row>
    <row r="100" spans="1:1" x14ac:dyDescent="0.35">
      <c r="A100" s="33"/>
    </row>
    <row r="101" spans="1:1" x14ac:dyDescent="0.35">
      <c r="A101" s="33"/>
    </row>
    <row r="102" spans="1:1" x14ac:dyDescent="0.35">
      <c r="A102" s="33"/>
    </row>
    <row r="103" spans="1:1" x14ac:dyDescent="0.35">
      <c r="A103" s="33"/>
    </row>
    <row r="104" spans="1:1" x14ac:dyDescent="0.35">
      <c r="A104" s="33"/>
    </row>
    <row r="105" spans="1:1" x14ac:dyDescent="0.35">
      <c r="A105" s="33"/>
    </row>
    <row r="106" spans="1:1" x14ac:dyDescent="0.35">
      <c r="A106" s="33"/>
    </row>
    <row r="107" spans="1:1" x14ac:dyDescent="0.35">
      <c r="A107" s="33"/>
    </row>
    <row r="108" spans="1:1" x14ac:dyDescent="0.35">
      <c r="A108" s="33"/>
    </row>
    <row r="109" spans="1:1" x14ac:dyDescent="0.35">
      <c r="A109" s="33"/>
    </row>
    <row r="110" spans="1:1" x14ac:dyDescent="0.35">
      <c r="A110" s="33"/>
    </row>
    <row r="111" spans="1:1" x14ac:dyDescent="0.35">
      <c r="A111" s="33"/>
    </row>
    <row r="112" spans="1:1" x14ac:dyDescent="0.35">
      <c r="A112" s="33"/>
    </row>
    <row r="113" spans="1:1" x14ac:dyDescent="0.35">
      <c r="A113" s="33"/>
    </row>
    <row r="114" spans="1:1" x14ac:dyDescent="0.35">
      <c r="A114" s="33"/>
    </row>
    <row r="115" spans="1:1" x14ac:dyDescent="0.35">
      <c r="A115" s="33"/>
    </row>
    <row r="116" spans="1:1" x14ac:dyDescent="0.35">
      <c r="A116" s="33"/>
    </row>
    <row r="117" spans="1:1" x14ac:dyDescent="0.35">
      <c r="A117" s="33"/>
    </row>
    <row r="118" spans="1:1" x14ac:dyDescent="0.35">
      <c r="A118" s="33"/>
    </row>
    <row r="119" spans="1:1" x14ac:dyDescent="0.35">
      <c r="A119" s="33"/>
    </row>
    <row r="120" spans="1:1" x14ac:dyDescent="0.35">
      <c r="A120" s="33"/>
    </row>
    <row r="121" spans="1:1" x14ac:dyDescent="0.35">
      <c r="A121" s="33"/>
    </row>
    <row r="122" spans="1:1" x14ac:dyDescent="0.35">
      <c r="A122" s="33"/>
    </row>
    <row r="123" spans="1:1" x14ac:dyDescent="0.35">
      <c r="A123" s="33"/>
    </row>
    <row r="124" spans="1:1" x14ac:dyDescent="0.35">
      <c r="A124" s="33"/>
    </row>
    <row r="125" spans="1:1" x14ac:dyDescent="0.35">
      <c r="A125" s="33"/>
    </row>
    <row r="126" spans="1:1" x14ac:dyDescent="0.35">
      <c r="A126" s="33"/>
    </row>
    <row r="127" spans="1:1" x14ac:dyDescent="0.35">
      <c r="A127" s="33"/>
    </row>
    <row r="128" spans="1:1" x14ac:dyDescent="0.35">
      <c r="A128" s="33"/>
    </row>
    <row r="129" spans="1:1" x14ac:dyDescent="0.35">
      <c r="A129" s="33"/>
    </row>
    <row r="130" spans="1:1" x14ac:dyDescent="0.35">
      <c r="A130" s="33"/>
    </row>
    <row r="131" spans="1:1" x14ac:dyDescent="0.35">
      <c r="A131" s="33"/>
    </row>
    <row r="132" spans="1:1" x14ac:dyDescent="0.35">
      <c r="A132" s="33"/>
    </row>
    <row r="133" spans="1:1" x14ac:dyDescent="0.35">
      <c r="A133" s="33"/>
    </row>
    <row r="134" spans="1:1" x14ac:dyDescent="0.35">
      <c r="A134" s="33"/>
    </row>
    <row r="135" spans="1:1" x14ac:dyDescent="0.35">
      <c r="A135" s="33"/>
    </row>
    <row r="136" spans="1:1" x14ac:dyDescent="0.35">
      <c r="A136" s="33"/>
    </row>
    <row r="137" spans="1:1" x14ac:dyDescent="0.35">
      <c r="A137" s="33"/>
    </row>
    <row r="138" spans="1:1" x14ac:dyDescent="0.35">
      <c r="A138" s="33"/>
    </row>
    <row r="139" spans="1:1" x14ac:dyDescent="0.35">
      <c r="A139" s="33"/>
    </row>
    <row r="140" spans="1:1" x14ac:dyDescent="0.35">
      <c r="A140" s="33"/>
    </row>
    <row r="141" spans="1:1" x14ac:dyDescent="0.35">
      <c r="A141" s="33"/>
    </row>
    <row r="142" spans="1:1" x14ac:dyDescent="0.35">
      <c r="A142" s="33"/>
    </row>
    <row r="143" spans="1:1" x14ac:dyDescent="0.35">
      <c r="A143" s="33"/>
    </row>
    <row r="144" spans="1:1" x14ac:dyDescent="0.35">
      <c r="A144" s="33"/>
    </row>
    <row r="145" spans="1:1" x14ac:dyDescent="0.35">
      <c r="A145" s="33"/>
    </row>
    <row r="146" spans="1:1" x14ac:dyDescent="0.35">
      <c r="A146" s="33"/>
    </row>
    <row r="147" spans="1:1" x14ac:dyDescent="0.35">
      <c r="A147" s="33"/>
    </row>
    <row r="148" spans="1:1" x14ac:dyDescent="0.35">
      <c r="A148" s="33"/>
    </row>
    <row r="149" spans="1:1" x14ac:dyDescent="0.35">
      <c r="A149" s="33"/>
    </row>
    <row r="150" spans="1:1" x14ac:dyDescent="0.35">
      <c r="A150" s="33"/>
    </row>
    <row r="151" spans="1:1" x14ac:dyDescent="0.35">
      <c r="A151" s="33"/>
    </row>
    <row r="152" spans="1:1" x14ac:dyDescent="0.35">
      <c r="A152" s="33"/>
    </row>
    <row r="153" spans="1:1" x14ac:dyDescent="0.35">
      <c r="A153" s="33"/>
    </row>
    <row r="154" spans="1:1" x14ac:dyDescent="0.35">
      <c r="A154" s="33"/>
    </row>
    <row r="155" spans="1:1" x14ac:dyDescent="0.35">
      <c r="A155" s="33"/>
    </row>
    <row r="156" spans="1:1" x14ac:dyDescent="0.35">
      <c r="A156" s="33"/>
    </row>
    <row r="157" spans="1:1" x14ac:dyDescent="0.35">
      <c r="A157" s="33"/>
    </row>
    <row r="158" spans="1:1" x14ac:dyDescent="0.35">
      <c r="A158" s="33"/>
    </row>
    <row r="159" spans="1:1" x14ac:dyDescent="0.35">
      <c r="A159" s="33"/>
    </row>
    <row r="160" spans="1:1" x14ac:dyDescent="0.35">
      <c r="A160" s="33"/>
    </row>
    <row r="161" spans="1:1" x14ac:dyDescent="0.35">
      <c r="A161" s="33"/>
    </row>
    <row r="162" spans="1:1" x14ac:dyDescent="0.35">
      <c r="A162" s="33"/>
    </row>
    <row r="163" spans="1:1" x14ac:dyDescent="0.35">
      <c r="A163" s="33"/>
    </row>
    <row r="164" spans="1:1" x14ac:dyDescent="0.35">
      <c r="A164" s="33"/>
    </row>
    <row r="165" spans="1:1" x14ac:dyDescent="0.35">
      <c r="A165" s="33"/>
    </row>
    <row r="166" spans="1:1" x14ac:dyDescent="0.35">
      <c r="A166" s="33"/>
    </row>
    <row r="167" spans="1:1" x14ac:dyDescent="0.35">
      <c r="A167" s="33"/>
    </row>
    <row r="168" spans="1:1" x14ac:dyDescent="0.35">
      <c r="A168" s="33"/>
    </row>
    <row r="169" spans="1:1" x14ac:dyDescent="0.35">
      <c r="A169" s="33"/>
    </row>
    <row r="170" spans="1:1" x14ac:dyDescent="0.35">
      <c r="A170" s="33"/>
    </row>
    <row r="171" spans="1:1" x14ac:dyDescent="0.35">
      <c r="A171" s="33"/>
    </row>
    <row r="172" spans="1:1" x14ac:dyDescent="0.35">
      <c r="A172" s="33"/>
    </row>
    <row r="173" spans="1:1" x14ac:dyDescent="0.35">
      <c r="A173" s="33"/>
    </row>
    <row r="174" spans="1:1" x14ac:dyDescent="0.35">
      <c r="A174" s="33"/>
    </row>
    <row r="175" spans="1:1" x14ac:dyDescent="0.35">
      <c r="A175" s="33"/>
    </row>
    <row r="176" spans="1:1" x14ac:dyDescent="0.35">
      <c r="A176" s="33"/>
    </row>
    <row r="177" spans="1:1" x14ac:dyDescent="0.35">
      <c r="A177" s="33"/>
    </row>
    <row r="178" spans="1:1" x14ac:dyDescent="0.35">
      <c r="A178" s="33"/>
    </row>
    <row r="179" spans="1:1" x14ac:dyDescent="0.35">
      <c r="A179" s="33"/>
    </row>
    <row r="180" spans="1:1" x14ac:dyDescent="0.35">
      <c r="A180" s="33"/>
    </row>
    <row r="181" spans="1:1" x14ac:dyDescent="0.35">
      <c r="A181" s="33"/>
    </row>
    <row r="182" spans="1:1" x14ac:dyDescent="0.35">
      <c r="A182" s="33"/>
    </row>
    <row r="183" spans="1:1" x14ac:dyDescent="0.35">
      <c r="A183" s="33"/>
    </row>
    <row r="184" spans="1:1" x14ac:dyDescent="0.35">
      <c r="A184" s="33"/>
    </row>
    <row r="185" spans="1:1" x14ac:dyDescent="0.35">
      <c r="A185" s="33"/>
    </row>
    <row r="186" spans="1:1" x14ac:dyDescent="0.35">
      <c r="A186" s="33"/>
    </row>
    <row r="187" spans="1:1" x14ac:dyDescent="0.35">
      <c r="A187" s="33"/>
    </row>
    <row r="188" spans="1:1" x14ac:dyDescent="0.35">
      <c r="A188" s="33"/>
    </row>
    <row r="189" spans="1:1" x14ac:dyDescent="0.35">
      <c r="A189" s="33"/>
    </row>
    <row r="190" spans="1:1" x14ac:dyDescent="0.35">
      <c r="A190" s="33"/>
    </row>
    <row r="191" spans="1:1" x14ac:dyDescent="0.35">
      <c r="A191" s="33"/>
    </row>
    <row r="192" spans="1:1" x14ac:dyDescent="0.35">
      <c r="A192" s="33"/>
    </row>
    <row r="193" spans="1:1" x14ac:dyDescent="0.35">
      <c r="A193" s="33"/>
    </row>
    <row r="194" spans="1:1" x14ac:dyDescent="0.35">
      <c r="A194" s="33"/>
    </row>
    <row r="195" spans="1:1" x14ac:dyDescent="0.35">
      <c r="A195" s="33"/>
    </row>
    <row r="196" spans="1:1" x14ac:dyDescent="0.35">
      <c r="A196" s="33"/>
    </row>
    <row r="197" spans="1:1" x14ac:dyDescent="0.35">
      <c r="A197" s="33"/>
    </row>
    <row r="198" spans="1:1" x14ac:dyDescent="0.35">
      <c r="A198" s="33"/>
    </row>
    <row r="199" spans="1:1" x14ac:dyDescent="0.35">
      <c r="A199" s="33"/>
    </row>
    <row r="200" spans="1:1" x14ac:dyDescent="0.35">
      <c r="A200" s="33"/>
    </row>
    <row r="201" spans="1:1" x14ac:dyDescent="0.35">
      <c r="A201" s="33"/>
    </row>
    <row r="202" spans="1:1" x14ac:dyDescent="0.35">
      <c r="A202" s="33"/>
    </row>
    <row r="203" spans="1:1" x14ac:dyDescent="0.35">
      <c r="A203" s="33"/>
    </row>
    <row r="204" spans="1:1" x14ac:dyDescent="0.35">
      <c r="A204" s="33"/>
    </row>
    <row r="205" spans="1:1" x14ac:dyDescent="0.35">
      <c r="A205" s="33"/>
    </row>
    <row r="206" spans="1:1" x14ac:dyDescent="0.35">
      <c r="A206" s="33"/>
    </row>
    <row r="207" spans="1:1" x14ac:dyDescent="0.35">
      <c r="A207" s="33"/>
    </row>
    <row r="208" spans="1:1" x14ac:dyDescent="0.35">
      <c r="A208" s="33"/>
    </row>
    <row r="209" spans="1:1" x14ac:dyDescent="0.35">
      <c r="A209" s="33"/>
    </row>
    <row r="210" spans="1:1" x14ac:dyDescent="0.35">
      <c r="A210" s="33"/>
    </row>
    <row r="211" spans="1:1" x14ac:dyDescent="0.35">
      <c r="A211" s="33"/>
    </row>
    <row r="212" spans="1:1" x14ac:dyDescent="0.35">
      <c r="A212" s="33"/>
    </row>
    <row r="213" spans="1:1" x14ac:dyDescent="0.35">
      <c r="A213" s="33"/>
    </row>
    <row r="214" spans="1:1" x14ac:dyDescent="0.35">
      <c r="A214" s="33"/>
    </row>
    <row r="215" spans="1:1" x14ac:dyDescent="0.35">
      <c r="A215" s="33"/>
    </row>
    <row r="216" spans="1:1" x14ac:dyDescent="0.35">
      <c r="A216" s="33"/>
    </row>
    <row r="217" spans="1:1" x14ac:dyDescent="0.35">
      <c r="A217" s="33"/>
    </row>
    <row r="218" spans="1:1" x14ac:dyDescent="0.35">
      <c r="A218" s="33"/>
    </row>
    <row r="219" spans="1:1" x14ac:dyDescent="0.35">
      <c r="A219" s="33"/>
    </row>
    <row r="220" spans="1:1" x14ac:dyDescent="0.35">
      <c r="A220" s="33"/>
    </row>
    <row r="221" spans="1:1" x14ac:dyDescent="0.35">
      <c r="A221" s="33"/>
    </row>
    <row r="222" spans="1:1" x14ac:dyDescent="0.35">
      <c r="A222" s="33"/>
    </row>
    <row r="223" spans="1:1" x14ac:dyDescent="0.35">
      <c r="A223" s="33"/>
    </row>
    <row r="224" spans="1:1" x14ac:dyDescent="0.35">
      <c r="A224" s="33"/>
    </row>
    <row r="225" spans="1:1" x14ac:dyDescent="0.35">
      <c r="A225" s="33"/>
    </row>
    <row r="226" spans="1:1" x14ac:dyDescent="0.35">
      <c r="A226" s="33"/>
    </row>
    <row r="227" spans="1:1" x14ac:dyDescent="0.35">
      <c r="A227" s="33"/>
    </row>
    <row r="228" spans="1:1" x14ac:dyDescent="0.35">
      <c r="A228" s="33"/>
    </row>
    <row r="229" spans="1:1" x14ac:dyDescent="0.35">
      <c r="A229" s="33"/>
    </row>
    <row r="230" spans="1:1" x14ac:dyDescent="0.35">
      <c r="A230" s="33"/>
    </row>
    <row r="231" spans="1:1" x14ac:dyDescent="0.35">
      <c r="A231" s="33"/>
    </row>
    <row r="232" spans="1:1" x14ac:dyDescent="0.35">
      <c r="A232" s="33"/>
    </row>
    <row r="233" spans="1:1" x14ac:dyDescent="0.35">
      <c r="A233" s="33"/>
    </row>
    <row r="234" spans="1:1" x14ac:dyDescent="0.35">
      <c r="A234" s="33"/>
    </row>
    <row r="235" spans="1:1" x14ac:dyDescent="0.35">
      <c r="A235" s="33"/>
    </row>
    <row r="236" spans="1:1" x14ac:dyDescent="0.35">
      <c r="A236" s="33"/>
    </row>
    <row r="237" spans="1:1" x14ac:dyDescent="0.35">
      <c r="A237" s="33"/>
    </row>
    <row r="238" spans="1:1" x14ac:dyDescent="0.35">
      <c r="A238" s="33"/>
    </row>
    <row r="239" spans="1:1" x14ac:dyDescent="0.35">
      <c r="A239" s="33"/>
    </row>
    <row r="240" spans="1:1" x14ac:dyDescent="0.35">
      <c r="A240" s="33"/>
    </row>
    <row r="241" spans="1:1" x14ac:dyDescent="0.35">
      <c r="A241" s="33"/>
    </row>
    <row r="242" spans="1:1" x14ac:dyDescent="0.35">
      <c r="A242" s="33"/>
    </row>
    <row r="243" spans="1:1" x14ac:dyDescent="0.35">
      <c r="A243" s="33"/>
    </row>
    <row r="244" spans="1:1" x14ac:dyDescent="0.35">
      <c r="A244" s="33"/>
    </row>
    <row r="245" spans="1:1" x14ac:dyDescent="0.35">
      <c r="A245" s="33"/>
    </row>
    <row r="246" spans="1:1" x14ac:dyDescent="0.35">
      <c r="A246" s="33"/>
    </row>
    <row r="247" spans="1:1" x14ac:dyDescent="0.35">
      <c r="A247" s="33"/>
    </row>
    <row r="248" spans="1:1" x14ac:dyDescent="0.35">
      <c r="A248" s="33"/>
    </row>
    <row r="249" spans="1:1" x14ac:dyDescent="0.35">
      <c r="A249" s="33"/>
    </row>
    <row r="250" spans="1:1" x14ac:dyDescent="0.35">
      <c r="A250" s="33"/>
    </row>
    <row r="251" spans="1:1" x14ac:dyDescent="0.35">
      <c r="A251" s="33"/>
    </row>
    <row r="252" spans="1:1" x14ac:dyDescent="0.35">
      <c r="A252" s="33"/>
    </row>
    <row r="253" spans="1:1" x14ac:dyDescent="0.35">
      <c r="A253" s="33"/>
    </row>
    <row r="254" spans="1:1" x14ac:dyDescent="0.35">
      <c r="A254" s="33"/>
    </row>
    <row r="255" spans="1:1" x14ac:dyDescent="0.35">
      <c r="A255" s="33"/>
    </row>
    <row r="256" spans="1:1" x14ac:dyDescent="0.35">
      <c r="A256" s="33"/>
    </row>
    <row r="257" spans="1:1" x14ac:dyDescent="0.35">
      <c r="A257" s="33"/>
    </row>
    <row r="258" spans="1:1" x14ac:dyDescent="0.35">
      <c r="A258" s="33"/>
    </row>
    <row r="259" spans="1:1" x14ac:dyDescent="0.35">
      <c r="A259" s="33"/>
    </row>
    <row r="260" spans="1:1" x14ac:dyDescent="0.35">
      <c r="A260" s="33"/>
    </row>
    <row r="261" spans="1:1" x14ac:dyDescent="0.35">
      <c r="A261" s="33"/>
    </row>
    <row r="262" spans="1:1" x14ac:dyDescent="0.35">
      <c r="A262" s="33"/>
    </row>
    <row r="263" spans="1:1" x14ac:dyDescent="0.35">
      <c r="A263" s="33"/>
    </row>
    <row r="264" spans="1:1" x14ac:dyDescent="0.35">
      <c r="A264" s="33"/>
    </row>
    <row r="265" spans="1:1" x14ac:dyDescent="0.35">
      <c r="A265" s="33"/>
    </row>
    <row r="266" spans="1:1" x14ac:dyDescent="0.35">
      <c r="A266" s="33"/>
    </row>
    <row r="267" spans="1:1" x14ac:dyDescent="0.35">
      <c r="A267" s="33"/>
    </row>
    <row r="268" spans="1:1" x14ac:dyDescent="0.35">
      <c r="A268" s="33"/>
    </row>
    <row r="269" spans="1:1" x14ac:dyDescent="0.35">
      <c r="A269" s="33"/>
    </row>
    <row r="270" spans="1:1" x14ac:dyDescent="0.35">
      <c r="A270" s="33"/>
    </row>
    <row r="271" spans="1:1" x14ac:dyDescent="0.35">
      <c r="A271" s="33"/>
    </row>
    <row r="272" spans="1:1" x14ac:dyDescent="0.35">
      <c r="A272" s="33"/>
    </row>
    <row r="273" spans="1:1" x14ac:dyDescent="0.35">
      <c r="A273" s="33"/>
    </row>
    <row r="274" spans="1:1" x14ac:dyDescent="0.35">
      <c r="A274" s="33"/>
    </row>
    <row r="275" spans="1:1" x14ac:dyDescent="0.35">
      <c r="A275" s="33"/>
    </row>
    <row r="276" spans="1:1" x14ac:dyDescent="0.35">
      <c r="A276" s="33"/>
    </row>
    <row r="277" spans="1:1" x14ac:dyDescent="0.35">
      <c r="A277" s="33"/>
    </row>
    <row r="278" spans="1:1" x14ac:dyDescent="0.35">
      <c r="A278" s="33"/>
    </row>
    <row r="279" spans="1:1" x14ac:dyDescent="0.35">
      <c r="A279" s="33"/>
    </row>
    <row r="280" spans="1:1" x14ac:dyDescent="0.35">
      <c r="A280" s="33"/>
    </row>
    <row r="281" spans="1:1" x14ac:dyDescent="0.35">
      <c r="A281" s="33"/>
    </row>
    <row r="282" spans="1:1" x14ac:dyDescent="0.35">
      <c r="A282" s="33"/>
    </row>
    <row r="283" spans="1:1" x14ac:dyDescent="0.35">
      <c r="A283" s="33"/>
    </row>
    <row r="284" spans="1:1" x14ac:dyDescent="0.35">
      <c r="A284" s="33"/>
    </row>
    <row r="285" spans="1:1" x14ac:dyDescent="0.35">
      <c r="A285" s="33"/>
    </row>
    <row r="286" spans="1:1" x14ac:dyDescent="0.35">
      <c r="A286" s="33"/>
    </row>
    <row r="287" spans="1:1" x14ac:dyDescent="0.35">
      <c r="A287" s="33"/>
    </row>
    <row r="288" spans="1:1" x14ac:dyDescent="0.35">
      <c r="A288" s="33"/>
    </row>
    <row r="289" spans="1:1" x14ac:dyDescent="0.35">
      <c r="A289" s="33"/>
    </row>
    <row r="290" spans="1:1" x14ac:dyDescent="0.35">
      <c r="A290" s="33"/>
    </row>
    <row r="291" spans="1:1" x14ac:dyDescent="0.35">
      <c r="A291" s="33"/>
    </row>
    <row r="292" spans="1:1" x14ac:dyDescent="0.35">
      <c r="A292" s="33"/>
    </row>
    <row r="293" spans="1:1" x14ac:dyDescent="0.35">
      <c r="A293" s="33"/>
    </row>
    <row r="294" spans="1:1" x14ac:dyDescent="0.35">
      <c r="A294" s="33"/>
    </row>
    <row r="295" spans="1:1" x14ac:dyDescent="0.35">
      <c r="A295" s="33"/>
    </row>
    <row r="296" spans="1:1" x14ac:dyDescent="0.35">
      <c r="A296" s="33"/>
    </row>
    <row r="297" spans="1:1" x14ac:dyDescent="0.35">
      <c r="A297" s="33"/>
    </row>
    <row r="298" spans="1:1" x14ac:dyDescent="0.35">
      <c r="A298" s="33"/>
    </row>
    <row r="299" spans="1:1" x14ac:dyDescent="0.35">
      <c r="A299" s="33"/>
    </row>
    <row r="300" spans="1:1" x14ac:dyDescent="0.35">
      <c r="A300" s="33"/>
    </row>
    <row r="301" spans="1:1" x14ac:dyDescent="0.35">
      <c r="A301" s="33"/>
    </row>
    <row r="302" spans="1:1" x14ac:dyDescent="0.35">
      <c r="A302" s="33"/>
    </row>
    <row r="303" spans="1:1" x14ac:dyDescent="0.35">
      <c r="A303" s="33"/>
    </row>
    <row r="304" spans="1:1" x14ac:dyDescent="0.35">
      <c r="A304" s="33"/>
    </row>
    <row r="305" spans="1:1" x14ac:dyDescent="0.35">
      <c r="A305" s="33"/>
    </row>
    <row r="306" spans="1:1" x14ac:dyDescent="0.35">
      <c r="A306" s="33"/>
    </row>
    <row r="307" spans="1:1" x14ac:dyDescent="0.35">
      <c r="A307" s="33"/>
    </row>
    <row r="308" spans="1:1" x14ac:dyDescent="0.35">
      <c r="A308" s="33"/>
    </row>
    <row r="309" spans="1:1" x14ac:dyDescent="0.35">
      <c r="A309" s="33"/>
    </row>
    <row r="310" spans="1:1" x14ac:dyDescent="0.35">
      <c r="A310" s="33"/>
    </row>
    <row r="311" spans="1:1" x14ac:dyDescent="0.35">
      <c r="A311" s="33"/>
    </row>
    <row r="312" spans="1:1" x14ac:dyDescent="0.35">
      <c r="A312" s="33"/>
    </row>
    <row r="313" spans="1:1" x14ac:dyDescent="0.35">
      <c r="A313" s="33"/>
    </row>
    <row r="314" spans="1:1" x14ac:dyDescent="0.35">
      <c r="A314" s="33"/>
    </row>
    <row r="315" spans="1:1" x14ac:dyDescent="0.35">
      <c r="A315" s="33"/>
    </row>
    <row r="316" spans="1:1" x14ac:dyDescent="0.35">
      <c r="A316" s="33"/>
    </row>
    <row r="317" spans="1:1" x14ac:dyDescent="0.35">
      <c r="A317" s="33"/>
    </row>
    <row r="318" spans="1:1" x14ac:dyDescent="0.35">
      <c r="A318" s="33"/>
    </row>
    <row r="319" spans="1:1" x14ac:dyDescent="0.35">
      <c r="A319" s="33"/>
    </row>
    <row r="320" spans="1:1" x14ac:dyDescent="0.35">
      <c r="A320" s="33"/>
    </row>
    <row r="321" spans="1:1" x14ac:dyDescent="0.35">
      <c r="A321" s="33"/>
    </row>
    <row r="322" spans="1:1" x14ac:dyDescent="0.35">
      <c r="A322" s="33"/>
    </row>
    <row r="323" spans="1:1" x14ac:dyDescent="0.35">
      <c r="A323" s="33"/>
    </row>
    <row r="324" spans="1:1" x14ac:dyDescent="0.35">
      <c r="A324" s="33"/>
    </row>
    <row r="325" spans="1:1" x14ac:dyDescent="0.35">
      <c r="A325" s="33"/>
    </row>
    <row r="326" spans="1:1" x14ac:dyDescent="0.35">
      <c r="A326" s="33"/>
    </row>
    <row r="327" spans="1:1" x14ac:dyDescent="0.35">
      <c r="A327" s="33"/>
    </row>
    <row r="328" spans="1:1" x14ac:dyDescent="0.35">
      <c r="A328" s="33"/>
    </row>
    <row r="329" spans="1:1" x14ac:dyDescent="0.35">
      <c r="A329" s="33"/>
    </row>
    <row r="330" spans="1:1" x14ac:dyDescent="0.35">
      <c r="A330" s="33"/>
    </row>
    <row r="331" spans="1:1" x14ac:dyDescent="0.35">
      <c r="A331" s="33"/>
    </row>
    <row r="332" spans="1:1" x14ac:dyDescent="0.35">
      <c r="A332" s="33"/>
    </row>
    <row r="333" spans="1:1" x14ac:dyDescent="0.35">
      <c r="A333" s="33"/>
    </row>
    <row r="334" spans="1:1" x14ac:dyDescent="0.35">
      <c r="A334" s="33"/>
    </row>
    <row r="335" spans="1:1" x14ac:dyDescent="0.35">
      <c r="A335" s="33"/>
    </row>
    <row r="336" spans="1:1" x14ac:dyDescent="0.35">
      <c r="A336" s="33"/>
    </row>
    <row r="337" spans="1:1" x14ac:dyDescent="0.35">
      <c r="A337" s="33"/>
    </row>
    <row r="338" spans="1:1" x14ac:dyDescent="0.35">
      <c r="A338" s="33"/>
    </row>
    <row r="339" spans="1:1" x14ac:dyDescent="0.35">
      <c r="A339" s="33"/>
    </row>
    <row r="340" spans="1:1" x14ac:dyDescent="0.35">
      <c r="A340" s="33"/>
    </row>
    <row r="341" spans="1:1" x14ac:dyDescent="0.35">
      <c r="A341" s="33"/>
    </row>
    <row r="342" spans="1:1" x14ac:dyDescent="0.35">
      <c r="A342" s="33"/>
    </row>
    <row r="343" spans="1:1" x14ac:dyDescent="0.35">
      <c r="A343" s="33"/>
    </row>
    <row r="344" spans="1:1" x14ac:dyDescent="0.35">
      <c r="A344" s="33"/>
    </row>
    <row r="345" spans="1:1" x14ac:dyDescent="0.35">
      <c r="A345" s="33"/>
    </row>
    <row r="346" spans="1:1" x14ac:dyDescent="0.35">
      <c r="A346" s="33"/>
    </row>
    <row r="347" spans="1:1" x14ac:dyDescent="0.35">
      <c r="A347" s="33"/>
    </row>
    <row r="348" spans="1:1" x14ac:dyDescent="0.35">
      <c r="A348" s="33"/>
    </row>
    <row r="349" spans="1:1" x14ac:dyDescent="0.35">
      <c r="A349" s="33"/>
    </row>
    <row r="350" spans="1:1" x14ac:dyDescent="0.35">
      <c r="A350" s="33"/>
    </row>
    <row r="351" spans="1:1" x14ac:dyDescent="0.35">
      <c r="A351" s="33"/>
    </row>
    <row r="352" spans="1:1" x14ac:dyDescent="0.35">
      <c r="A352" s="33"/>
    </row>
    <row r="353" spans="1:1" x14ac:dyDescent="0.35">
      <c r="A353" s="33"/>
    </row>
    <row r="354" spans="1:1" x14ac:dyDescent="0.35">
      <c r="A354" s="33"/>
    </row>
    <row r="355" spans="1:1" x14ac:dyDescent="0.35">
      <c r="A355" s="33"/>
    </row>
    <row r="356" spans="1:1" x14ac:dyDescent="0.35">
      <c r="A356" s="33"/>
    </row>
    <row r="357" spans="1:1" x14ac:dyDescent="0.35">
      <c r="A357" s="33"/>
    </row>
    <row r="358" spans="1:1" x14ac:dyDescent="0.35">
      <c r="A358" s="33"/>
    </row>
    <row r="359" spans="1:1" x14ac:dyDescent="0.35">
      <c r="A359" s="33"/>
    </row>
    <row r="360" spans="1:1" x14ac:dyDescent="0.35">
      <c r="A360" s="33"/>
    </row>
    <row r="361" spans="1:1" x14ac:dyDescent="0.35">
      <c r="A361" s="33"/>
    </row>
    <row r="362" spans="1:1" x14ac:dyDescent="0.35">
      <c r="A362" s="33"/>
    </row>
    <row r="363" spans="1:1" x14ac:dyDescent="0.35">
      <c r="A363" s="33"/>
    </row>
    <row r="364" spans="1:1" x14ac:dyDescent="0.35">
      <c r="A364" s="33"/>
    </row>
    <row r="365" spans="1:1" x14ac:dyDescent="0.35">
      <c r="A365" s="33"/>
    </row>
    <row r="366" spans="1:1" x14ac:dyDescent="0.35">
      <c r="A366" s="33"/>
    </row>
    <row r="367" spans="1:1" x14ac:dyDescent="0.35">
      <c r="A367" s="33"/>
    </row>
    <row r="368" spans="1:1" x14ac:dyDescent="0.35">
      <c r="A368" s="33"/>
    </row>
    <row r="369" spans="1:1" x14ac:dyDescent="0.35">
      <c r="A369" s="33"/>
    </row>
    <row r="370" spans="1:1" x14ac:dyDescent="0.35">
      <c r="A370" s="33"/>
    </row>
    <row r="371" spans="1:1" x14ac:dyDescent="0.35">
      <c r="A371" s="33"/>
    </row>
    <row r="372" spans="1:1" x14ac:dyDescent="0.35">
      <c r="A372" s="33"/>
    </row>
    <row r="373" spans="1:1" x14ac:dyDescent="0.35">
      <c r="A373" s="33"/>
    </row>
    <row r="374" spans="1:1" x14ac:dyDescent="0.35">
      <c r="A374" s="33"/>
    </row>
    <row r="375" spans="1:1" x14ac:dyDescent="0.35">
      <c r="A375" s="33"/>
    </row>
    <row r="376" spans="1:1" x14ac:dyDescent="0.35">
      <c r="A376" s="33"/>
    </row>
    <row r="377" spans="1:1" x14ac:dyDescent="0.35">
      <c r="A377" s="33"/>
    </row>
    <row r="378" spans="1:1" x14ac:dyDescent="0.35">
      <c r="A378" s="33"/>
    </row>
    <row r="379" spans="1:1" x14ac:dyDescent="0.35">
      <c r="A379" s="33"/>
    </row>
    <row r="380" spans="1:1" x14ac:dyDescent="0.35">
      <c r="A380" s="33"/>
    </row>
    <row r="381" spans="1:1" x14ac:dyDescent="0.35">
      <c r="A381" s="33"/>
    </row>
    <row r="382" spans="1:1" x14ac:dyDescent="0.35">
      <c r="A382" s="33"/>
    </row>
    <row r="383" spans="1:1" x14ac:dyDescent="0.35">
      <c r="A383" s="33"/>
    </row>
    <row r="384" spans="1:1" x14ac:dyDescent="0.35">
      <c r="A384" s="33"/>
    </row>
    <row r="385" spans="1:1" x14ac:dyDescent="0.35">
      <c r="A385" s="33"/>
    </row>
    <row r="386" spans="1:1" x14ac:dyDescent="0.35">
      <c r="A386" s="33"/>
    </row>
    <row r="387" spans="1:1" x14ac:dyDescent="0.35">
      <c r="A387" s="33"/>
    </row>
    <row r="388" spans="1:1" x14ac:dyDescent="0.35">
      <c r="A388" s="33"/>
    </row>
    <row r="389" spans="1:1" x14ac:dyDescent="0.35">
      <c r="A389" s="33"/>
    </row>
    <row r="390" spans="1:1" x14ac:dyDescent="0.35">
      <c r="A390" s="33"/>
    </row>
    <row r="391" spans="1:1" x14ac:dyDescent="0.35">
      <c r="A391" s="33"/>
    </row>
    <row r="392" spans="1:1" x14ac:dyDescent="0.35">
      <c r="A392" s="33"/>
    </row>
    <row r="393" spans="1:1" x14ac:dyDescent="0.35">
      <c r="A393" s="33"/>
    </row>
    <row r="394" spans="1:1" x14ac:dyDescent="0.35">
      <c r="A394" s="33"/>
    </row>
    <row r="395" spans="1:1" x14ac:dyDescent="0.35">
      <c r="A395" s="33"/>
    </row>
    <row r="396" spans="1:1" x14ac:dyDescent="0.35">
      <c r="A396" s="33"/>
    </row>
    <row r="397" spans="1:1" x14ac:dyDescent="0.35">
      <c r="A397" s="33"/>
    </row>
    <row r="398" spans="1:1" x14ac:dyDescent="0.35">
      <c r="A398" s="33"/>
    </row>
    <row r="399" spans="1:1" x14ac:dyDescent="0.35">
      <c r="A399" s="33"/>
    </row>
    <row r="400" spans="1:1" x14ac:dyDescent="0.35">
      <c r="A400" s="33"/>
    </row>
    <row r="401" spans="1:1" x14ac:dyDescent="0.35">
      <c r="A401" s="33"/>
    </row>
    <row r="402" spans="1:1" x14ac:dyDescent="0.35">
      <c r="A402" s="33"/>
    </row>
    <row r="403" spans="1:1" x14ac:dyDescent="0.35">
      <c r="A403" s="33"/>
    </row>
    <row r="404" spans="1:1" x14ac:dyDescent="0.35">
      <c r="A404" s="33"/>
    </row>
    <row r="405" spans="1:1" x14ac:dyDescent="0.35">
      <c r="A405" s="33"/>
    </row>
    <row r="406" spans="1:1" x14ac:dyDescent="0.35">
      <c r="A406" s="33"/>
    </row>
    <row r="407" spans="1:1" x14ac:dyDescent="0.35">
      <c r="A407" s="33"/>
    </row>
    <row r="408" spans="1:1" x14ac:dyDescent="0.35">
      <c r="A408" s="33"/>
    </row>
    <row r="409" spans="1:1" x14ac:dyDescent="0.35">
      <c r="A409" s="33"/>
    </row>
    <row r="410" spans="1:1" x14ac:dyDescent="0.35">
      <c r="A410" s="33"/>
    </row>
    <row r="411" spans="1:1" x14ac:dyDescent="0.35">
      <c r="A411" s="33"/>
    </row>
    <row r="412" spans="1:1" x14ac:dyDescent="0.35">
      <c r="A412" s="33"/>
    </row>
    <row r="413" spans="1:1" x14ac:dyDescent="0.35">
      <c r="A413" s="33"/>
    </row>
    <row r="414" spans="1:1" x14ac:dyDescent="0.35">
      <c r="A414" s="33"/>
    </row>
    <row r="415" spans="1:1" x14ac:dyDescent="0.35">
      <c r="A415" s="33"/>
    </row>
    <row r="416" spans="1:1" x14ac:dyDescent="0.35">
      <c r="A416" s="33"/>
    </row>
    <row r="417" spans="1:1" x14ac:dyDescent="0.35">
      <c r="A417" s="33"/>
    </row>
    <row r="418" spans="1:1" x14ac:dyDescent="0.35">
      <c r="A418" s="33"/>
    </row>
    <row r="419" spans="1:1" x14ac:dyDescent="0.35">
      <c r="A419" s="33"/>
    </row>
    <row r="420" spans="1:1" x14ac:dyDescent="0.35">
      <c r="A420" s="33"/>
    </row>
    <row r="421" spans="1:1" x14ac:dyDescent="0.35">
      <c r="A421" s="33"/>
    </row>
    <row r="422" spans="1:1" x14ac:dyDescent="0.35">
      <c r="A422" s="33"/>
    </row>
    <row r="423" spans="1:1" x14ac:dyDescent="0.35">
      <c r="A423" s="33"/>
    </row>
    <row r="424" spans="1:1" x14ac:dyDescent="0.35">
      <c r="A424" s="33"/>
    </row>
    <row r="425" spans="1:1" x14ac:dyDescent="0.35">
      <c r="A425" s="33"/>
    </row>
    <row r="426" spans="1:1" x14ac:dyDescent="0.35">
      <c r="A426" s="33"/>
    </row>
    <row r="427" spans="1:1" x14ac:dyDescent="0.35">
      <c r="A427" s="33"/>
    </row>
    <row r="428" spans="1:1" x14ac:dyDescent="0.35">
      <c r="A428" s="33"/>
    </row>
    <row r="429" spans="1:1" x14ac:dyDescent="0.35">
      <c r="A429" s="33"/>
    </row>
    <row r="430" spans="1:1" x14ac:dyDescent="0.35">
      <c r="A430" s="33"/>
    </row>
    <row r="431" spans="1:1" x14ac:dyDescent="0.35">
      <c r="A431" s="33"/>
    </row>
    <row r="432" spans="1:1" x14ac:dyDescent="0.35">
      <c r="A432" s="33"/>
    </row>
    <row r="433" spans="1:1" x14ac:dyDescent="0.35">
      <c r="A433" s="33"/>
    </row>
    <row r="434" spans="1:1" x14ac:dyDescent="0.35">
      <c r="A434" s="33"/>
    </row>
    <row r="435" spans="1:1" x14ac:dyDescent="0.35">
      <c r="A435" s="33"/>
    </row>
    <row r="436" spans="1:1" x14ac:dyDescent="0.35">
      <c r="A436" s="33"/>
    </row>
    <row r="437" spans="1:1" x14ac:dyDescent="0.35">
      <c r="A437" s="33"/>
    </row>
    <row r="438" spans="1:1" x14ac:dyDescent="0.35">
      <c r="A438" s="33"/>
    </row>
    <row r="439" spans="1:1" x14ac:dyDescent="0.35">
      <c r="A439" s="33"/>
    </row>
    <row r="440" spans="1:1" x14ac:dyDescent="0.35">
      <c r="A440" s="33"/>
    </row>
    <row r="441" spans="1:1" x14ac:dyDescent="0.35">
      <c r="A441" s="33"/>
    </row>
    <row r="442" spans="1:1" x14ac:dyDescent="0.35">
      <c r="A442" s="33"/>
    </row>
    <row r="443" spans="1:1" x14ac:dyDescent="0.35">
      <c r="A443" s="33"/>
    </row>
    <row r="444" spans="1:1" x14ac:dyDescent="0.35">
      <c r="A444" s="33"/>
    </row>
    <row r="445" spans="1:1" x14ac:dyDescent="0.35">
      <c r="A445" s="33"/>
    </row>
    <row r="446" spans="1:1" x14ac:dyDescent="0.35">
      <c r="A446" s="33"/>
    </row>
    <row r="447" spans="1:1" x14ac:dyDescent="0.35">
      <c r="A447" s="33"/>
    </row>
    <row r="448" spans="1:1" x14ac:dyDescent="0.35">
      <c r="A448" s="33"/>
    </row>
    <row r="449" spans="1:1" x14ac:dyDescent="0.35">
      <c r="A449" s="33"/>
    </row>
    <row r="450" spans="1:1" x14ac:dyDescent="0.35">
      <c r="A450" s="33"/>
    </row>
    <row r="451" spans="1:1" x14ac:dyDescent="0.35">
      <c r="A451" s="33"/>
    </row>
    <row r="452" spans="1:1" x14ac:dyDescent="0.35">
      <c r="A452" s="33"/>
    </row>
    <row r="453" spans="1:1" x14ac:dyDescent="0.35">
      <c r="A453" s="33"/>
    </row>
    <row r="454" spans="1:1" x14ac:dyDescent="0.35">
      <c r="A454" s="33"/>
    </row>
    <row r="455" spans="1:1" x14ac:dyDescent="0.35">
      <c r="A455" s="33"/>
    </row>
    <row r="456" spans="1:1" x14ac:dyDescent="0.35">
      <c r="A456" s="33"/>
    </row>
    <row r="457" spans="1:1" x14ac:dyDescent="0.35">
      <c r="A457" s="33"/>
    </row>
    <row r="458" spans="1:1" x14ac:dyDescent="0.35">
      <c r="A458" s="33"/>
    </row>
    <row r="459" spans="1:1" x14ac:dyDescent="0.35">
      <c r="A459" s="33"/>
    </row>
    <row r="460" spans="1:1" x14ac:dyDescent="0.35">
      <c r="A460" s="33"/>
    </row>
    <row r="461" spans="1:1" x14ac:dyDescent="0.35">
      <c r="A461" s="33"/>
    </row>
    <row r="462" spans="1:1" x14ac:dyDescent="0.35">
      <c r="A462" s="33"/>
    </row>
    <row r="463" spans="1:1" x14ac:dyDescent="0.35">
      <c r="A463" s="33"/>
    </row>
    <row r="464" spans="1:1" x14ac:dyDescent="0.35">
      <c r="A464" s="33"/>
    </row>
    <row r="465" spans="1:1" x14ac:dyDescent="0.35">
      <c r="A465" s="33"/>
    </row>
    <row r="466" spans="1:1" x14ac:dyDescent="0.35">
      <c r="A466" s="33"/>
    </row>
    <row r="467" spans="1:1" x14ac:dyDescent="0.35">
      <c r="A467" s="33"/>
    </row>
    <row r="468" spans="1:1" x14ac:dyDescent="0.35">
      <c r="A468" s="33"/>
    </row>
    <row r="469" spans="1:1" x14ac:dyDescent="0.35">
      <c r="A469" s="33"/>
    </row>
    <row r="470" spans="1:1" x14ac:dyDescent="0.35">
      <c r="A470" s="33"/>
    </row>
    <row r="471" spans="1:1" x14ac:dyDescent="0.35">
      <c r="A471" s="33"/>
    </row>
    <row r="472" spans="1:1" x14ac:dyDescent="0.35">
      <c r="A472" s="33"/>
    </row>
    <row r="473" spans="1:1" x14ac:dyDescent="0.35">
      <c r="A473" s="33"/>
    </row>
    <row r="474" spans="1:1" x14ac:dyDescent="0.35">
      <c r="A474" s="33"/>
    </row>
    <row r="475" spans="1:1" x14ac:dyDescent="0.35">
      <c r="A475" s="33"/>
    </row>
    <row r="476" spans="1:1" x14ac:dyDescent="0.35">
      <c r="A476" s="33"/>
    </row>
    <row r="477" spans="1:1" x14ac:dyDescent="0.35">
      <c r="A477" s="33"/>
    </row>
    <row r="478" spans="1:1" x14ac:dyDescent="0.35">
      <c r="A478" s="33"/>
    </row>
    <row r="479" spans="1:1" x14ac:dyDescent="0.35">
      <c r="A479" s="33"/>
    </row>
    <row r="480" spans="1:1" x14ac:dyDescent="0.35">
      <c r="A480" s="33"/>
    </row>
    <row r="481" spans="1:1" x14ac:dyDescent="0.35">
      <c r="A481" s="33"/>
    </row>
    <row r="482" spans="1:1" x14ac:dyDescent="0.35">
      <c r="A482" s="33"/>
    </row>
    <row r="483" spans="1:1" x14ac:dyDescent="0.35">
      <c r="A483" s="33"/>
    </row>
    <row r="484" spans="1:1" x14ac:dyDescent="0.35">
      <c r="A484" s="33"/>
    </row>
    <row r="485" spans="1:1" x14ac:dyDescent="0.35">
      <c r="A485" s="33"/>
    </row>
    <row r="486" spans="1:1" x14ac:dyDescent="0.35">
      <c r="A486" s="33"/>
    </row>
    <row r="487" spans="1:1" x14ac:dyDescent="0.35">
      <c r="A487" s="33"/>
    </row>
    <row r="488" spans="1:1" x14ac:dyDescent="0.35">
      <c r="A488" s="33"/>
    </row>
    <row r="489" spans="1:1" x14ac:dyDescent="0.35">
      <c r="A489" s="33"/>
    </row>
    <row r="490" spans="1:1" x14ac:dyDescent="0.35">
      <c r="A490" s="33"/>
    </row>
    <row r="491" spans="1:1" x14ac:dyDescent="0.35">
      <c r="A491" s="33"/>
    </row>
    <row r="492" spans="1:1" x14ac:dyDescent="0.35">
      <c r="A492" s="33"/>
    </row>
    <row r="493" spans="1:1" x14ac:dyDescent="0.35">
      <c r="A493" s="33"/>
    </row>
    <row r="494" spans="1:1" x14ac:dyDescent="0.35">
      <c r="A494" s="33"/>
    </row>
    <row r="495" spans="1:1" x14ac:dyDescent="0.35">
      <c r="A495" s="33"/>
    </row>
    <row r="496" spans="1:1" x14ac:dyDescent="0.35">
      <c r="A496" s="33"/>
    </row>
    <row r="497" spans="1:1" x14ac:dyDescent="0.35">
      <c r="A497" s="33"/>
    </row>
    <row r="498" spans="1:1" x14ac:dyDescent="0.35">
      <c r="A498" s="33"/>
    </row>
    <row r="499" spans="1:1" x14ac:dyDescent="0.35">
      <c r="A499" s="33"/>
    </row>
    <row r="500" spans="1:1" x14ac:dyDescent="0.35">
      <c r="A500" s="33"/>
    </row>
    <row r="501" spans="1:1" x14ac:dyDescent="0.35">
      <c r="A501" s="33"/>
    </row>
    <row r="502" spans="1:1" x14ac:dyDescent="0.35">
      <c r="A502" s="33"/>
    </row>
    <row r="503" spans="1:1" x14ac:dyDescent="0.35">
      <c r="A503" s="33"/>
    </row>
    <row r="504" spans="1:1" x14ac:dyDescent="0.35">
      <c r="A504" s="33"/>
    </row>
    <row r="505" spans="1:1" x14ac:dyDescent="0.35">
      <c r="A505" s="33"/>
    </row>
    <row r="506" spans="1:1" x14ac:dyDescent="0.35">
      <c r="A506" s="33"/>
    </row>
    <row r="507" spans="1:1" x14ac:dyDescent="0.35">
      <c r="A507" s="33"/>
    </row>
    <row r="508" spans="1:1" x14ac:dyDescent="0.35">
      <c r="A508" s="33"/>
    </row>
    <row r="509" spans="1:1" x14ac:dyDescent="0.35">
      <c r="A509" s="33"/>
    </row>
    <row r="510" spans="1:1" x14ac:dyDescent="0.35">
      <c r="A510" s="33"/>
    </row>
    <row r="511" spans="1:1" x14ac:dyDescent="0.35">
      <c r="A511" s="33"/>
    </row>
    <row r="512" spans="1:1" x14ac:dyDescent="0.35">
      <c r="A512" s="33"/>
    </row>
    <row r="513" spans="1:1" x14ac:dyDescent="0.35">
      <c r="A513" s="33"/>
    </row>
    <row r="514" spans="1:1" x14ac:dyDescent="0.35">
      <c r="A514" s="33"/>
    </row>
    <row r="515" spans="1:1" x14ac:dyDescent="0.35">
      <c r="A515" s="33"/>
    </row>
    <row r="516" spans="1:1" x14ac:dyDescent="0.35">
      <c r="A516" s="33"/>
    </row>
    <row r="517" spans="1:1" x14ac:dyDescent="0.35">
      <c r="A517" s="33"/>
    </row>
    <row r="518" spans="1:1" x14ac:dyDescent="0.35">
      <c r="A518" s="33"/>
    </row>
    <row r="519" spans="1:1" x14ac:dyDescent="0.35">
      <c r="A519" s="33"/>
    </row>
    <row r="520" spans="1:1" x14ac:dyDescent="0.35">
      <c r="A520" s="33"/>
    </row>
    <row r="521" spans="1:1" x14ac:dyDescent="0.35">
      <c r="A521" s="33"/>
    </row>
    <row r="522" spans="1:1" x14ac:dyDescent="0.35">
      <c r="A522" s="33"/>
    </row>
    <row r="523" spans="1:1" x14ac:dyDescent="0.35">
      <c r="A523" s="33"/>
    </row>
    <row r="524" spans="1:1" x14ac:dyDescent="0.35">
      <c r="A524" s="33"/>
    </row>
    <row r="525" spans="1:1" x14ac:dyDescent="0.35">
      <c r="A525" s="33"/>
    </row>
    <row r="526" spans="1:1" x14ac:dyDescent="0.35">
      <c r="A526" s="33"/>
    </row>
    <row r="527" spans="1:1" x14ac:dyDescent="0.35">
      <c r="A527" s="33"/>
    </row>
    <row r="528" spans="1:1" x14ac:dyDescent="0.35">
      <c r="A528" s="33"/>
    </row>
    <row r="529" spans="1:1" x14ac:dyDescent="0.35">
      <c r="A529" s="33"/>
    </row>
    <row r="530" spans="1:1" x14ac:dyDescent="0.35">
      <c r="A530" s="33"/>
    </row>
    <row r="531" spans="1:1" x14ac:dyDescent="0.35">
      <c r="A531" s="33"/>
    </row>
    <row r="532" spans="1:1" x14ac:dyDescent="0.35">
      <c r="A532" s="33"/>
    </row>
    <row r="533" spans="1:1" x14ac:dyDescent="0.35">
      <c r="A533" s="33"/>
    </row>
    <row r="534" spans="1:1" x14ac:dyDescent="0.35">
      <c r="A534" s="33"/>
    </row>
    <row r="535" spans="1:1" x14ac:dyDescent="0.35">
      <c r="A535" s="33"/>
    </row>
    <row r="536" spans="1:1" x14ac:dyDescent="0.35">
      <c r="A536" s="33"/>
    </row>
    <row r="537" spans="1:1" x14ac:dyDescent="0.35">
      <c r="A537" s="33"/>
    </row>
    <row r="538" spans="1:1" x14ac:dyDescent="0.35">
      <c r="A538" s="33"/>
    </row>
    <row r="539" spans="1:1" x14ac:dyDescent="0.35">
      <c r="A539" s="33"/>
    </row>
    <row r="540" spans="1:1" x14ac:dyDescent="0.35">
      <c r="A540" s="33"/>
    </row>
    <row r="541" spans="1:1" x14ac:dyDescent="0.35">
      <c r="A541" s="33"/>
    </row>
    <row r="542" spans="1:1" x14ac:dyDescent="0.35">
      <c r="A542" s="33"/>
    </row>
    <row r="543" spans="1:1" x14ac:dyDescent="0.35">
      <c r="A543" s="33"/>
    </row>
    <row r="544" spans="1:1" x14ac:dyDescent="0.35">
      <c r="A544" s="33"/>
    </row>
    <row r="545" spans="1:1" x14ac:dyDescent="0.35">
      <c r="A545" s="33"/>
    </row>
    <row r="546" spans="1:1" x14ac:dyDescent="0.35">
      <c r="A546" s="33"/>
    </row>
    <row r="547" spans="1:1" x14ac:dyDescent="0.35">
      <c r="A547" s="33"/>
    </row>
    <row r="548" spans="1:1" x14ac:dyDescent="0.35">
      <c r="A548" s="33"/>
    </row>
    <row r="549" spans="1:1" x14ac:dyDescent="0.35">
      <c r="A549" s="33"/>
    </row>
    <row r="550" spans="1:1" x14ac:dyDescent="0.35">
      <c r="A550" s="33"/>
    </row>
    <row r="551" spans="1:1" x14ac:dyDescent="0.35">
      <c r="A551" s="33"/>
    </row>
    <row r="552" spans="1:1" x14ac:dyDescent="0.35">
      <c r="A552" s="33"/>
    </row>
    <row r="553" spans="1:1" x14ac:dyDescent="0.35">
      <c r="A553" s="33"/>
    </row>
    <row r="554" spans="1:1" x14ac:dyDescent="0.35">
      <c r="A554" s="33"/>
    </row>
    <row r="555" spans="1:1" x14ac:dyDescent="0.35">
      <c r="A555" s="33"/>
    </row>
    <row r="556" spans="1:1" x14ac:dyDescent="0.35">
      <c r="A556" s="33"/>
    </row>
    <row r="557" spans="1:1" x14ac:dyDescent="0.35">
      <c r="A557" s="33"/>
    </row>
    <row r="558" spans="1:1" x14ac:dyDescent="0.35">
      <c r="A558" s="33"/>
    </row>
    <row r="559" spans="1:1" x14ac:dyDescent="0.35">
      <c r="A559" s="33"/>
    </row>
    <row r="560" spans="1:1" x14ac:dyDescent="0.35">
      <c r="A560" s="33"/>
    </row>
    <row r="561" spans="1:1" x14ac:dyDescent="0.35">
      <c r="A561" s="33"/>
    </row>
    <row r="562" spans="1:1" x14ac:dyDescent="0.35">
      <c r="A562" s="33"/>
    </row>
    <row r="563" spans="1:1" x14ac:dyDescent="0.35">
      <c r="A563" s="33"/>
    </row>
    <row r="564" spans="1:1" x14ac:dyDescent="0.35">
      <c r="A564" s="33"/>
    </row>
    <row r="565" spans="1:1" x14ac:dyDescent="0.35">
      <c r="A565" s="33"/>
    </row>
    <row r="566" spans="1:1" x14ac:dyDescent="0.35">
      <c r="A566" s="33"/>
    </row>
    <row r="567" spans="1:1" x14ac:dyDescent="0.35">
      <c r="A567" s="33"/>
    </row>
    <row r="568" spans="1:1" x14ac:dyDescent="0.35">
      <c r="A568" s="33"/>
    </row>
    <row r="569" spans="1:1" x14ac:dyDescent="0.35">
      <c r="A569" s="33"/>
    </row>
    <row r="570" spans="1:1" x14ac:dyDescent="0.35">
      <c r="A570" s="33"/>
    </row>
    <row r="571" spans="1:1" x14ac:dyDescent="0.35">
      <c r="A571" s="33"/>
    </row>
    <row r="572" spans="1:1" x14ac:dyDescent="0.35">
      <c r="A572" s="33"/>
    </row>
    <row r="573" spans="1:1" x14ac:dyDescent="0.35">
      <c r="A573" s="33"/>
    </row>
    <row r="574" spans="1:1" x14ac:dyDescent="0.35">
      <c r="A574" s="33"/>
    </row>
    <row r="575" spans="1:1" x14ac:dyDescent="0.35">
      <c r="A575" s="33"/>
    </row>
    <row r="576" spans="1:1" x14ac:dyDescent="0.35">
      <c r="A576" s="33"/>
    </row>
    <row r="577" spans="1:1" x14ac:dyDescent="0.35">
      <c r="A577" s="33"/>
    </row>
    <row r="578" spans="1:1" x14ac:dyDescent="0.35">
      <c r="A578" s="33"/>
    </row>
    <row r="579" spans="1:1" x14ac:dyDescent="0.35">
      <c r="A579" s="33"/>
    </row>
    <row r="580" spans="1:1" x14ac:dyDescent="0.35">
      <c r="A580" s="33"/>
    </row>
    <row r="581" spans="1:1" x14ac:dyDescent="0.35">
      <c r="A581" s="33"/>
    </row>
    <row r="582" spans="1:1" x14ac:dyDescent="0.35">
      <c r="A582" s="33"/>
    </row>
    <row r="583" spans="1:1" x14ac:dyDescent="0.35">
      <c r="A583" s="33"/>
    </row>
    <row r="584" spans="1:1" x14ac:dyDescent="0.35">
      <c r="A584" s="33"/>
    </row>
    <row r="585" spans="1:1" x14ac:dyDescent="0.35">
      <c r="A585" s="33"/>
    </row>
    <row r="586" spans="1:1" x14ac:dyDescent="0.35">
      <c r="A586" s="33"/>
    </row>
    <row r="587" spans="1:1" x14ac:dyDescent="0.35">
      <c r="A587" s="33"/>
    </row>
    <row r="588" spans="1:1" x14ac:dyDescent="0.35">
      <c r="A588" s="33"/>
    </row>
    <row r="589" spans="1:1" x14ac:dyDescent="0.35">
      <c r="A589" s="33"/>
    </row>
    <row r="590" spans="1:1" x14ac:dyDescent="0.35">
      <c r="A590" s="33"/>
    </row>
    <row r="591" spans="1:1" x14ac:dyDescent="0.35">
      <c r="A591" s="33"/>
    </row>
    <row r="592" spans="1:1" x14ac:dyDescent="0.35">
      <c r="A592" s="33"/>
    </row>
    <row r="593" spans="1:1" x14ac:dyDescent="0.35">
      <c r="A593" s="33"/>
    </row>
    <row r="594" spans="1:1" x14ac:dyDescent="0.35">
      <c r="A594" s="33"/>
    </row>
    <row r="595" spans="1:1" x14ac:dyDescent="0.35">
      <c r="A595" s="33"/>
    </row>
    <row r="596" spans="1:1" x14ac:dyDescent="0.35">
      <c r="A596" s="33"/>
    </row>
    <row r="597" spans="1:1" x14ac:dyDescent="0.35">
      <c r="A597" s="33"/>
    </row>
    <row r="598" spans="1:1" x14ac:dyDescent="0.35">
      <c r="A598" s="33"/>
    </row>
    <row r="599" spans="1:1" x14ac:dyDescent="0.35">
      <c r="A599" s="33"/>
    </row>
    <row r="600" spans="1:1" x14ac:dyDescent="0.35">
      <c r="A600" s="33"/>
    </row>
    <row r="601" spans="1:1" x14ac:dyDescent="0.35">
      <c r="A601" s="33"/>
    </row>
    <row r="602" spans="1:1" x14ac:dyDescent="0.35">
      <c r="A602" s="33"/>
    </row>
    <row r="603" spans="1:1" x14ac:dyDescent="0.35">
      <c r="A603" s="33"/>
    </row>
    <row r="604" spans="1:1" x14ac:dyDescent="0.35">
      <c r="A604" s="33"/>
    </row>
    <row r="605" spans="1:1" x14ac:dyDescent="0.35">
      <c r="A605" s="33"/>
    </row>
    <row r="606" spans="1:1" x14ac:dyDescent="0.35">
      <c r="A606" s="33"/>
    </row>
    <row r="607" spans="1:1" x14ac:dyDescent="0.35">
      <c r="A607" s="33"/>
    </row>
    <row r="608" spans="1:1" x14ac:dyDescent="0.35">
      <c r="A608" s="33"/>
    </row>
    <row r="609" spans="1:1" x14ac:dyDescent="0.35">
      <c r="A609" s="33"/>
    </row>
    <row r="610" spans="1:1" x14ac:dyDescent="0.35">
      <c r="A610" s="33"/>
    </row>
    <row r="611" spans="1:1" x14ac:dyDescent="0.35">
      <c r="A611" s="33"/>
    </row>
    <row r="612" spans="1:1" x14ac:dyDescent="0.35">
      <c r="A612" s="33"/>
    </row>
    <row r="613" spans="1:1" x14ac:dyDescent="0.35">
      <c r="A613" s="33"/>
    </row>
    <row r="614" spans="1:1" x14ac:dyDescent="0.35">
      <c r="A614" s="33"/>
    </row>
    <row r="615" spans="1:1" x14ac:dyDescent="0.35">
      <c r="A615" s="33"/>
    </row>
    <row r="616" spans="1:1" x14ac:dyDescent="0.35">
      <c r="A616" s="33"/>
    </row>
    <row r="617" spans="1:1" x14ac:dyDescent="0.35">
      <c r="A617" s="33"/>
    </row>
    <row r="618" spans="1:1" x14ac:dyDescent="0.35">
      <c r="A618" s="33"/>
    </row>
    <row r="619" spans="1:1" x14ac:dyDescent="0.35">
      <c r="A619" s="33"/>
    </row>
    <row r="620" spans="1:1" x14ac:dyDescent="0.35">
      <c r="A620" s="33"/>
    </row>
    <row r="621" spans="1:1" x14ac:dyDescent="0.35">
      <c r="A621" s="33"/>
    </row>
    <row r="622" spans="1:1" x14ac:dyDescent="0.35">
      <c r="A622" s="33"/>
    </row>
    <row r="623" spans="1:1" x14ac:dyDescent="0.35">
      <c r="A623" s="33"/>
    </row>
    <row r="624" spans="1:1" x14ac:dyDescent="0.35">
      <c r="A624" s="33"/>
    </row>
    <row r="625" spans="1:1" x14ac:dyDescent="0.35">
      <c r="A625" s="33"/>
    </row>
    <row r="626" spans="1:1" x14ac:dyDescent="0.35">
      <c r="A626" s="33"/>
    </row>
    <row r="627" spans="1:1" x14ac:dyDescent="0.35">
      <c r="A627" s="33"/>
    </row>
    <row r="628" spans="1:1" x14ac:dyDescent="0.35">
      <c r="A628" s="33"/>
    </row>
    <row r="629" spans="1:1" x14ac:dyDescent="0.35">
      <c r="A629" s="33"/>
    </row>
    <row r="630" spans="1:1" x14ac:dyDescent="0.35">
      <c r="A630" s="33"/>
    </row>
    <row r="631" spans="1:1" x14ac:dyDescent="0.35">
      <c r="A631" s="33"/>
    </row>
    <row r="632" spans="1:1" x14ac:dyDescent="0.35">
      <c r="A632" s="33"/>
    </row>
    <row r="633" spans="1:1" x14ac:dyDescent="0.35">
      <c r="A633" s="33"/>
    </row>
    <row r="634" spans="1:1" x14ac:dyDescent="0.35">
      <c r="A634" s="33"/>
    </row>
    <row r="635" spans="1:1" x14ac:dyDescent="0.35">
      <c r="A635" s="33"/>
    </row>
    <row r="636" spans="1:1" x14ac:dyDescent="0.35">
      <c r="A636" s="33"/>
    </row>
    <row r="637" spans="1:1" x14ac:dyDescent="0.35">
      <c r="A637" s="33"/>
    </row>
    <row r="638" spans="1:1" x14ac:dyDescent="0.35">
      <c r="A638" s="33"/>
    </row>
    <row r="639" spans="1:1" x14ac:dyDescent="0.35">
      <c r="A639" s="33"/>
    </row>
    <row r="640" spans="1:1" x14ac:dyDescent="0.35">
      <c r="A640" s="33"/>
    </row>
    <row r="641" spans="1:1" x14ac:dyDescent="0.35">
      <c r="A641" s="33"/>
    </row>
    <row r="642" spans="1:1" x14ac:dyDescent="0.35">
      <c r="A642" s="33"/>
    </row>
    <row r="643" spans="1:1" x14ac:dyDescent="0.35">
      <c r="A643" s="33"/>
    </row>
    <row r="644" spans="1:1" x14ac:dyDescent="0.35">
      <c r="A644" s="33"/>
    </row>
    <row r="645" spans="1:1" x14ac:dyDescent="0.35">
      <c r="A645" s="33"/>
    </row>
    <row r="646" spans="1:1" x14ac:dyDescent="0.35">
      <c r="A646" s="33"/>
    </row>
    <row r="647" spans="1:1" x14ac:dyDescent="0.35">
      <c r="A647" s="33"/>
    </row>
    <row r="648" spans="1:1" x14ac:dyDescent="0.35">
      <c r="A648" s="33"/>
    </row>
    <row r="649" spans="1:1" x14ac:dyDescent="0.35">
      <c r="A649" s="33"/>
    </row>
    <row r="650" spans="1:1" x14ac:dyDescent="0.35">
      <c r="A650" s="33"/>
    </row>
    <row r="651" spans="1:1" x14ac:dyDescent="0.35">
      <c r="A651" s="33"/>
    </row>
    <row r="652" spans="1:1" x14ac:dyDescent="0.35">
      <c r="A652" s="33"/>
    </row>
    <row r="653" spans="1:1" x14ac:dyDescent="0.35">
      <c r="A653" s="33"/>
    </row>
    <row r="654" spans="1:1" x14ac:dyDescent="0.35">
      <c r="A654" s="33"/>
    </row>
    <row r="655" spans="1:1" x14ac:dyDescent="0.35">
      <c r="A655" s="33"/>
    </row>
    <row r="656" spans="1:1" x14ac:dyDescent="0.35">
      <c r="A656" s="33"/>
    </row>
    <row r="657" spans="1:1" x14ac:dyDescent="0.35">
      <c r="A657" s="33"/>
    </row>
    <row r="658" spans="1:1" x14ac:dyDescent="0.35">
      <c r="A658" s="33"/>
    </row>
    <row r="659" spans="1:1" x14ac:dyDescent="0.35">
      <c r="A659" s="33"/>
    </row>
    <row r="660" spans="1:1" x14ac:dyDescent="0.35">
      <c r="A660" s="33"/>
    </row>
    <row r="661" spans="1:1" x14ac:dyDescent="0.35">
      <c r="A661" s="33"/>
    </row>
    <row r="662" spans="1:1" x14ac:dyDescent="0.35">
      <c r="A662" s="33"/>
    </row>
    <row r="663" spans="1:1" x14ac:dyDescent="0.35">
      <c r="A663" s="33"/>
    </row>
    <row r="664" spans="1:1" x14ac:dyDescent="0.35">
      <c r="A664" s="33"/>
    </row>
    <row r="665" spans="1:1" x14ac:dyDescent="0.35">
      <c r="A665" s="33"/>
    </row>
    <row r="666" spans="1:1" x14ac:dyDescent="0.35">
      <c r="A666" s="33"/>
    </row>
    <row r="667" spans="1:1" x14ac:dyDescent="0.35">
      <c r="A667" s="33"/>
    </row>
    <row r="668" spans="1:1" x14ac:dyDescent="0.35">
      <c r="A668" s="33"/>
    </row>
    <row r="669" spans="1:1" x14ac:dyDescent="0.35">
      <c r="A669" s="33"/>
    </row>
    <row r="670" spans="1:1" x14ac:dyDescent="0.35">
      <c r="A670" s="33"/>
    </row>
    <row r="671" spans="1:1" x14ac:dyDescent="0.35">
      <c r="A671" s="33"/>
    </row>
    <row r="672" spans="1:1" x14ac:dyDescent="0.35">
      <c r="A672" s="33"/>
    </row>
    <row r="673" spans="1:1" x14ac:dyDescent="0.35">
      <c r="A673" s="33"/>
    </row>
    <row r="674" spans="1:1" x14ac:dyDescent="0.35">
      <c r="A674" s="33"/>
    </row>
    <row r="675" spans="1:1" x14ac:dyDescent="0.35">
      <c r="A675" s="33"/>
    </row>
    <row r="676" spans="1:1" x14ac:dyDescent="0.35">
      <c r="A676" s="33"/>
    </row>
    <row r="677" spans="1:1" x14ac:dyDescent="0.35">
      <c r="A677" s="33"/>
    </row>
    <row r="678" spans="1:1" x14ac:dyDescent="0.35">
      <c r="A678" s="33"/>
    </row>
    <row r="679" spans="1:1" x14ac:dyDescent="0.35">
      <c r="A679" s="33"/>
    </row>
    <row r="680" spans="1:1" x14ac:dyDescent="0.35">
      <c r="A680" s="33"/>
    </row>
    <row r="681" spans="1:1" x14ac:dyDescent="0.35">
      <c r="A681" s="33"/>
    </row>
    <row r="682" spans="1:1" x14ac:dyDescent="0.35">
      <c r="A682" s="33"/>
    </row>
    <row r="683" spans="1:1" x14ac:dyDescent="0.35">
      <c r="A683" s="33"/>
    </row>
    <row r="684" spans="1:1" x14ac:dyDescent="0.35">
      <c r="A684" s="33"/>
    </row>
    <row r="685" spans="1:1" x14ac:dyDescent="0.35">
      <c r="A685" s="33"/>
    </row>
    <row r="686" spans="1:1" x14ac:dyDescent="0.35">
      <c r="A686" s="33"/>
    </row>
    <row r="687" spans="1:1" x14ac:dyDescent="0.35">
      <c r="A687" s="33"/>
    </row>
    <row r="688" spans="1:1" x14ac:dyDescent="0.35">
      <c r="A688" s="33"/>
    </row>
    <row r="689" spans="1:1" x14ac:dyDescent="0.35">
      <c r="A689" s="33"/>
    </row>
    <row r="690" spans="1:1" x14ac:dyDescent="0.35">
      <c r="A690" s="33"/>
    </row>
    <row r="691" spans="1:1" x14ac:dyDescent="0.35">
      <c r="A691" s="33"/>
    </row>
    <row r="692" spans="1:1" x14ac:dyDescent="0.35">
      <c r="A692" s="33"/>
    </row>
    <row r="693" spans="1:1" x14ac:dyDescent="0.35">
      <c r="A693" s="33"/>
    </row>
    <row r="694" spans="1:1" x14ac:dyDescent="0.35">
      <c r="A694" s="33"/>
    </row>
    <row r="695" spans="1:1" x14ac:dyDescent="0.35">
      <c r="A695" s="33"/>
    </row>
    <row r="696" spans="1:1" x14ac:dyDescent="0.35">
      <c r="A696" s="33"/>
    </row>
    <row r="697" spans="1:1" x14ac:dyDescent="0.35">
      <c r="A697" s="33"/>
    </row>
    <row r="698" spans="1:1" x14ac:dyDescent="0.35">
      <c r="A698" s="33"/>
    </row>
    <row r="699" spans="1:1" x14ac:dyDescent="0.35">
      <c r="A699" s="33"/>
    </row>
    <row r="700" spans="1:1" x14ac:dyDescent="0.35">
      <c r="A700" s="33"/>
    </row>
    <row r="701" spans="1:1" x14ac:dyDescent="0.35">
      <c r="A701" s="33"/>
    </row>
    <row r="702" spans="1:1" x14ac:dyDescent="0.35">
      <c r="A702" s="33"/>
    </row>
    <row r="703" spans="1:1" x14ac:dyDescent="0.35">
      <c r="A703" s="33"/>
    </row>
    <row r="704" spans="1:1" x14ac:dyDescent="0.35">
      <c r="A704" s="33"/>
    </row>
    <row r="705" spans="1:1" x14ac:dyDescent="0.35">
      <c r="A705" s="33"/>
    </row>
    <row r="706" spans="1:1" x14ac:dyDescent="0.35">
      <c r="A706" s="33"/>
    </row>
    <row r="707" spans="1:1" x14ac:dyDescent="0.35">
      <c r="A707" s="33"/>
    </row>
    <row r="708" spans="1:1" x14ac:dyDescent="0.35">
      <c r="A708" s="33"/>
    </row>
    <row r="709" spans="1:1" x14ac:dyDescent="0.35">
      <c r="A709" s="33"/>
    </row>
    <row r="710" spans="1:1" x14ac:dyDescent="0.35">
      <c r="A710" s="33"/>
    </row>
    <row r="711" spans="1:1" x14ac:dyDescent="0.35">
      <c r="A711" s="33"/>
    </row>
    <row r="712" spans="1:1" x14ac:dyDescent="0.35">
      <c r="A712" s="33"/>
    </row>
    <row r="713" spans="1:1" x14ac:dyDescent="0.35">
      <c r="A713" s="33"/>
    </row>
    <row r="714" spans="1:1" x14ac:dyDescent="0.35">
      <c r="A714" s="33"/>
    </row>
    <row r="715" spans="1:1" x14ac:dyDescent="0.35">
      <c r="A715" s="33"/>
    </row>
    <row r="716" spans="1:1" x14ac:dyDescent="0.35">
      <c r="A716" s="33"/>
    </row>
    <row r="717" spans="1:1" x14ac:dyDescent="0.35">
      <c r="A717" s="33"/>
    </row>
    <row r="718" spans="1:1" x14ac:dyDescent="0.35">
      <c r="A718" s="33"/>
    </row>
    <row r="719" spans="1:1" x14ac:dyDescent="0.35">
      <c r="A719" s="33"/>
    </row>
    <row r="720" spans="1:1" x14ac:dyDescent="0.35">
      <c r="A720" s="33"/>
    </row>
    <row r="721" spans="1:1" x14ac:dyDescent="0.35">
      <c r="A721" s="33"/>
    </row>
    <row r="722" spans="1:1" x14ac:dyDescent="0.35">
      <c r="A722" s="33"/>
    </row>
    <row r="723" spans="1:1" x14ac:dyDescent="0.35">
      <c r="A723" s="33"/>
    </row>
    <row r="724" spans="1:1" x14ac:dyDescent="0.35">
      <c r="A724" s="33"/>
    </row>
    <row r="725" spans="1:1" x14ac:dyDescent="0.35">
      <c r="A725" s="33"/>
    </row>
    <row r="726" spans="1:1" x14ac:dyDescent="0.35">
      <c r="A726" s="33"/>
    </row>
    <row r="727" spans="1:1" x14ac:dyDescent="0.35">
      <c r="A727" s="33"/>
    </row>
    <row r="728" spans="1:1" x14ac:dyDescent="0.35">
      <c r="A728" s="33"/>
    </row>
    <row r="729" spans="1:1" x14ac:dyDescent="0.35">
      <c r="A729" s="33"/>
    </row>
    <row r="730" spans="1:1" x14ac:dyDescent="0.35">
      <c r="A730" s="33"/>
    </row>
    <row r="731" spans="1:1" x14ac:dyDescent="0.35">
      <c r="A731" s="33"/>
    </row>
    <row r="732" spans="1:1" x14ac:dyDescent="0.35">
      <c r="A732" s="33"/>
    </row>
    <row r="733" spans="1:1" x14ac:dyDescent="0.35">
      <c r="A733" s="33"/>
    </row>
    <row r="734" spans="1:1" x14ac:dyDescent="0.35">
      <c r="A734" s="33"/>
    </row>
    <row r="735" spans="1:1" x14ac:dyDescent="0.35">
      <c r="A735" s="33"/>
    </row>
    <row r="736" spans="1:1" x14ac:dyDescent="0.35">
      <c r="A736" s="33"/>
    </row>
    <row r="737" spans="1:1" x14ac:dyDescent="0.35">
      <c r="A737" s="33"/>
    </row>
    <row r="738" spans="1:1" x14ac:dyDescent="0.35">
      <c r="A738" s="33"/>
    </row>
    <row r="739" spans="1:1" x14ac:dyDescent="0.35">
      <c r="A739" s="33"/>
    </row>
    <row r="740" spans="1:1" x14ac:dyDescent="0.35">
      <c r="A740" s="33"/>
    </row>
    <row r="741" spans="1:1" x14ac:dyDescent="0.35">
      <c r="A741" s="33"/>
    </row>
    <row r="742" spans="1:1" x14ac:dyDescent="0.35">
      <c r="A742" s="33"/>
    </row>
    <row r="743" spans="1:1" x14ac:dyDescent="0.35">
      <c r="A743" s="33"/>
    </row>
    <row r="744" spans="1:1" x14ac:dyDescent="0.35">
      <c r="A744" s="33"/>
    </row>
    <row r="745" spans="1:1" x14ac:dyDescent="0.35">
      <c r="A745" s="33"/>
    </row>
    <row r="746" spans="1:1" x14ac:dyDescent="0.35">
      <c r="A746" s="33"/>
    </row>
    <row r="747" spans="1:1" x14ac:dyDescent="0.35">
      <c r="A747" s="33"/>
    </row>
    <row r="748" spans="1:1" x14ac:dyDescent="0.35">
      <c r="A748" s="33"/>
    </row>
    <row r="749" spans="1:1" x14ac:dyDescent="0.35">
      <c r="A749" s="33"/>
    </row>
    <row r="750" spans="1:1" x14ac:dyDescent="0.35">
      <c r="A750" s="33"/>
    </row>
    <row r="751" spans="1:1" x14ac:dyDescent="0.35">
      <c r="A751" s="33"/>
    </row>
    <row r="752" spans="1:1" x14ac:dyDescent="0.35">
      <c r="A752" s="33"/>
    </row>
    <row r="753" spans="1:1" x14ac:dyDescent="0.35">
      <c r="A753" s="33"/>
    </row>
    <row r="754" spans="1:1" x14ac:dyDescent="0.35">
      <c r="A754" s="33"/>
    </row>
    <row r="755" spans="1:1" x14ac:dyDescent="0.35">
      <c r="A755" s="33"/>
    </row>
    <row r="756" spans="1:1" x14ac:dyDescent="0.35">
      <c r="A756" s="33"/>
    </row>
    <row r="757" spans="1:1" x14ac:dyDescent="0.35">
      <c r="A757" s="33"/>
    </row>
    <row r="758" spans="1:1" x14ac:dyDescent="0.35">
      <c r="A758" s="33"/>
    </row>
    <row r="759" spans="1:1" x14ac:dyDescent="0.35">
      <c r="A759" s="33"/>
    </row>
    <row r="760" spans="1:1" x14ac:dyDescent="0.35">
      <c r="A760" s="33"/>
    </row>
    <row r="761" spans="1:1" x14ac:dyDescent="0.35">
      <c r="A761" s="33"/>
    </row>
    <row r="762" spans="1:1" x14ac:dyDescent="0.35">
      <c r="A762" s="33"/>
    </row>
    <row r="763" spans="1:1" x14ac:dyDescent="0.35">
      <c r="A763" s="33"/>
    </row>
    <row r="764" spans="1:1" x14ac:dyDescent="0.35">
      <c r="A764" s="33"/>
    </row>
    <row r="765" spans="1:1" x14ac:dyDescent="0.35">
      <c r="A765" s="33"/>
    </row>
    <row r="766" spans="1:1" x14ac:dyDescent="0.35">
      <c r="A766" s="33"/>
    </row>
    <row r="767" spans="1:1" x14ac:dyDescent="0.35">
      <c r="A767" s="33"/>
    </row>
    <row r="768" spans="1:1" x14ac:dyDescent="0.35">
      <c r="A768" s="33"/>
    </row>
    <row r="769" spans="1:1" x14ac:dyDescent="0.35">
      <c r="A769" s="33"/>
    </row>
    <row r="770" spans="1:1" x14ac:dyDescent="0.35">
      <c r="A770" s="33"/>
    </row>
    <row r="771" spans="1:1" x14ac:dyDescent="0.35">
      <c r="A771" s="33"/>
    </row>
    <row r="772" spans="1:1" x14ac:dyDescent="0.35">
      <c r="A772" s="33"/>
    </row>
    <row r="773" spans="1:1" x14ac:dyDescent="0.35">
      <c r="A773" s="33"/>
    </row>
    <row r="774" spans="1:1" x14ac:dyDescent="0.35">
      <c r="A774" s="33"/>
    </row>
    <row r="775" spans="1:1" x14ac:dyDescent="0.35">
      <c r="A775" s="33"/>
    </row>
    <row r="776" spans="1:1" x14ac:dyDescent="0.35">
      <c r="A776" s="33"/>
    </row>
    <row r="777" spans="1:1" x14ac:dyDescent="0.35">
      <c r="A777" s="33"/>
    </row>
    <row r="778" spans="1:1" x14ac:dyDescent="0.35">
      <c r="A778" s="33"/>
    </row>
    <row r="779" spans="1:1" x14ac:dyDescent="0.35">
      <c r="A779" s="33"/>
    </row>
    <row r="780" spans="1:1" x14ac:dyDescent="0.35">
      <c r="A780" s="33"/>
    </row>
    <row r="781" spans="1:1" x14ac:dyDescent="0.35">
      <c r="A781" s="33"/>
    </row>
    <row r="782" spans="1:1" x14ac:dyDescent="0.35">
      <c r="A782" s="33"/>
    </row>
    <row r="783" spans="1:1" x14ac:dyDescent="0.35">
      <c r="A783" s="33"/>
    </row>
    <row r="784" spans="1:1" x14ac:dyDescent="0.35">
      <c r="A784" s="33"/>
    </row>
    <row r="785" spans="1:1" x14ac:dyDescent="0.35">
      <c r="A785" s="33"/>
    </row>
    <row r="786" spans="1:1" x14ac:dyDescent="0.35">
      <c r="A786" s="33"/>
    </row>
    <row r="787" spans="1:1" x14ac:dyDescent="0.35">
      <c r="A787" s="33"/>
    </row>
    <row r="788" spans="1:1" x14ac:dyDescent="0.35">
      <c r="A788" s="33"/>
    </row>
    <row r="789" spans="1:1" x14ac:dyDescent="0.35">
      <c r="A789" s="33"/>
    </row>
    <row r="790" spans="1:1" x14ac:dyDescent="0.35">
      <c r="A790" s="33"/>
    </row>
    <row r="791" spans="1:1" x14ac:dyDescent="0.35">
      <c r="A791" s="33"/>
    </row>
    <row r="792" spans="1:1" x14ac:dyDescent="0.35">
      <c r="A792" s="33"/>
    </row>
    <row r="793" spans="1:1" x14ac:dyDescent="0.35">
      <c r="A793" s="33"/>
    </row>
    <row r="794" spans="1:1" x14ac:dyDescent="0.35">
      <c r="A794" s="33"/>
    </row>
    <row r="795" spans="1:1" x14ac:dyDescent="0.35">
      <c r="A795" s="33"/>
    </row>
    <row r="796" spans="1:1" x14ac:dyDescent="0.35">
      <c r="A796" s="33"/>
    </row>
    <row r="797" spans="1:1" x14ac:dyDescent="0.35">
      <c r="A797" s="33"/>
    </row>
    <row r="798" spans="1:1" x14ac:dyDescent="0.35">
      <c r="A798" s="33"/>
    </row>
    <row r="799" spans="1:1" x14ac:dyDescent="0.35">
      <c r="A799" s="33"/>
    </row>
    <row r="800" spans="1:1" x14ac:dyDescent="0.35">
      <c r="A800" s="33"/>
    </row>
    <row r="801" spans="1:1" x14ac:dyDescent="0.35">
      <c r="A801" s="33"/>
    </row>
    <row r="802" spans="1:1" x14ac:dyDescent="0.35">
      <c r="A802" s="33"/>
    </row>
    <row r="803" spans="1:1" x14ac:dyDescent="0.35">
      <c r="A803" s="33"/>
    </row>
    <row r="804" spans="1:1" x14ac:dyDescent="0.35">
      <c r="A804" s="33"/>
    </row>
    <row r="805" spans="1:1" x14ac:dyDescent="0.35">
      <c r="A805" s="33"/>
    </row>
    <row r="806" spans="1:1" x14ac:dyDescent="0.35">
      <c r="A806" s="33"/>
    </row>
    <row r="807" spans="1:1" x14ac:dyDescent="0.35">
      <c r="A807" s="33"/>
    </row>
    <row r="808" spans="1:1" x14ac:dyDescent="0.35">
      <c r="A808" s="33"/>
    </row>
    <row r="809" spans="1:1" x14ac:dyDescent="0.35">
      <c r="A809" s="33"/>
    </row>
    <row r="810" spans="1:1" x14ac:dyDescent="0.35">
      <c r="A810" s="33"/>
    </row>
    <row r="811" spans="1:1" x14ac:dyDescent="0.35">
      <c r="A811" s="33"/>
    </row>
    <row r="812" spans="1:1" x14ac:dyDescent="0.35">
      <c r="A812" s="33"/>
    </row>
    <row r="813" spans="1:1" x14ac:dyDescent="0.35">
      <c r="A813" s="33"/>
    </row>
    <row r="814" spans="1:1" x14ac:dyDescent="0.35">
      <c r="A814" s="33"/>
    </row>
    <row r="815" spans="1:1" x14ac:dyDescent="0.35">
      <c r="A815" s="33"/>
    </row>
    <row r="816" spans="1:1" x14ac:dyDescent="0.35">
      <c r="A816" s="33"/>
    </row>
    <row r="817" spans="1:1" x14ac:dyDescent="0.35">
      <c r="A817" s="33"/>
    </row>
    <row r="818" spans="1:1" x14ac:dyDescent="0.35">
      <c r="A818" s="33"/>
    </row>
    <row r="819" spans="1:1" x14ac:dyDescent="0.35">
      <c r="A819" s="33"/>
    </row>
    <row r="820" spans="1:1" x14ac:dyDescent="0.35">
      <c r="A820" s="33"/>
    </row>
    <row r="821" spans="1:1" x14ac:dyDescent="0.35">
      <c r="A821" s="33"/>
    </row>
    <row r="822" spans="1:1" x14ac:dyDescent="0.35">
      <c r="A822" s="33"/>
    </row>
    <row r="823" spans="1:1" x14ac:dyDescent="0.35">
      <c r="A823" s="33"/>
    </row>
    <row r="824" spans="1:1" x14ac:dyDescent="0.35">
      <c r="A824" s="33"/>
    </row>
    <row r="825" spans="1:1" x14ac:dyDescent="0.35">
      <c r="A825" s="33"/>
    </row>
    <row r="826" spans="1:1" x14ac:dyDescent="0.35">
      <c r="A826" s="33"/>
    </row>
    <row r="827" spans="1:1" x14ac:dyDescent="0.35">
      <c r="A827" s="33"/>
    </row>
    <row r="828" spans="1:1" x14ac:dyDescent="0.35">
      <c r="A828" s="33"/>
    </row>
    <row r="829" spans="1:1" x14ac:dyDescent="0.35">
      <c r="A829" s="33"/>
    </row>
    <row r="830" spans="1:1" x14ac:dyDescent="0.35">
      <c r="A830" s="33"/>
    </row>
    <row r="831" spans="1:1" x14ac:dyDescent="0.35">
      <c r="A831" s="33"/>
    </row>
    <row r="832" spans="1:1" x14ac:dyDescent="0.35">
      <c r="A832" s="33"/>
    </row>
    <row r="833" spans="1:1" x14ac:dyDescent="0.35">
      <c r="A833" s="33"/>
    </row>
    <row r="834" spans="1:1" x14ac:dyDescent="0.35">
      <c r="A834" s="33"/>
    </row>
    <row r="835" spans="1:1" x14ac:dyDescent="0.35">
      <c r="A835" s="33"/>
    </row>
    <row r="836" spans="1:1" x14ac:dyDescent="0.35">
      <c r="A836" s="33"/>
    </row>
    <row r="837" spans="1:1" x14ac:dyDescent="0.35">
      <c r="A837" s="33"/>
    </row>
    <row r="838" spans="1:1" x14ac:dyDescent="0.35">
      <c r="A838" s="33"/>
    </row>
    <row r="839" spans="1:1" x14ac:dyDescent="0.35">
      <c r="A839" s="33"/>
    </row>
    <row r="840" spans="1:1" x14ac:dyDescent="0.35">
      <c r="A840" s="33"/>
    </row>
    <row r="841" spans="1:1" x14ac:dyDescent="0.35">
      <c r="A841" s="33"/>
    </row>
    <row r="842" spans="1:1" x14ac:dyDescent="0.35">
      <c r="A842" s="33"/>
    </row>
    <row r="843" spans="1:1" x14ac:dyDescent="0.35">
      <c r="A843" s="33"/>
    </row>
    <row r="844" spans="1:1" x14ac:dyDescent="0.35">
      <c r="A844" s="33"/>
    </row>
    <row r="845" spans="1:1" x14ac:dyDescent="0.35">
      <c r="A845" s="33"/>
    </row>
    <row r="846" spans="1:1" x14ac:dyDescent="0.35">
      <c r="A846" s="33"/>
    </row>
    <row r="847" spans="1:1" x14ac:dyDescent="0.35">
      <c r="A847" s="33"/>
    </row>
    <row r="848" spans="1:1" x14ac:dyDescent="0.35">
      <c r="A848" s="33"/>
    </row>
    <row r="849" spans="1:1" x14ac:dyDescent="0.35">
      <c r="A849" s="33"/>
    </row>
    <row r="850" spans="1:1" x14ac:dyDescent="0.35">
      <c r="A850" s="33"/>
    </row>
    <row r="851" spans="1:1" x14ac:dyDescent="0.35">
      <c r="A851" s="33"/>
    </row>
    <row r="852" spans="1:1" x14ac:dyDescent="0.35">
      <c r="A852" s="33"/>
    </row>
    <row r="853" spans="1:1" x14ac:dyDescent="0.35">
      <c r="A853" s="33"/>
    </row>
    <row r="854" spans="1:1" x14ac:dyDescent="0.35">
      <c r="A854" s="33"/>
    </row>
    <row r="855" spans="1:1" x14ac:dyDescent="0.35">
      <c r="A855" s="33"/>
    </row>
    <row r="856" spans="1:1" x14ac:dyDescent="0.35">
      <c r="A856" s="33"/>
    </row>
    <row r="857" spans="1:1" x14ac:dyDescent="0.35">
      <c r="A857" s="33"/>
    </row>
    <row r="858" spans="1:1" x14ac:dyDescent="0.35">
      <c r="A858" s="33"/>
    </row>
    <row r="859" spans="1:1" x14ac:dyDescent="0.35">
      <c r="A859" s="33"/>
    </row>
    <row r="860" spans="1:1" x14ac:dyDescent="0.35">
      <c r="A860" s="33"/>
    </row>
    <row r="861" spans="1:1" x14ac:dyDescent="0.35">
      <c r="A861" s="33"/>
    </row>
    <row r="862" spans="1:1" x14ac:dyDescent="0.35">
      <c r="A862" s="33"/>
    </row>
    <row r="863" spans="1:1" x14ac:dyDescent="0.35">
      <c r="A863" s="33"/>
    </row>
    <row r="864" spans="1:1" x14ac:dyDescent="0.35">
      <c r="A864" s="33"/>
    </row>
    <row r="865" spans="1:1" x14ac:dyDescent="0.35">
      <c r="A865" s="33"/>
    </row>
    <row r="866" spans="1:1" x14ac:dyDescent="0.35">
      <c r="A866" s="33"/>
    </row>
    <row r="867" spans="1:1" x14ac:dyDescent="0.35">
      <c r="A867" s="33"/>
    </row>
    <row r="868" spans="1:1" x14ac:dyDescent="0.35">
      <c r="A868" s="33"/>
    </row>
    <row r="869" spans="1:1" x14ac:dyDescent="0.35">
      <c r="A869" s="33"/>
    </row>
    <row r="870" spans="1:1" x14ac:dyDescent="0.35">
      <c r="A870" s="33"/>
    </row>
    <row r="871" spans="1:1" x14ac:dyDescent="0.35">
      <c r="A871" s="33"/>
    </row>
    <row r="872" spans="1:1" x14ac:dyDescent="0.35">
      <c r="A872" s="33"/>
    </row>
    <row r="873" spans="1:1" x14ac:dyDescent="0.35">
      <c r="A873" s="33"/>
    </row>
    <row r="874" spans="1:1" x14ac:dyDescent="0.35">
      <c r="A874" s="33"/>
    </row>
    <row r="875" spans="1:1" x14ac:dyDescent="0.35">
      <c r="A875" s="33"/>
    </row>
    <row r="876" spans="1:1" x14ac:dyDescent="0.35">
      <c r="A876" s="33"/>
    </row>
    <row r="877" spans="1:1" x14ac:dyDescent="0.35">
      <c r="A877" s="33"/>
    </row>
    <row r="878" spans="1:1" x14ac:dyDescent="0.35">
      <c r="A878" s="33"/>
    </row>
    <row r="879" spans="1:1" x14ac:dyDescent="0.35">
      <c r="A879" s="33"/>
    </row>
    <row r="880" spans="1:1" x14ac:dyDescent="0.35">
      <c r="A880" s="33"/>
    </row>
    <row r="881" spans="1:1" x14ac:dyDescent="0.35">
      <c r="A881" s="33"/>
    </row>
    <row r="882" spans="1:1" x14ac:dyDescent="0.35">
      <c r="A882" s="33"/>
    </row>
    <row r="883" spans="1:1" x14ac:dyDescent="0.35">
      <c r="A883" s="33"/>
    </row>
    <row r="884" spans="1:1" x14ac:dyDescent="0.35">
      <c r="A884" s="33"/>
    </row>
    <row r="885" spans="1:1" x14ac:dyDescent="0.35">
      <c r="A885" s="33"/>
    </row>
    <row r="886" spans="1:1" x14ac:dyDescent="0.35">
      <c r="A886" s="33"/>
    </row>
    <row r="887" spans="1:1" x14ac:dyDescent="0.35">
      <c r="A887" s="33"/>
    </row>
    <row r="888" spans="1:1" x14ac:dyDescent="0.35">
      <c r="A888" s="33"/>
    </row>
    <row r="889" spans="1:1" x14ac:dyDescent="0.35">
      <c r="A889" s="33"/>
    </row>
    <row r="890" spans="1:1" x14ac:dyDescent="0.35">
      <c r="A890" s="33"/>
    </row>
    <row r="891" spans="1:1" x14ac:dyDescent="0.35">
      <c r="A891" s="33"/>
    </row>
    <row r="892" spans="1:1" x14ac:dyDescent="0.35">
      <c r="A892" s="33"/>
    </row>
    <row r="893" spans="1:1" x14ac:dyDescent="0.35">
      <c r="A893" s="33"/>
    </row>
    <row r="894" spans="1:1" x14ac:dyDescent="0.35">
      <c r="A894" s="33"/>
    </row>
    <row r="895" spans="1:1" x14ac:dyDescent="0.35">
      <c r="A895" s="33"/>
    </row>
    <row r="896" spans="1:1" x14ac:dyDescent="0.35">
      <c r="A896" s="33"/>
    </row>
    <row r="897" spans="1:1" x14ac:dyDescent="0.35">
      <c r="A897" s="33"/>
    </row>
    <row r="898" spans="1:1" x14ac:dyDescent="0.35">
      <c r="A898" s="33"/>
    </row>
    <row r="899" spans="1:1" x14ac:dyDescent="0.35">
      <c r="A899" s="33"/>
    </row>
    <row r="900" spans="1:1" x14ac:dyDescent="0.35">
      <c r="A900" s="33"/>
    </row>
    <row r="901" spans="1:1" x14ac:dyDescent="0.35">
      <c r="A901" s="33"/>
    </row>
    <row r="902" spans="1:1" x14ac:dyDescent="0.35">
      <c r="A902" s="33"/>
    </row>
    <row r="903" spans="1:1" x14ac:dyDescent="0.35">
      <c r="A903" s="33"/>
    </row>
    <row r="904" spans="1:1" x14ac:dyDescent="0.35">
      <c r="A904" s="33"/>
    </row>
    <row r="905" spans="1:1" x14ac:dyDescent="0.35">
      <c r="A905" s="33"/>
    </row>
    <row r="906" spans="1:1" x14ac:dyDescent="0.35">
      <c r="A906" s="33"/>
    </row>
    <row r="907" spans="1:1" x14ac:dyDescent="0.35">
      <c r="A907" s="33"/>
    </row>
    <row r="908" spans="1:1" x14ac:dyDescent="0.35">
      <c r="A908" s="33"/>
    </row>
    <row r="909" spans="1:1" x14ac:dyDescent="0.35">
      <c r="A909" s="33"/>
    </row>
    <row r="910" spans="1:1" x14ac:dyDescent="0.35">
      <c r="A910" s="33"/>
    </row>
    <row r="911" spans="1:1" x14ac:dyDescent="0.35">
      <c r="A911" s="33"/>
    </row>
    <row r="912" spans="1:1" x14ac:dyDescent="0.35">
      <c r="A912" s="33"/>
    </row>
    <row r="913" spans="1:1" x14ac:dyDescent="0.35">
      <c r="A913" s="33"/>
    </row>
    <row r="914" spans="1:1" x14ac:dyDescent="0.35">
      <c r="A914" s="33"/>
    </row>
    <row r="915" spans="1:1" x14ac:dyDescent="0.35">
      <c r="A915" s="33"/>
    </row>
    <row r="916" spans="1:1" x14ac:dyDescent="0.35">
      <c r="A916" s="33"/>
    </row>
    <row r="917" spans="1:1" x14ac:dyDescent="0.35">
      <c r="A917" s="33"/>
    </row>
    <row r="918" spans="1:1" x14ac:dyDescent="0.35">
      <c r="A918" s="33"/>
    </row>
    <row r="919" spans="1:1" x14ac:dyDescent="0.35">
      <c r="A919" s="33"/>
    </row>
    <row r="920" spans="1:1" x14ac:dyDescent="0.35">
      <c r="A920" s="33"/>
    </row>
    <row r="921" spans="1:1" x14ac:dyDescent="0.35">
      <c r="A921" s="33"/>
    </row>
    <row r="922" spans="1:1" x14ac:dyDescent="0.35">
      <c r="A922" s="33"/>
    </row>
    <row r="923" spans="1:1" x14ac:dyDescent="0.35">
      <c r="A923" s="33"/>
    </row>
    <row r="924" spans="1:1" x14ac:dyDescent="0.35">
      <c r="A924" s="33"/>
    </row>
    <row r="925" spans="1:1" x14ac:dyDescent="0.35">
      <c r="A925" s="33"/>
    </row>
    <row r="926" spans="1:1" x14ac:dyDescent="0.35">
      <c r="A926" s="33"/>
    </row>
    <row r="927" spans="1:1" x14ac:dyDescent="0.35">
      <c r="A927" s="33"/>
    </row>
    <row r="928" spans="1:1" x14ac:dyDescent="0.35">
      <c r="A928" s="33"/>
    </row>
    <row r="929" spans="1:1" x14ac:dyDescent="0.35">
      <c r="A929" s="33"/>
    </row>
    <row r="930" spans="1:1" x14ac:dyDescent="0.35">
      <c r="A930" s="33"/>
    </row>
    <row r="931" spans="1:1" x14ac:dyDescent="0.35">
      <c r="A931" s="33"/>
    </row>
    <row r="932" spans="1:1" x14ac:dyDescent="0.35">
      <c r="A932" s="33"/>
    </row>
    <row r="933" spans="1:1" x14ac:dyDescent="0.35">
      <c r="A933" s="33"/>
    </row>
    <row r="934" spans="1:1" x14ac:dyDescent="0.35">
      <c r="A934" s="33"/>
    </row>
    <row r="935" spans="1:1" x14ac:dyDescent="0.35">
      <c r="A935" s="33"/>
    </row>
    <row r="936" spans="1:1" x14ac:dyDescent="0.35">
      <c r="A936" s="33"/>
    </row>
    <row r="937" spans="1:1" x14ac:dyDescent="0.35">
      <c r="A937" s="33"/>
    </row>
    <row r="938" spans="1:1" x14ac:dyDescent="0.35">
      <c r="A938" s="33"/>
    </row>
    <row r="939" spans="1:1" x14ac:dyDescent="0.35">
      <c r="A939" s="33"/>
    </row>
    <row r="940" spans="1:1" x14ac:dyDescent="0.35">
      <c r="A940" s="33"/>
    </row>
    <row r="941" spans="1:1" x14ac:dyDescent="0.35">
      <c r="A941" s="33"/>
    </row>
    <row r="942" spans="1:1" x14ac:dyDescent="0.35">
      <c r="A942" s="33"/>
    </row>
    <row r="943" spans="1:1" x14ac:dyDescent="0.35">
      <c r="A943" s="33"/>
    </row>
    <row r="944" spans="1:1" x14ac:dyDescent="0.35">
      <c r="A944" s="33"/>
    </row>
    <row r="945" spans="1:1" x14ac:dyDescent="0.35">
      <c r="A945" s="33"/>
    </row>
    <row r="946" spans="1:1" x14ac:dyDescent="0.35">
      <c r="A946" s="33"/>
    </row>
    <row r="947" spans="1:1" x14ac:dyDescent="0.35">
      <c r="A947" s="33"/>
    </row>
    <row r="948" spans="1:1" x14ac:dyDescent="0.35">
      <c r="A948" s="33"/>
    </row>
    <row r="949" spans="1:1" x14ac:dyDescent="0.35">
      <c r="A949" s="33"/>
    </row>
    <row r="950" spans="1:1" x14ac:dyDescent="0.35">
      <c r="A950" s="33"/>
    </row>
    <row r="951" spans="1:1" x14ac:dyDescent="0.35">
      <c r="A951" s="33"/>
    </row>
    <row r="952" spans="1:1" x14ac:dyDescent="0.35">
      <c r="A952" s="33"/>
    </row>
    <row r="953" spans="1:1" x14ac:dyDescent="0.35">
      <c r="A953" s="33"/>
    </row>
    <row r="954" spans="1:1" x14ac:dyDescent="0.35">
      <c r="A954" s="33"/>
    </row>
    <row r="955" spans="1:1" x14ac:dyDescent="0.35">
      <c r="A955" s="33"/>
    </row>
    <row r="956" spans="1:1" x14ac:dyDescent="0.35">
      <c r="A956" s="33"/>
    </row>
    <row r="957" spans="1:1" x14ac:dyDescent="0.35">
      <c r="A957" s="33"/>
    </row>
    <row r="958" spans="1:1" x14ac:dyDescent="0.35">
      <c r="A958" s="33"/>
    </row>
    <row r="959" spans="1:1" x14ac:dyDescent="0.35">
      <c r="A959" s="33"/>
    </row>
    <row r="960" spans="1:1" x14ac:dyDescent="0.35">
      <c r="A960" s="33"/>
    </row>
    <row r="961" spans="1:1" x14ac:dyDescent="0.35">
      <c r="A961" s="33"/>
    </row>
    <row r="962" spans="1:1" x14ac:dyDescent="0.35">
      <c r="A962" s="33"/>
    </row>
    <row r="963" spans="1:1" x14ac:dyDescent="0.35">
      <c r="A963" s="33"/>
    </row>
    <row r="964" spans="1:1" x14ac:dyDescent="0.35">
      <c r="A964" s="33"/>
    </row>
    <row r="965" spans="1:1" x14ac:dyDescent="0.35">
      <c r="A965" s="33"/>
    </row>
    <row r="966" spans="1:1" x14ac:dyDescent="0.35">
      <c r="A966" s="33"/>
    </row>
    <row r="967" spans="1:1" x14ac:dyDescent="0.35">
      <c r="A967" s="33"/>
    </row>
    <row r="968" spans="1:1" x14ac:dyDescent="0.35">
      <c r="A968" s="33"/>
    </row>
    <row r="969" spans="1:1" x14ac:dyDescent="0.35">
      <c r="A969" s="33"/>
    </row>
    <row r="970" spans="1:1" x14ac:dyDescent="0.35">
      <c r="A970" s="33"/>
    </row>
    <row r="971" spans="1:1" x14ac:dyDescent="0.35">
      <c r="A971" s="33"/>
    </row>
    <row r="972" spans="1:1" x14ac:dyDescent="0.35">
      <c r="A972" s="33"/>
    </row>
    <row r="973" spans="1:1" x14ac:dyDescent="0.35">
      <c r="A973" s="33"/>
    </row>
    <row r="974" spans="1:1" x14ac:dyDescent="0.35">
      <c r="A974" s="33"/>
    </row>
    <row r="975" spans="1:1" x14ac:dyDescent="0.35">
      <c r="A975" s="33"/>
    </row>
    <row r="976" spans="1:1" x14ac:dyDescent="0.35">
      <c r="A976" s="33"/>
    </row>
    <row r="977" spans="1:1" x14ac:dyDescent="0.35">
      <c r="A977" s="33"/>
    </row>
    <row r="978" spans="1:1" x14ac:dyDescent="0.35">
      <c r="A978" s="33"/>
    </row>
    <row r="979" spans="1:1" x14ac:dyDescent="0.35">
      <c r="A979" s="33"/>
    </row>
    <row r="980" spans="1:1" x14ac:dyDescent="0.35">
      <c r="A980" s="33"/>
    </row>
    <row r="981" spans="1:1" x14ac:dyDescent="0.35">
      <c r="A981" s="33"/>
    </row>
    <row r="982" spans="1:1" x14ac:dyDescent="0.35">
      <c r="A982" s="33"/>
    </row>
    <row r="983" spans="1:1" x14ac:dyDescent="0.35">
      <c r="A983" s="33"/>
    </row>
    <row r="984" spans="1:1" x14ac:dyDescent="0.35">
      <c r="A984" s="33"/>
    </row>
    <row r="985" spans="1:1" x14ac:dyDescent="0.35">
      <c r="A985" s="33"/>
    </row>
    <row r="986" spans="1:1" x14ac:dyDescent="0.35">
      <c r="A986" s="33"/>
    </row>
    <row r="987" spans="1:1" x14ac:dyDescent="0.35">
      <c r="A987" s="33"/>
    </row>
    <row r="988" spans="1:1" x14ac:dyDescent="0.35">
      <c r="A988" s="33"/>
    </row>
    <row r="989" spans="1:1" x14ac:dyDescent="0.35">
      <c r="A989" s="33"/>
    </row>
    <row r="990" spans="1:1" x14ac:dyDescent="0.35">
      <c r="A990" s="33"/>
    </row>
    <row r="991" spans="1:1" x14ac:dyDescent="0.35">
      <c r="A991" s="33"/>
    </row>
    <row r="992" spans="1:1" x14ac:dyDescent="0.35">
      <c r="A992" s="33"/>
    </row>
    <row r="993" spans="1:1" x14ac:dyDescent="0.35">
      <c r="A993" s="33"/>
    </row>
    <row r="994" spans="1:1" x14ac:dyDescent="0.35">
      <c r="A994" s="33"/>
    </row>
    <row r="995" spans="1:1" x14ac:dyDescent="0.35">
      <c r="A995" s="33"/>
    </row>
    <row r="996" spans="1:1" x14ac:dyDescent="0.35">
      <c r="A996" s="33"/>
    </row>
    <row r="997" spans="1:1" x14ac:dyDescent="0.35">
      <c r="A997" s="33"/>
    </row>
    <row r="998" spans="1:1" x14ac:dyDescent="0.35">
      <c r="A998" s="33"/>
    </row>
    <row r="999" spans="1:1" x14ac:dyDescent="0.35">
      <c r="A999" s="33"/>
    </row>
    <row r="1000" spans="1:1" x14ac:dyDescent="0.35">
      <c r="A1000" s="33"/>
    </row>
  </sheetData>
  <mergeCells count="1">
    <mergeCell ref="F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Input</vt:lpstr>
      <vt:lpstr>View_Print</vt:lpstr>
      <vt:lpstr>Log</vt:lpstr>
      <vt:lpstr>Update</vt:lpstr>
      <vt:lpstr>Data</vt:lpstr>
      <vt:lpstr>contacts</vt:lpstr>
      <vt:lpstr>Address</vt:lpstr>
      <vt:lpstr>NewContact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Northway</dc:creator>
  <cp:lastModifiedBy>Dan Northway</cp:lastModifiedBy>
  <dcterms:created xsi:type="dcterms:W3CDTF">2025-01-13T22:43:33Z</dcterms:created>
  <dcterms:modified xsi:type="dcterms:W3CDTF">2025-01-13T22:43:56Z</dcterms:modified>
</cp:coreProperties>
</file>