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nort\Downloads\"/>
    </mc:Choice>
  </mc:AlternateContent>
  <xr:revisionPtr revIDLastSave="0" documentId="13_ncr:1_{BAF98942-6CB0-4D2C-BF75-D0A168BB2DC4}" xr6:coauthVersionLast="47" xr6:coauthVersionMax="47" xr10:uidLastSave="{00000000-0000-0000-0000-000000000000}"/>
  <bookViews>
    <workbookView xWindow="-110" yWindow="-110" windowWidth="27580" windowHeight="17740" activeTab="2" xr2:uid="{00000000-000D-0000-FFFF-FFFF00000000}"/>
  </bookViews>
  <sheets>
    <sheet name="Contacts" sheetId="20" r:id="rId1"/>
    <sheet name="Input (2)" sheetId="22" r:id="rId2"/>
    <sheet name="Input" sheetId="14" r:id="rId3"/>
    <sheet name="View_Print" sheetId="15" r:id="rId4"/>
    <sheet name="Log" sheetId="13" r:id="rId5"/>
    <sheet name="Update" sheetId="16" r:id="rId6"/>
    <sheet name="Data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6" i="15" l="1"/>
  <c r="J184" i="15"/>
  <c r="G181" i="15"/>
  <c r="I177" i="15"/>
  <c r="F165" i="15"/>
  <c r="H162" i="15"/>
  <c r="Q161" i="15"/>
  <c r="I159" i="15"/>
  <c r="M154" i="15"/>
  <c r="E154" i="15"/>
  <c r="I153" i="15"/>
  <c r="Q151" i="15"/>
  <c r="D147" i="15"/>
  <c r="G146" i="15"/>
  <c r="Q145" i="15"/>
  <c r="B144" i="15"/>
  <c r="K139" i="15"/>
  <c r="I139" i="15"/>
  <c r="E139" i="15"/>
  <c r="B138" i="15"/>
  <c r="P134" i="15"/>
  <c r="H134" i="15"/>
  <c r="G134" i="15"/>
  <c r="G133" i="15"/>
  <c r="O129" i="15"/>
  <c r="M129" i="15"/>
  <c r="L129" i="15"/>
  <c r="F128" i="15"/>
  <c r="C125" i="15"/>
  <c r="A125" i="15"/>
  <c r="K124" i="15"/>
  <c r="K123" i="15"/>
  <c r="H120" i="15"/>
  <c r="Q119" i="15"/>
  <c r="P119" i="15"/>
  <c r="J118" i="15"/>
  <c r="J115" i="15"/>
  <c r="E115" i="15"/>
  <c r="D115" i="15"/>
  <c r="O113" i="15"/>
  <c r="O110" i="15"/>
  <c r="H110" i="15"/>
  <c r="G110" i="15"/>
  <c r="H109" i="15"/>
  <c r="L106" i="15"/>
  <c r="J106" i="15"/>
  <c r="F106" i="15"/>
  <c r="G105" i="15"/>
  <c r="A103" i="15"/>
  <c r="P102" i="15"/>
  <c r="O102" i="15"/>
  <c r="Q101" i="15"/>
  <c r="B100" i="15"/>
  <c r="Q99" i="15"/>
  <c r="O99" i="15"/>
  <c r="C99" i="15"/>
  <c r="E97" i="15"/>
  <c r="C97" i="15"/>
  <c r="P96" i="15"/>
  <c r="E96" i="15"/>
  <c r="G94" i="15"/>
  <c r="D94" i="15"/>
  <c r="B94" i="15"/>
  <c r="H93" i="15"/>
  <c r="J91" i="15"/>
  <c r="E91" i="15"/>
  <c r="D91" i="15"/>
  <c r="J90" i="15"/>
  <c r="L88" i="15"/>
  <c r="I88" i="15"/>
  <c r="H88" i="15"/>
  <c r="O87" i="15"/>
  <c r="D86" i="15"/>
  <c r="A86" i="15"/>
  <c r="Q85" i="15"/>
  <c r="H85" i="15"/>
  <c r="A84" i="15"/>
  <c r="P83" i="15"/>
  <c r="O83" i="15"/>
  <c r="E83" i="15"/>
  <c r="O81" i="15"/>
  <c r="M81" i="15"/>
  <c r="L81" i="15"/>
  <c r="C81" i="15"/>
  <c r="M79" i="15"/>
  <c r="K79" i="15"/>
  <c r="I79" i="15"/>
  <c r="Q78" i="15"/>
  <c r="J77" i="15"/>
  <c r="H77" i="15"/>
  <c r="G77" i="15"/>
  <c r="O76" i="15"/>
  <c r="H75" i="15"/>
  <c r="E75" i="15"/>
  <c r="D75" i="15"/>
  <c r="L74" i="15"/>
  <c r="E73" i="15"/>
  <c r="C73" i="15"/>
  <c r="B73" i="15"/>
  <c r="J72" i="15"/>
  <c r="H71" i="15"/>
  <c r="C71" i="15"/>
  <c r="A71" i="15"/>
  <c r="J70" i="15"/>
  <c r="N69" i="15"/>
  <c r="H69" i="15"/>
  <c r="G69" i="15"/>
  <c r="P68" i="15"/>
  <c r="P67" i="15"/>
  <c r="M67" i="15"/>
  <c r="L67" i="15"/>
  <c r="D67" i="15"/>
  <c r="D66" i="15"/>
  <c r="B66" i="15"/>
  <c r="A66" i="15"/>
  <c r="J65" i="15"/>
  <c r="J64" i="15"/>
  <c r="G64" i="15"/>
  <c r="C64" i="15"/>
  <c r="O63" i="15"/>
  <c r="O62" i="15"/>
  <c r="I62" i="15"/>
  <c r="H62" i="15"/>
  <c r="Q61" i="15"/>
  <c r="C61" i="15"/>
  <c r="O60" i="15"/>
  <c r="N60" i="15"/>
  <c r="F60" i="15"/>
  <c r="E59" i="15"/>
  <c r="C59" i="15"/>
  <c r="B59" i="15"/>
  <c r="K58" i="15"/>
  <c r="M57" i="15"/>
  <c r="K57" i="15"/>
  <c r="J57" i="15"/>
  <c r="C57" i="15"/>
  <c r="E56" i="15"/>
  <c r="C56" i="15"/>
  <c r="P55" i="15"/>
  <c r="L55" i="15"/>
  <c r="N54" i="15"/>
  <c r="I54" i="15"/>
  <c r="H54" i="15"/>
  <c r="A54" i="15"/>
  <c r="M52" i="15"/>
  <c r="P51" i="15"/>
  <c r="O51" i="15"/>
  <c r="H51" i="15"/>
  <c r="H50" i="15"/>
  <c r="F50" i="15"/>
  <c r="E50" i="15"/>
  <c r="N49" i="15"/>
  <c r="L48" i="15"/>
  <c r="J48" i="15"/>
  <c r="H48" i="15"/>
  <c r="N47" i="15"/>
  <c r="N46" i="15"/>
  <c r="L46" i="15"/>
  <c r="H46" i="15"/>
  <c r="D46" i="15"/>
  <c r="N44" i="15"/>
  <c r="Q43" i="15"/>
  <c r="P43" i="15"/>
  <c r="A43" i="15"/>
  <c r="E42" i="15"/>
  <c r="Q41" i="15"/>
  <c r="P41" i="15"/>
  <c r="Q40" i="15"/>
  <c r="F40" i="15"/>
  <c r="B40" i="15"/>
  <c r="A40" i="15"/>
  <c r="Q39" i="15"/>
  <c r="C39" i="15"/>
  <c r="B39" i="15"/>
  <c r="L38" i="15"/>
  <c r="K38" i="15"/>
  <c r="Q37" i="15"/>
  <c r="M37" i="15"/>
  <c r="L37" i="15"/>
  <c r="K37" i="15"/>
  <c r="M36" i="15"/>
  <c r="I36" i="15"/>
  <c r="E36" i="15"/>
  <c r="D36" i="15"/>
  <c r="J35" i="15"/>
  <c r="F35" i="15"/>
  <c r="E35" i="15"/>
  <c r="A35" i="15"/>
  <c r="H34" i="15"/>
  <c r="A34" i="15"/>
  <c r="Q33" i="15"/>
  <c r="P33" i="15"/>
  <c r="H33" i="15"/>
  <c r="A33" i="15"/>
  <c r="N32" i="15"/>
  <c r="M32" i="15"/>
  <c r="P31" i="15"/>
  <c r="O31" i="15"/>
  <c r="N31" i="15"/>
  <c r="M31" i="15"/>
  <c r="P30" i="15"/>
  <c r="L30" i="15"/>
  <c r="K30" i="15"/>
  <c r="J30" i="15"/>
  <c r="M29" i="15"/>
  <c r="L29" i="15"/>
  <c r="K29" i="15"/>
  <c r="A29" i="15"/>
  <c r="J28" i="15"/>
  <c r="I28" i="15"/>
  <c r="H28" i="15"/>
  <c r="A28" i="15"/>
  <c r="J27" i="15"/>
  <c r="I27" i="15"/>
  <c r="P26" i="15"/>
  <c r="O26" i="15"/>
  <c r="A26" i="15"/>
  <c r="Q25" i="15"/>
  <c r="P25" i="15"/>
  <c r="O25" i="15"/>
  <c r="G25" i="15"/>
  <c r="A25" i="15"/>
  <c r="Q24" i="15"/>
  <c r="P24" i="15"/>
  <c r="H24" i="15"/>
  <c r="A24" i="15"/>
  <c r="Q23" i="15"/>
  <c r="M23" i="15"/>
  <c r="Q22" i="15"/>
  <c r="P22" i="15"/>
  <c r="O22" i="15"/>
  <c r="N22" i="15"/>
  <c r="Q21" i="15"/>
  <c r="P21" i="15"/>
  <c r="L21" i="15"/>
  <c r="K21" i="15"/>
  <c r="K20" i="15"/>
  <c r="J20" i="15"/>
  <c r="I20" i="15"/>
  <c r="H20" i="15"/>
  <c r="O19" i="15"/>
  <c r="K19" i="15"/>
  <c r="J19" i="15"/>
  <c r="I19" i="15"/>
  <c r="A19" i="15"/>
  <c r="Q18" i="15"/>
  <c r="P18" i="15"/>
  <c r="L18" i="15"/>
  <c r="Q17" i="15"/>
  <c r="P17" i="15"/>
  <c r="O17" i="15"/>
  <c r="N17" i="15"/>
  <c r="B17" i="15"/>
  <c r="A17" i="15"/>
  <c r="N16" i="15"/>
  <c r="M16" i="15"/>
  <c r="B16" i="15"/>
  <c r="A16" i="15"/>
  <c r="Q15" i="15"/>
  <c r="P15" i="15"/>
  <c r="H15" i="15"/>
  <c r="D15" i="15"/>
  <c r="B15" i="15"/>
  <c r="A15" i="15"/>
  <c r="J14" i="15"/>
  <c r="I14" i="15"/>
  <c r="H14" i="15"/>
  <c r="D14" i="15"/>
  <c r="M13" i="15"/>
  <c r="L13" i="15"/>
  <c r="K13" i="15"/>
  <c r="J13" i="15"/>
  <c r="B13" i="15"/>
  <c r="A13" i="15"/>
  <c r="N12" i="15"/>
  <c r="M12" i="15"/>
  <c r="E12" i="15"/>
  <c r="B12" i="15"/>
  <c r="A12" i="15"/>
  <c r="Q11" i="15"/>
  <c r="I11" i="15"/>
  <c r="E11" i="15"/>
  <c r="D11" i="15"/>
  <c r="C11" i="15"/>
  <c r="L10" i="15"/>
  <c r="K10" i="15"/>
  <c r="J10" i="15"/>
  <c r="B10" i="15"/>
  <c r="P9" i="15"/>
  <c r="K9" i="15"/>
  <c r="J9" i="15"/>
  <c r="G9" i="15"/>
  <c r="F9" i="15"/>
  <c r="O8" i="15"/>
  <c r="M8" i="15"/>
  <c r="L8" i="15"/>
  <c r="F8" i="15"/>
  <c r="E8" i="15"/>
  <c r="Q7" i="15"/>
  <c r="L7" i="15"/>
  <c r="K7" i="15"/>
  <c r="J7" i="15"/>
  <c r="I7" i="15"/>
  <c r="C7" i="15"/>
  <c r="A7" i="15"/>
  <c r="N6" i="15"/>
  <c r="M6" i="15"/>
  <c r="L6" i="15"/>
  <c r="D6" i="15"/>
  <c r="Q5" i="15"/>
  <c r="P5" i="15"/>
  <c r="O5" i="15"/>
  <c r="K5" i="15"/>
  <c r="H5" i="15"/>
  <c r="C5" i="15"/>
  <c r="B5" i="15"/>
  <c r="A5" i="15"/>
  <c r="Q4" i="15"/>
  <c r="K4" i="15"/>
  <c r="I4" i="15"/>
  <c r="F4" i="15"/>
  <c r="Q3" i="15"/>
  <c r="P3" i="15"/>
  <c r="M3" i="15"/>
  <c r="A1" i="15"/>
  <c r="B1" i="15"/>
  <c r="A10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B23" i="14"/>
  <c r="F48" i="22"/>
  <c r="H47" i="22" s="1"/>
  <c r="B48" i="22"/>
  <c r="E43" i="22"/>
  <c r="J36" i="22"/>
  <c r="J39" i="22" s="1"/>
  <c r="D2" i="22" s="1"/>
  <c r="J33" i="22"/>
  <c r="J32" i="22"/>
  <c r="J31" i="22"/>
  <c r="J30" i="22"/>
  <c r="J29" i="22"/>
  <c r="J28" i="22"/>
  <c r="J27" i="22"/>
  <c r="A25" i="22"/>
  <c r="G18" i="22"/>
  <c r="G17" i="22"/>
  <c r="B17" i="22"/>
  <c r="B16" i="22"/>
  <c r="B15" i="22"/>
  <c r="B12" i="22"/>
  <c r="G10" i="22"/>
  <c r="B10" i="22"/>
  <c r="G9" i="22"/>
  <c r="B9" i="22"/>
  <c r="B4" i="22"/>
  <c r="A3" i="22"/>
  <c r="F4" i="22" s="1"/>
  <c r="G2" i="22"/>
  <c r="F2" i="22"/>
  <c r="E2" i="22"/>
  <c r="C2" i="22"/>
  <c r="B2" i="22"/>
  <c r="A2" i="22"/>
  <c r="N1" i="22"/>
  <c r="M1" i="22"/>
  <c r="G1" i="22"/>
  <c r="F1" i="22"/>
  <c r="E1" i="22"/>
  <c r="D1" i="22"/>
  <c r="C1" i="22"/>
  <c r="B1" i="22"/>
  <c r="A1" i="22"/>
  <c r="E43" i="14"/>
  <c r="F48" i="14"/>
  <c r="H47" i="14" s="1"/>
  <c r="A25" i="14"/>
  <c r="G17" i="14"/>
  <c r="G18" i="14"/>
  <c r="G10" i="14"/>
  <c r="G9" i="14"/>
  <c r="B17" i="14"/>
  <c r="B16" i="14"/>
  <c r="B15" i="14"/>
  <c r="B12" i="14"/>
  <c r="B10" i="14"/>
  <c r="B9" i="14"/>
  <c r="B4" i="14"/>
  <c r="A3" i="14"/>
  <c r="F4" i="14" s="1"/>
  <c r="C2001" i="20"/>
  <c r="A2001" i="20"/>
  <c r="C2000" i="20"/>
  <c r="A2000" i="20"/>
  <c r="C1999" i="20"/>
  <c r="A1999" i="20"/>
  <c r="C1998" i="20"/>
  <c r="A1998" i="20"/>
  <c r="C1997" i="20"/>
  <c r="A1997" i="20"/>
  <c r="C1996" i="20"/>
  <c r="A1996" i="20"/>
  <c r="C1995" i="20"/>
  <c r="A1995" i="20"/>
  <c r="C1994" i="20"/>
  <c r="A1994" i="20"/>
  <c r="C1993" i="20"/>
  <c r="A1993" i="20"/>
  <c r="C1992" i="20"/>
  <c r="A1992" i="20"/>
  <c r="C1991" i="20"/>
  <c r="A1991" i="20"/>
  <c r="C1990" i="20"/>
  <c r="A1990" i="20"/>
  <c r="C1989" i="20"/>
  <c r="A1989" i="20"/>
  <c r="C1988" i="20"/>
  <c r="A1988" i="20"/>
  <c r="C1987" i="20"/>
  <c r="A1987" i="20"/>
  <c r="C1986" i="20"/>
  <c r="A1986" i="20"/>
  <c r="C1985" i="20"/>
  <c r="A1985" i="20"/>
  <c r="C1984" i="20"/>
  <c r="A1984" i="20"/>
  <c r="C1983" i="20"/>
  <c r="A1983" i="20"/>
  <c r="C1982" i="20"/>
  <c r="A1982" i="20"/>
  <c r="C1981" i="20"/>
  <c r="A1981" i="20"/>
  <c r="C1980" i="20"/>
  <c r="A1980" i="20"/>
  <c r="C1979" i="20"/>
  <c r="A1979" i="20"/>
  <c r="C1978" i="20"/>
  <c r="A1978" i="20"/>
  <c r="C1977" i="20"/>
  <c r="A1977" i="20"/>
  <c r="C1976" i="20"/>
  <c r="A1976" i="20"/>
  <c r="C1975" i="20"/>
  <c r="A1975" i="20"/>
  <c r="C1974" i="20"/>
  <c r="A1974" i="20"/>
  <c r="C1973" i="20"/>
  <c r="A1973" i="20"/>
  <c r="C1972" i="20"/>
  <c r="A1972" i="20"/>
  <c r="C1971" i="20"/>
  <c r="A1971" i="20"/>
  <c r="C1970" i="20"/>
  <c r="A1970" i="20"/>
  <c r="C1969" i="20"/>
  <c r="A1969" i="20"/>
  <c r="C1968" i="20"/>
  <c r="A1968" i="20"/>
  <c r="C1967" i="20"/>
  <c r="A1967" i="20"/>
  <c r="C1966" i="20"/>
  <c r="A1966" i="20"/>
  <c r="C1965" i="20"/>
  <c r="A1965" i="20"/>
  <c r="C1964" i="20"/>
  <c r="A1964" i="20"/>
  <c r="C1963" i="20"/>
  <c r="A1963" i="20"/>
  <c r="C1962" i="20"/>
  <c r="A1962" i="20"/>
  <c r="C1961" i="20"/>
  <c r="A1961" i="20"/>
  <c r="C1960" i="20"/>
  <c r="A1960" i="20"/>
  <c r="C1959" i="20"/>
  <c r="A1959" i="20"/>
  <c r="C1958" i="20"/>
  <c r="A1958" i="20"/>
  <c r="C1957" i="20"/>
  <c r="A1957" i="20"/>
  <c r="C1956" i="20"/>
  <c r="A1956" i="20"/>
  <c r="C1955" i="20"/>
  <c r="A1955" i="20"/>
  <c r="C1954" i="20"/>
  <c r="A1954" i="20"/>
  <c r="C1953" i="20"/>
  <c r="A1953" i="20"/>
  <c r="C1952" i="20"/>
  <c r="A1952" i="20"/>
  <c r="C1951" i="20"/>
  <c r="A1951" i="20"/>
  <c r="C1950" i="20"/>
  <c r="A1950" i="20"/>
  <c r="C1949" i="20"/>
  <c r="A1949" i="20"/>
  <c r="C1948" i="20"/>
  <c r="A1948" i="20"/>
  <c r="C1947" i="20"/>
  <c r="A1947" i="20"/>
  <c r="C1946" i="20"/>
  <c r="A1946" i="20"/>
  <c r="C1945" i="20"/>
  <c r="A1945" i="20"/>
  <c r="C1944" i="20"/>
  <c r="A1944" i="20"/>
  <c r="C1943" i="20"/>
  <c r="A1943" i="20"/>
  <c r="C1942" i="20"/>
  <c r="A1942" i="20"/>
  <c r="C1941" i="20"/>
  <c r="A1941" i="20"/>
  <c r="C1940" i="20"/>
  <c r="A1940" i="20"/>
  <c r="C1939" i="20"/>
  <c r="A1939" i="20"/>
  <c r="C1938" i="20"/>
  <c r="A1938" i="20"/>
  <c r="C1937" i="20"/>
  <c r="A1937" i="20"/>
  <c r="C1936" i="20"/>
  <c r="A1936" i="20"/>
  <c r="C1935" i="20"/>
  <c r="A1935" i="20"/>
  <c r="C1934" i="20"/>
  <c r="A1934" i="20"/>
  <c r="C1933" i="20"/>
  <c r="A1933" i="20"/>
  <c r="C1932" i="20"/>
  <c r="A1932" i="20"/>
  <c r="C1931" i="20"/>
  <c r="A1931" i="20"/>
  <c r="C1930" i="20"/>
  <c r="A1930" i="20"/>
  <c r="C1929" i="20"/>
  <c r="A1929" i="20"/>
  <c r="C1928" i="20"/>
  <c r="A1928" i="20"/>
  <c r="C1927" i="20"/>
  <c r="A1927" i="20"/>
  <c r="C1926" i="20"/>
  <c r="A1926" i="20"/>
  <c r="C1925" i="20"/>
  <c r="A1925" i="20"/>
  <c r="C1924" i="20"/>
  <c r="A1924" i="20"/>
  <c r="C1923" i="20"/>
  <c r="A1923" i="20"/>
  <c r="C1922" i="20"/>
  <c r="A1922" i="20"/>
  <c r="C1921" i="20"/>
  <c r="A1921" i="20"/>
  <c r="C1920" i="20"/>
  <c r="A1920" i="20"/>
  <c r="C1919" i="20"/>
  <c r="A1919" i="20"/>
  <c r="C1918" i="20"/>
  <c r="A1918" i="20"/>
  <c r="C1917" i="20"/>
  <c r="A1917" i="20"/>
  <c r="C1916" i="20"/>
  <c r="A1916" i="20"/>
  <c r="C1915" i="20"/>
  <c r="A1915" i="20"/>
  <c r="C1914" i="20"/>
  <c r="A1914" i="20"/>
  <c r="C1913" i="20"/>
  <c r="A1913" i="20"/>
  <c r="C1912" i="20"/>
  <c r="A1912" i="20"/>
  <c r="C1911" i="20"/>
  <c r="A1911" i="20"/>
  <c r="C1910" i="20"/>
  <c r="A1910" i="20"/>
  <c r="C1909" i="20"/>
  <c r="A1909" i="20"/>
  <c r="C1908" i="20"/>
  <c r="A1908" i="20"/>
  <c r="C1907" i="20"/>
  <c r="A1907" i="20"/>
  <c r="C1906" i="20"/>
  <c r="A1906" i="20"/>
  <c r="C1905" i="20"/>
  <c r="A1905" i="20"/>
  <c r="C1904" i="20"/>
  <c r="A1904" i="20"/>
  <c r="C1903" i="20"/>
  <c r="A1903" i="20"/>
  <c r="C1902" i="20"/>
  <c r="A1902" i="20"/>
  <c r="C1901" i="20"/>
  <c r="A1901" i="20"/>
  <c r="C1900" i="20"/>
  <c r="A1900" i="20"/>
  <c r="C1899" i="20"/>
  <c r="A1899" i="20"/>
  <c r="C1898" i="20"/>
  <c r="A1898" i="20"/>
  <c r="C1897" i="20"/>
  <c r="A1897" i="20"/>
  <c r="C1896" i="20"/>
  <c r="A1896" i="20"/>
  <c r="C1895" i="20"/>
  <c r="A1895" i="20"/>
  <c r="C1894" i="20"/>
  <c r="A1894" i="20"/>
  <c r="C1893" i="20"/>
  <c r="A1893" i="20"/>
  <c r="C1892" i="20"/>
  <c r="A1892" i="20"/>
  <c r="C1891" i="20"/>
  <c r="A1891" i="20"/>
  <c r="C1890" i="20"/>
  <c r="A1890" i="20"/>
  <c r="C1889" i="20"/>
  <c r="A1889" i="20"/>
  <c r="C1888" i="20"/>
  <c r="A1888" i="20"/>
  <c r="C1887" i="20"/>
  <c r="A1887" i="20"/>
  <c r="C1886" i="20"/>
  <c r="A1886" i="20"/>
  <c r="C1885" i="20"/>
  <c r="A1885" i="20"/>
  <c r="C1884" i="20"/>
  <c r="A1884" i="20"/>
  <c r="C1883" i="20"/>
  <c r="A1883" i="20"/>
  <c r="C1882" i="20"/>
  <c r="A1882" i="20"/>
  <c r="C1881" i="20"/>
  <c r="A1881" i="20"/>
  <c r="C1880" i="20"/>
  <c r="A1880" i="20"/>
  <c r="C1879" i="20"/>
  <c r="A1879" i="20"/>
  <c r="C1878" i="20"/>
  <c r="A1878" i="20"/>
  <c r="C1877" i="20"/>
  <c r="A1877" i="20"/>
  <c r="C1876" i="20"/>
  <c r="A1876" i="20"/>
  <c r="C1875" i="20"/>
  <c r="A1875" i="20"/>
  <c r="C1874" i="20"/>
  <c r="A1874" i="20"/>
  <c r="C1873" i="20"/>
  <c r="A1873" i="20"/>
  <c r="C1872" i="20"/>
  <c r="A1872" i="20"/>
  <c r="C1871" i="20"/>
  <c r="A1871" i="20"/>
  <c r="C1870" i="20"/>
  <c r="A1870" i="20"/>
  <c r="C1869" i="20"/>
  <c r="A1869" i="20"/>
  <c r="C1868" i="20"/>
  <c r="A1868" i="20"/>
  <c r="C1867" i="20"/>
  <c r="A1867" i="20"/>
  <c r="C1866" i="20"/>
  <c r="A1866" i="20"/>
  <c r="C1865" i="20"/>
  <c r="A1865" i="20"/>
  <c r="C1864" i="20"/>
  <c r="A1864" i="20"/>
  <c r="C1863" i="20"/>
  <c r="A1863" i="20"/>
  <c r="C1862" i="20"/>
  <c r="A1862" i="20"/>
  <c r="C1861" i="20"/>
  <c r="A1861" i="20"/>
  <c r="C1860" i="20"/>
  <c r="A1860" i="20"/>
  <c r="C1859" i="20"/>
  <c r="A1859" i="20"/>
  <c r="C1858" i="20"/>
  <c r="A1858" i="20"/>
  <c r="C1857" i="20"/>
  <c r="A1857" i="20"/>
  <c r="C1856" i="20"/>
  <c r="A1856" i="20"/>
  <c r="C1855" i="20"/>
  <c r="A1855" i="20"/>
  <c r="C1854" i="20"/>
  <c r="A1854" i="20"/>
  <c r="C1853" i="20"/>
  <c r="A1853" i="20"/>
  <c r="C1852" i="20"/>
  <c r="A1852" i="20"/>
  <c r="C1851" i="20"/>
  <c r="A1851" i="20"/>
  <c r="C1850" i="20"/>
  <c r="A1850" i="20"/>
  <c r="C1849" i="20"/>
  <c r="A1849" i="20"/>
  <c r="C1848" i="20"/>
  <c r="A1848" i="20"/>
  <c r="C1847" i="20"/>
  <c r="A1847" i="20"/>
  <c r="C1846" i="20"/>
  <c r="A1846" i="20"/>
  <c r="C1845" i="20"/>
  <c r="A1845" i="20"/>
  <c r="C1844" i="20"/>
  <c r="A1844" i="20"/>
  <c r="C1843" i="20"/>
  <c r="A1843" i="20"/>
  <c r="C1842" i="20"/>
  <c r="A1842" i="20"/>
  <c r="C1841" i="20"/>
  <c r="A1841" i="20"/>
  <c r="C1840" i="20"/>
  <c r="A1840" i="20"/>
  <c r="C1839" i="20"/>
  <c r="A1839" i="20"/>
  <c r="C1838" i="20"/>
  <c r="A1838" i="20"/>
  <c r="C1837" i="20"/>
  <c r="A1837" i="20"/>
  <c r="C1836" i="20"/>
  <c r="A1836" i="20"/>
  <c r="C1835" i="20"/>
  <c r="A1835" i="20"/>
  <c r="C1834" i="20"/>
  <c r="A1834" i="20"/>
  <c r="C1833" i="20"/>
  <c r="A1833" i="20"/>
  <c r="C1832" i="20"/>
  <c r="A1832" i="20"/>
  <c r="C1831" i="20"/>
  <c r="A1831" i="20"/>
  <c r="C1830" i="20"/>
  <c r="A1830" i="20"/>
  <c r="C1829" i="20"/>
  <c r="A1829" i="20"/>
  <c r="C1828" i="20"/>
  <c r="A1828" i="20"/>
  <c r="C1827" i="20"/>
  <c r="A1827" i="20"/>
  <c r="C1826" i="20"/>
  <c r="A1826" i="20"/>
  <c r="C1825" i="20"/>
  <c r="A1825" i="20"/>
  <c r="C1824" i="20"/>
  <c r="A1824" i="20"/>
  <c r="C1823" i="20"/>
  <c r="A1823" i="20"/>
  <c r="C1822" i="20"/>
  <c r="A1822" i="20"/>
  <c r="C1821" i="20"/>
  <c r="A1821" i="20"/>
  <c r="C1820" i="20"/>
  <c r="A1820" i="20"/>
  <c r="C1819" i="20"/>
  <c r="A1819" i="20"/>
  <c r="C1818" i="20"/>
  <c r="A1818" i="20"/>
  <c r="C1817" i="20"/>
  <c r="A1817" i="20"/>
  <c r="C1816" i="20"/>
  <c r="A1816" i="20"/>
  <c r="C1815" i="20"/>
  <c r="A1815" i="20"/>
  <c r="C1814" i="20"/>
  <c r="A1814" i="20"/>
  <c r="C1813" i="20"/>
  <c r="A1813" i="20"/>
  <c r="C1812" i="20"/>
  <c r="A1812" i="20"/>
  <c r="C1811" i="20"/>
  <c r="A1811" i="20"/>
  <c r="C1810" i="20"/>
  <c r="A1810" i="20"/>
  <c r="C1809" i="20"/>
  <c r="A1809" i="20"/>
  <c r="C1808" i="20"/>
  <c r="A1808" i="20"/>
  <c r="C1807" i="20"/>
  <c r="A1807" i="20"/>
  <c r="C1806" i="20"/>
  <c r="A1806" i="20"/>
  <c r="C1805" i="20"/>
  <c r="A1805" i="20"/>
  <c r="C1804" i="20"/>
  <c r="A1804" i="20"/>
  <c r="C1803" i="20"/>
  <c r="A1803" i="20"/>
  <c r="C1802" i="20"/>
  <c r="A1802" i="20"/>
  <c r="C1801" i="20"/>
  <c r="A1801" i="20"/>
  <c r="C1800" i="20"/>
  <c r="A1800" i="20"/>
  <c r="C1799" i="20"/>
  <c r="A1799" i="20"/>
  <c r="C1798" i="20"/>
  <c r="A1798" i="20"/>
  <c r="C1797" i="20"/>
  <c r="A1797" i="20"/>
  <c r="C1796" i="20"/>
  <c r="A1796" i="20"/>
  <c r="C1795" i="20"/>
  <c r="A1795" i="20"/>
  <c r="C1794" i="20"/>
  <c r="A1794" i="20"/>
  <c r="C1793" i="20"/>
  <c r="A1793" i="20"/>
  <c r="C1792" i="20"/>
  <c r="A1792" i="20"/>
  <c r="C1791" i="20"/>
  <c r="A1791" i="20"/>
  <c r="C1790" i="20"/>
  <c r="A1790" i="20"/>
  <c r="C1789" i="20"/>
  <c r="A1789" i="20"/>
  <c r="C1788" i="20"/>
  <c r="A1788" i="20"/>
  <c r="C1787" i="20"/>
  <c r="A1787" i="20"/>
  <c r="C1786" i="20"/>
  <c r="A1786" i="20"/>
  <c r="C1785" i="20"/>
  <c r="A1785" i="20"/>
  <c r="C1784" i="20"/>
  <c r="A1784" i="20"/>
  <c r="C1783" i="20"/>
  <c r="A1783" i="20"/>
  <c r="C1782" i="20"/>
  <c r="A1782" i="20"/>
  <c r="C1781" i="20"/>
  <c r="A1781" i="20"/>
  <c r="C1780" i="20"/>
  <c r="A1780" i="20"/>
  <c r="C1779" i="20"/>
  <c r="A1779" i="20"/>
  <c r="C1778" i="20"/>
  <c r="A1778" i="20"/>
  <c r="C1777" i="20"/>
  <c r="A1777" i="20"/>
  <c r="C1776" i="20"/>
  <c r="A1776" i="20"/>
  <c r="C1775" i="20"/>
  <c r="A1775" i="20"/>
  <c r="C1774" i="20"/>
  <c r="A1774" i="20"/>
  <c r="C1773" i="20"/>
  <c r="A1773" i="20"/>
  <c r="C1772" i="20"/>
  <c r="A1772" i="20"/>
  <c r="C1771" i="20"/>
  <c r="A1771" i="20"/>
  <c r="C1770" i="20"/>
  <c r="A1770" i="20"/>
  <c r="C1769" i="20"/>
  <c r="A1769" i="20"/>
  <c r="C1768" i="20"/>
  <c r="A1768" i="20"/>
  <c r="C1767" i="20"/>
  <c r="A1767" i="20"/>
  <c r="C1766" i="20"/>
  <c r="A1766" i="20"/>
  <c r="C1765" i="20"/>
  <c r="A1765" i="20"/>
  <c r="C1764" i="20"/>
  <c r="A1764" i="20"/>
  <c r="C1763" i="20"/>
  <c r="A1763" i="20"/>
  <c r="C1762" i="20"/>
  <c r="A1762" i="20"/>
  <c r="C1761" i="20"/>
  <c r="A1761" i="20"/>
  <c r="C1760" i="20"/>
  <c r="A1760" i="20"/>
  <c r="C1759" i="20"/>
  <c r="A1759" i="20"/>
  <c r="C1758" i="20"/>
  <c r="A1758" i="20"/>
  <c r="C1757" i="20"/>
  <c r="A1757" i="20"/>
  <c r="C1756" i="20"/>
  <c r="A1756" i="20"/>
  <c r="C1755" i="20"/>
  <c r="A1755" i="20"/>
  <c r="C1754" i="20"/>
  <c r="A1754" i="20"/>
  <c r="C1753" i="20"/>
  <c r="A1753" i="20"/>
  <c r="C1752" i="20"/>
  <c r="A1752" i="20"/>
  <c r="C1751" i="20"/>
  <c r="A1751" i="20"/>
  <c r="C1750" i="20"/>
  <c r="A1750" i="20"/>
  <c r="C1749" i="20"/>
  <c r="A1749" i="20"/>
  <c r="C1748" i="20"/>
  <c r="A1748" i="20"/>
  <c r="C1747" i="20"/>
  <c r="A1747" i="20"/>
  <c r="C1746" i="20"/>
  <c r="A1746" i="20"/>
  <c r="C1745" i="20"/>
  <c r="A1745" i="20"/>
  <c r="C1744" i="20"/>
  <c r="A1744" i="20"/>
  <c r="C1743" i="20"/>
  <c r="A1743" i="20"/>
  <c r="C1742" i="20"/>
  <c r="A1742" i="20"/>
  <c r="C1741" i="20"/>
  <c r="A1741" i="20"/>
  <c r="C1740" i="20"/>
  <c r="A1740" i="20"/>
  <c r="C1739" i="20"/>
  <c r="A1739" i="20"/>
  <c r="C1738" i="20"/>
  <c r="A1738" i="20"/>
  <c r="C1737" i="20"/>
  <c r="A1737" i="20"/>
  <c r="C1736" i="20"/>
  <c r="A1736" i="20"/>
  <c r="C1735" i="20"/>
  <c r="A1735" i="20"/>
  <c r="C1734" i="20"/>
  <c r="A1734" i="20"/>
  <c r="C1733" i="20"/>
  <c r="A1733" i="20"/>
  <c r="C1732" i="20"/>
  <c r="A1732" i="20"/>
  <c r="C1731" i="20"/>
  <c r="A1731" i="20"/>
  <c r="C1730" i="20"/>
  <c r="A1730" i="20"/>
  <c r="C1729" i="20"/>
  <c r="A1729" i="20"/>
  <c r="C1728" i="20"/>
  <c r="A1728" i="20"/>
  <c r="C1727" i="20"/>
  <c r="A1727" i="20"/>
  <c r="C1726" i="20"/>
  <c r="A1726" i="20"/>
  <c r="C1725" i="20"/>
  <c r="A1725" i="20"/>
  <c r="C1724" i="20"/>
  <c r="A1724" i="20"/>
  <c r="C1723" i="20"/>
  <c r="A1723" i="20"/>
  <c r="C1722" i="20"/>
  <c r="A1722" i="20"/>
  <c r="C1721" i="20"/>
  <c r="A1721" i="20"/>
  <c r="C1720" i="20"/>
  <c r="A1720" i="20"/>
  <c r="C1719" i="20"/>
  <c r="A1719" i="20"/>
  <c r="C1718" i="20"/>
  <c r="A1718" i="20"/>
  <c r="C1717" i="20"/>
  <c r="A1717" i="20"/>
  <c r="C1716" i="20"/>
  <c r="A1716" i="20"/>
  <c r="C1715" i="20"/>
  <c r="A1715" i="20"/>
  <c r="C1714" i="20"/>
  <c r="A1714" i="20"/>
  <c r="C1713" i="20"/>
  <c r="A1713" i="20"/>
  <c r="C1712" i="20"/>
  <c r="A1712" i="20"/>
  <c r="C1711" i="20"/>
  <c r="A1711" i="20"/>
  <c r="C1710" i="20"/>
  <c r="A1710" i="20"/>
  <c r="C1709" i="20"/>
  <c r="A1709" i="20"/>
  <c r="C1708" i="20"/>
  <c r="A1708" i="20"/>
  <c r="C1707" i="20"/>
  <c r="A1707" i="20"/>
  <c r="C1706" i="20"/>
  <c r="A1706" i="20"/>
  <c r="C1705" i="20"/>
  <c r="A1705" i="20"/>
  <c r="C1704" i="20"/>
  <c r="A1704" i="20"/>
  <c r="C1703" i="20"/>
  <c r="A1703" i="20"/>
  <c r="C1702" i="20"/>
  <c r="A1702" i="20"/>
  <c r="C1701" i="20"/>
  <c r="A1701" i="20"/>
  <c r="C1700" i="20"/>
  <c r="A1700" i="20"/>
  <c r="C1699" i="20"/>
  <c r="A1699" i="20"/>
  <c r="C1698" i="20"/>
  <c r="A1698" i="20"/>
  <c r="C1697" i="20"/>
  <c r="A1697" i="20"/>
  <c r="C1696" i="20"/>
  <c r="A1696" i="20"/>
  <c r="C1695" i="20"/>
  <c r="A1695" i="20"/>
  <c r="C1694" i="20"/>
  <c r="A1694" i="20"/>
  <c r="C1693" i="20"/>
  <c r="A1693" i="20"/>
  <c r="C1692" i="20"/>
  <c r="A1692" i="20"/>
  <c r="C1691" i="20"/>
  <c r="A1691" i="20"/>
  <c r="C1690" i="20"/>
  <c r="A1690" i="20"/>
  <c r="C1689" i="20"/>
  <c r="A1689" i="20"/>
  <c r="C1688" i="20"/>
  <c r="A1688" i="20"/>
  <c r="C1687" i="20"/>
  <c r="A1687" i="20"/>
  <c r="C1686" i="20"/>
  <c r="A1686" i="20"/>
  <c r="C1685" i="20"/>
  <c r="A1685" i="20"/>
  <c r="C1684" i="20"/>
  <c r="A1684" i="20"/>
  <c r="C1683" i="20"/>
  <c r="A1683" i="20"/>
  <c r="C1682" i="20"/>
  <c r="A1682" i="20"/>
  <c r="C1681" i="20"/>
  <c r="A1681" i="20"/>
  <c r="C1680" i="20"/>
  <c r="A1680" i="20"/>
  <c r="C1679" i="20"/>
  <c r="A1679" i="20"/>
  <c r="C1678" i="20"/>
  <c r="A1678" i="20"/>
  <c r="C1677" i="20"/>
  <c r="A1677" i="20"/>
  <c r="C1676" i="20"/>
  <c r="A1676" i="20"/>
  <c r="C1675" i="20"/>
  <c r="A1675" i="20"/>
  <c r="C1674" i="20"/>
  <c r="A1674" i="20"/>
  <c r="C1673" i="20"/>
  <c r="A1673" i="20"/>
  <c r="C1672" i="20"/>
  <c r="A1672" i="20"/>
  <c r="C1671" i="20"/>
  <c r="A1671" i="20"/>
  <c r="C1670" i="20"/>
  <c r="A1670" i="20"/>
  <c r="C1669" i="20"/>
  <c r="A1669" i="20"/>
  <c r="C1668" i="20"/>
  <c r="A1668" i="20"/>
  <c r="C1667" i="20"/>
  <c r="A1667" i="20"/>
  <c r="C1666" i="20"/>
  <c r="A1666" i="20"/>
  <c r="C1665" i="20"/>
  <c r="A1665" i="20"/>
  <c r="C1664" i="20"/>
  <c r="A1664" i="20"/>
  <c r="C1663" i="20"/>
  <c r="A1663" i="20"/>
  <c r="C1662" i="20"/>
  <c r="A1662" i="20"/>
  <c r="C1661" i="20"/>
  <c r="A1661" i="20"/>
  <c r="C1660" i="20"/>
  <c r="A1660" i="20"/>
  <c r="C1659" i="20"/>
  <c r="A1659" i="20"/>
  <c r="C1658" i="20"/>
  <c r="A1658" i="20"/>
  <c r="C1657" i="20"/>
  <c r="A1657" i="20"/>
  <c r="C1656" i="20"/>
  <c r="A1656" i="20"/>
  <c r="C1655" i="20"/>
  <c r="A1655" i="20"/>
  <c r="C1654" i="20"/>
  <c r="A1654" i="20"/>
  <c r="C1653" i="20"/>
  <c r="A1653" i="20"/>
  <c r="C1652" i="20"/>
  <c r="A1652" i="20"/>
  <c r="C1651" i="20"/>
  <c r="A1651" i="20"/>
  <c r="C1650" i="20"/>
  <c r="A1650" i="20"/>
  <c r="C1649" i="20"/>
  <c r="A1649" i="20"/>
  <c r="C1648" i="20"/>
  <c r="A1648" i="20"/>
  <c r="C1647" i="20"/>
  <c r="A1647" i="20"/>
  <c r="C1646" i="20"/>
  <c r="A1646" i="20"/>
  <c r="C1645" i="20"/>
  <c r="A1645" i="20"/>
  <c r="C1644" i="20"/>
  <c r="A1644" i="20"/>
  <c r="C1643" i="20"/>
  <c r="A1643" i="20"/>
  <c r="C1642" i="20"/>
  <c r="A1642" i="20"/>
  <c r="C1641" i="20"/>
  <c r="A1641" i="20"/>
  <c r="C1640" i="20"/>
  <c r="A1640" i="20"/>
  <c r="C1639" i="20"/>
  <c r="A1639" i="20"/>
  <c r="C1638" i="20"/>
  <c r="A1638" i="20"/>
  <c r="C1637" i="20"/>
  <c r="A1637" i="20"/>
  <c r="C1636" i="20"/>
  <c r="A1636" i="20"/>
  <c r="C1635" i="20"/>
  <c r="A1635" i="20"/>
  <c r="C1634" i="20"/>
  <c r="A1634" i="20"/>
  <c r="C1633" i="20"/>
  <c r="A1633" i="20"/>
  <c r="C1632" i="20"/>
  <c r="A1632" i="20"/>
  <c r="C1631" i="20"/>
  <c r="A1631" i="20"/>
  <c r="C1630" i="20"/>
  <c r="A1630" i="20"/>
  <c r="C1629" i="20"/>
  <c r="A1629" i="20"/>
  <c r="C1628" i="20"/>
  <c r="A1628" i="20"/>
  <c r="C1627" i="20"/>
  <c r="A1627" i="20"/>
  <c r="C1626" i="20"/>
  <c r="A1626" i="20"/>
  <c r="C1625" i="20"/>
  <c r="A1625" i="20"/>
  <c r="C1624" i="20"/>
  <c r="A1624" i="20"/>
  <c r="C1623" i="20"/>
  <c r="A1623" i="20"/>
  <c r="C1622" i="20"/>
  <c r="A1622" i="20"/>
  <c r="C1621" i="20"/>
  <c r="A1621" i="20"/>
  <c r="C1620" i="20"/>
  <c r="A1620" i="20"/>
  <c r="C1619" i="20"/>
  <c r="A1619" i="20"/>
  <c r="C1618" i="20"/>
  <c r="A1618" i="20"/>
  <c r="C1617" i="20"/>
  <c r="A1617" i="20"/>
  <c r="C1616" i="20"/>
  <c r="A1616" i="20"/>
  <c r="C1615" i="20"/>
  <c r="A1615" i="20"/>
  <c r="C1614" i="20"/>
  <c r="A1614" i="20"/>
  <c r="C1613" i="20"/>
  <c r="A1613" i="20"/>
  <c r="C1612" i="20"/>
  <c r="A1612" i="20"/>
  <c r="C1611" i="20"/>
  <c r="A1611" i="20"/>
  <c r="C1610" i="20"/>
  <c r="A1610" i="20"/>
  <c r="C1609" i="20"/>
  <c r="A1609" i="20"/>
  <c r="C1608" i="20"/>
  <c r="A1608" i="20"/>
  <c r="C1607" i="20"/>
  <c r="A1607" i="20"/>
  <c r="C1606" i="20"/>
  <c r="A1606" i="20"/>
  <c r="C1605" i="20"/>
  <c r="A1605" i="20"/>
  <c r="C1604" i="20"/>
  <c r="A1604" i="20"/>
  <c r="C1603" i="20"/>
  <c r="A1603" i="20"/>
  <c r="C1602" i="20"/>
  <c r="A1602" i="20"/>
  <c r="C1601" i="20"/>
  <c r="A1601" i="20"/>
  <c r="C1600" i="20"/>
  <c r="A1600" i="20"/>
  <c r="C1599" i="20"/>
  <c r="A1599" i="20"/>
  <c r="C1598" i="20"/>
  <c r="A1598" i="20"/>
  <c r="C1597" i="20"/>
  <c r="A1597" i="20"/>
  <c r="C1596" i="20"/>
  <c r="A1596" i="20"/>
  <c r="C1595" i="20"/>
  <c r="A1595" i="20"/>
  <c r="C1594" i="20"/>
  <c r="A1594" i="20"/>
  <c r="C1593" i="20"/>
  <c r="A1593" i="20"/>
  <c r="C1592" i="20"/>
  <c r="A1592" i="20"/>
  <c r="C1591" i="20"/>
  <c r="A1591" i="20"/>
  <c r="C1590" i="20"/>
  <c r="A1590" i="20"/>
  <c r="C1589" i="20"/>
  <c r="A1589" i="20"/>
  <c r="C1588" i="20"/>
  <c r="A1588" i="20"/>
  <c r="C1587" i="20"/>
  <c r="A1587" i="20"/>
  <c r="C1586" i="20"/>
  <c r="A1586" i="20"/>
  <c r="C1585" i="20"/>
  <c r="A1585" i="20"/>
  <c r="C1584" i="20"/>
  <c r="A1584" i="20"/>
  <c r="C1583" i="20"/>
  <c r="A1583" i="20"/>
  <c r="C1582" i="20"/>
  <c r="A1582" i="20"/>
  <c r="C1581" i="20"/>
  <c r="A1581" i="20"/>
  <c r="C1580" i="20"/>
  <c r="A1580" i="20"/>
  <c r="C1579" i="20"/>
  <c r="A1579" i="20"/>
  <c r="C1578" i="20"/>
  <c r="A1578" i="20"/>
  <c r="C1577" i="20"/>
  <c r="A1577" i="20"/>
  <c r="C1576" i="20"/>
  <c r="A1576" i="20"/>
  <c r="C1575" i="20"/>
  <c r="A1575" i="20"/>
  <c r="C1574" i="20"/>
  <c r="A1574" i="20"/>
  <c r="C1573" i="20"/>
  <c r="A1573" i="20"/>
  <c r="C1572" i="20"/>
  <c r="A1572" i="20"/>
  <c r="C1571" i="20"/>
  <c r="A1571" i="20"/>
  <c r="C1570" i="20"/>
  <c r="A1570" i="20"/>
  <c r="C1569" i="20"/>
  <c r="A1569" i="20"/>
  <c r="C1568" i="20"/>
  <c r="A1568" i="20"/>
  <c r="C1567" i="20"/>
  <c r="A1567" i="20"/>
  <c r="C1566" i="20"/>
  <c r="A1566" i="20"/>
  <c r="C1565" i="20"/>
  <c r="A1565" i="20"/>
  <c r="C1564" i="20"/>
  <c r="A1564" i="20"/>
  <c r="C1563" i="20"/>
  <c r="A1563" i="20"/>
  <c r="C1562" i="20"/>
  <c r="A1562" i="20"/>
  <c r="C1561" i="20"/>
  <c r="A1561" i="20"/>
  <c r="C1560" i="20"/>
  <c r="A1560" i="20"/>
  <c r="C1559" i="20"/>
  <c r="A1559" i="20"/>
  <c r="C1558" i="20"/>
  <c r="A1558" i="20"/>
  <c r="C1557" i="20"/>
  <c r="A1557" i="20"/>
  <c r="C1556" i="20"/>
  <c r="A1556" i="20"/>
  <c r="C1555" i="20"/>
  <c r="A1555" i="20"/>
  <c r="C1554" i="20"/>
  <c r="A1554" i="20"/>
  <c r="C1553" i="20"/>
  <c r="A1553" i="20"/>
  <c r="C1552" i="20"/>
  <c r="A1552" i="20"/>
  <c r="C1551" i="20"/>
  <c r="A1551" i="20"/>
  <c r="C1550" i="20"/>
  <c r="A1550" i="20"/>
  <c r="C1549" i="20"/>
  <c r="A1549" i="20"/>
  <c r="C1548" i="20"/>
  <c r="A1548" i="20"/>
  <c r="C1547" i="20"/>
  <c r="A1547" i="20"/>
  <c r="C1546" i="20"/>
  <c r="A1546" i="20"/>
  <c r="C1545" i="20"/>
  <c r="A1545" i="20"/>
  <c r="C1544" i="20"/>
  <c r="A1544" i="20"/>
  <c r="C1543" i="20"/>
  <c r="A1543" i="20"/>
  <c r="C1542" i="20"/>
  <c r="A1542" i="20"/>
  <c r="C1541" i="20"/>
  <c r="A1541" i="20"/>
  <c r="C1540" i="20"/>
  <c r="A1540" i="20"/>
  <c r="C1539" i="20"/>
  <c r="A1539" i="20"/>
  <c r="C1538" i="20"/>
  <c r="A1538" i="20"/>
  <c r="C1537" i="20"/>
  <c r="A1537" i="20"/>
  <c r="C1536" i="20"/>
  <c r="A1536" i="20"/>
  <c r="C1535" i="20"/>
  <c r="A1535" i="20"/>
  <c r="C1534" i="20"/>
  <c r="A1534" i="20"/>
  <c r="C1533" i="20"/>
  <c r="A1533" i="20"/>
  <c r="C1532" i="20"/>
  <c r="A1532" i="20"/>
  <c r="C1531" i="20"/>
  <c r="A1531" i="20"/>
  <c r="C1530" i="20"/>
  <c r="A1530" i="20"/>
  <c r="C1529" i="20"/>
  <c r="A1529" i="20"/>
  <c r="C1528" i="20"/>
  <c r="A1528" i="20"/>
  <c r="C1527" i="20"/>
  <c r="A1527" i="20"/>
  <c r="C1526" i="20"/>
  <c r="A1526" i="20"/>
  <c r="C1525" i="20"/>
  <c r="A1525" i="20"/>
  <c r="C1524" i="20"/>
  <c r="A1524" i="20"/>
  <c r="C1523" i="20"/>
  <c r="A1523" i="20"/>
  <c r="C1522" i="20"/>
  <c r="A1522" i="20"/>
  <c r="C1521" i="20"/>
  <c r="A1521" i="20"/>
  <c r="C1520" i="20"/>
  <c r="A1520" i="20"/>
  <c r="C1519" i="20"/>
  <c r="A1519" i="20"/>
  <c r="C1518" i="20"/>
  <c r="A1518" i="20"/>
  <c r="C1517" i="20"/>
  <c r="A1517" i="20"/>
  <c r="C1516" i="20"/>
  <c r="A1516" i="20"/>
  <c r="C1515" i="20"/>
  <c r="A1515" i="20"/>
  <c r="C1514" i="20"/>
  <c r="A1514" i="20"/>
  <c r="C1513" i="20"/>
  <c r="A1513" i="20"/>
  <c r="C1512" i="20"/>
  <c r="A1512" i="20"/>
  <c r="C1511" i="20"/>
  <c r="A1511" i="20"/>
  <c r="C1510" i="20"/>
  <c r="A1510" i="20"/>
  <c r="C1509" i="20"/>
  <c r="A1509" i="20"/>
  <c r="C1508" i="20"/>
  <c r="A1508" i="20"/>
  <c r="C1507" i="20"/>
  <c r="A1507" i="20"/>
  <c r="C1506" i="20"/>
  <c r="A1506" i="20"/>
  <c r="C1505" i="20"/>
  <c r="A1505" i="20"/>
  <c r="C1504" i="20"/>
  <c r="A1504" i="20"/>
  <c r="C1503" i="20"/>
  <c r="A1503" i="20"/>
  <c r="C1502" i="20"/>
  <c r="A1502" i="20"/>
  <c r="C1501" i="20"/>
  <c r="A1501" i="20"/>
  <c r="C1500" i="20"/>
  <c r="A1500" i="20"/>
  <c r="C1499" i="20"/>
  <c r="A1499" i="20"/>
  <c r="C1498" i="20"/>
  <c r="A1498" i="20"/>
  <c r="C1497" i="20"/>
  <c r="A1497" i="20"/>
  <c r="C1496" i="20"/>
  <c r="A1496" i="20"/>
  <c r="C1495" i="20"/>
  <c r="A1495" i="20"/>
  <c r="C1494" i="20"/>
  <c r="A1494" i="20"/>
  <c r="C1493" i="20"/>
  <c r="A1493" i="20"/>
  <c r="C1492" i="20"/>
  <c r="A1492" i="20"/>
  <c r="C1491" i="20"/>
  <c r="A1491" i="20"/>
  <c r="C1490" i="20"/>
  <c r="A1490" i="20"/>
  <c r="C1489" i="20"/>
  <c r="A1489" i="20"/>
  <c r="C1488" i="20"/>
  <c r="A1488" i="20"/>
  <c r="C1487" i="20"/>
  <c r="A1487" i="20"/>
  <c r="C1486" i="20"/>
  <c r="A1486" i="20"/>
  <c r="C1485" i="20"/>
  <c r="A1485" i="20"/>
  <c r="C1484" i="20"/>
  <c r="A1484" i="20"/>
  <c r="C1483" i="20"/>
  <c r="A1483" i="20"/>
  <c r="C1482" i="20"/>
  <c r="A1482" i="20"/>
  <c r="C1481" i="20"/>
  <c r="A1481" i="20"/>
  <c r="C1480" i="20"/>
  <c r="A1480" i="20"/>
  <c r="C1479" i="20"/>
  <c r="A1479" i="20"/>
  <c r="C1478" i="20"/>
  <c r="A1478" i="20"/>
  <c r="C1477" i="20"/>
  <c r="A1477" i="20"/>
  <c r="C1476" i="20"/>
  <c r="A1476" i="20"/>
  <c r="C1475" i="20"/>
  <c r="A1475" i="20"/>
  <c r="C1474" i="20"/>
  <c r="A1474" i="20"/>
  <c r="C1473" i="20"/>
  <c r="A1473" i="20"/>
  <c r="C1472" i="20"/>
  <c r="A1472" i="20"/>
  <c r="C1471" i="20"/>
  <c r="A1471" i="20"/>
  <c r="C1470" i="20"/>
  <c r="A1470" i="20"/>
  <c r="C1469" i="20"/>
  <c r="A1469" i="20"/>
  <c r="C1468" i="20"/>
  <c r="A1468" i="20"/>
  <c r="C1467" i="20"/>
  <c r="A1467" i="20"/>
  <c r="C1466" i="20"/>
  <c r="A1466" i="20"/>
  <c r="C1465" i="20"/>
  <c r="A1465" i="20"/>
  <c r="C1464" i="20"/>
  <c r="A1464" i="20"/>
  <c r="C1463" i="20"/>
  <c r="A1463" i="20"/>
  <c r="C1462" i="20"/>
  <c r="A1462" i="20"/>
  <c r="C1461" i="20"/>
  <c r="A1461" i="20"/>
  <c r="C1460" i="20"/>
  <c r="A1460" i="20"/>
  <c r="C1459" i="20"/>
  <c r="A1459" i="20"/>
  <c r="C1458" i="20"/>
  <c r="A1458" i="20"/>
  <c r="C1457" i="20"/>
  <c r="A1457" i="20"/>
  <c r="C1456" i="20"/>
  <c r="A1456" i="20"/>
  <c r="C1455" i="20"/>
  <c r="A1455" i="20"/>
  <c r="C1454" i="20"/>
  <c r="A1454" i="20"/>
  <c r="C1453" i="20"/>
  <c r="A1453" i="20"/>
  <c r="C1452" i="20"/>
  <c r="A1452" i="20"/>
  <c r="C1451" i="20"/>
  <c r="A1451" i="20"/>
  <c r="C1450" i="20"/>
  <c r="A1450" i="20"/>
  <c r="C1449" i="20"/>
  <c r="A1449" i="20"/>
  <c r="C1448" i="20"/>
  <c r="A1448" i="20"/>
  <c r="C1447" i="20"/>
  <c r="A1447" i="20"/>
  <c r="C1446" i="20"/>
  <c r="A1446" i="20"/>
  <c r="C1445" i="20"/>
  <c r="A1445" i="20"/>
  <c r="C1444" i="20"/>
  <c r="A1444" i="20"/>
  <c r="C1443" i="20"/>
  <c r="A1443" i="20"/>
  <c r="C1442" i="20"/>
  <c r="A1442" i="20"/>
  <c r="C1441" i="20"/>
  <c r="A1441" i="20"/>
  <c r="C1440" i="20"/>
  <c r="A1440" i="20"/>
  <c r="C1439" i="20"/>
  <c r="A1439" i="20"/>
  <c r="C1438" i="20"/>
  <c r="A1438" i="20"/>
  <c r="C1437" i="20"/>
  <c r="A1437" i="20"/>
  <c r="C1436" i="20"/>
  <c r="A1436" i="20"/>
  <c r="C1435" i="20"/>
  <c r="A1435" i="20"/>
  <c r="C1434" i="20"/>
  <c r="A1434" i="20"/>
  <c r="C1433" i="20"/>
  <c r="A1433" i="20"/>
  <c r="C1432" i="20"/>
  <c r="A1432" i="20"/>
  <c r="C1431" i="20"/>
  <c r="A1431" i="20"/>
  <c r="C1430" i="20"/>
  <c r="A1430" i="20"/>
  <c r="C1429" i="20"/>
  <c r="A1429" i="20"/>
  <c r="C1428" i="20"/>
  <c r="A1428" i="20"/>
  <c r="C1427" i="20"/>
  <c r="A1427" i="20"/>
  <c r="C1426" i="20"/>
  <c r="A1426" i="20"/>
  <c r="C1425" i="20"/>
  <c r="A1425" i="20"/>
  <c r="C1424" i="20"/>
  <c r="A1424" i="20"/>
  <c r="C1423" i="20"/>
  <c r="A1423" i="20"/>
  <c r="C1422" i="20"/>
  <c r="A1422" i="20"/>
  <c r="C1421" i="20"/>
  <c r="A1421" i="20"/>
  <c r="C1420" i="20"/>
  <c r="A1420" i="20"/>
  <c r="C1419" i="20"/>
  <c r="A1419" i="20"/>
  <c r="C1418" i="20"/>
  <c r="A1418" i="20"/>
  <c r="C1417" i="20"/>
  <c r="A1417" i="20"/>
  <c r="C1416" i="20"/>
  <c r="A1416" i="20"/>
  <c r="C1415" i="20"/>
  <c r="A1415" i="20"/>
  <c r="C1414" i="20"/>
  <c r="A1414" i="20"/>
  <c r="C1413" i="20"/>
  <c r="A1413" i="20"/>
  <c r="C1412" i="20"/>
  <c r="A1412" i="20"/>
  <c r="C1411" i="20"/>
  <c r="A1411" i="20"/>
  <c r="C1410" i="20"/>
  <c r="A1410" i="20"/>
  <c r="C1409" i="20"/>
  <c r="A1409" i="20"/>
  <c r="C1408" i="20"/>
  <c r="A1408" i="20"/>
  <c r="C1407" i="20"/>
  <c r="A1407" i="20"/>
  <c r="C1406" i="20"/>
  <c r="A1406" i="20"/>
  <c r="C1405" i="20"/>
  <c r="A1405" i="20"/>
  <c r="C1404" i="20"/>
  <c r="A1404" i="20"/>
  <c r="C1403" i="20"/>
  <c r="A1403" i="20"/>
  <c r="C1402" i="20"/>
  <c r="A1402" i="20"/>
  <c r="C1401" i="20"/>
  <c r="A1401" i="20"/>
  <c r="C1400" i="20"/>
  <c r="A1400" i="20"/>
  <c r="C1399" i="20"/>
  <c r="A1399" i="20"/>
  <c r="C1398" i="20"/>
  <c r="A1398" i="20"/>
  <c r="C1397" i="20"/>
  <c r="A1397" i="20"/>
  <c r="C1396" i="20"/>
  <c r="A1396" i="20"/>
  <c r="C1395" i="20"/>
  <c r="A1395" i="20"/>
  <c r="C1394" i="20"/>
  <c r="A1394" i="20"/>
  <c r="C1393" i="20"/>
  <c r="A1393" i="20"/>
  <c r="C1392" i="20"/>
  <c r="A1392" i="20"/>
  <c r="C1391" i="20"/>
  <c r="A1391" i="20"/>
  <c r="C1390" i="20"/>
  <c r="A1390" i="20"/>
  <c r="C1389" i="20"/>
  <c r="A1389" i="20"/>
  <c r="C1388" i="20"/>
  <c r="A1388" i="20"/>
  <c r="C1387" i="20"/>
  <c r="A1387" i="20"/>
  <c r="C1386" i="20"/>
  <c r="A1386" i="20"/>
  <c r="C1385" i="20"/>
  <c r="A1385" i="20"/>
  <c r="C1384" i="20"/>
  <c r="A1384" i="20"/>
  <c r="C1383" i="20"/>
  <c r="A1383" i="20"/>
  <c r="C1382" i="20"/>
  <c r="A1382" i="20"/>
  <c r="C1381" i="20"/>
  <c r="A1381" i="20"/>
  <c r="C1380" i="20"/>
  <c r="A1380" i="20"/>
  <c r="C1379" i="20"/>
  <c r="A1379" i="20"/>
  <c r="C1378" i="20"/>
  <c r="A1378" i="20"/>
  <c r="C1377" i="20"/>
  <c r="A1377" i="20"/>
  <c r="C1376" i="20"/>
  <c r="A1376" i="20"/>
  <c r="C1375" i="20"/>
  <c r="A1375" i="20"/>
  <c r="C1374" i="20"/>
  <c r="A1374" i="20"/>
  <c r="C1373" i="20"/>
  <c r="A1373" i="20"/>
  <c r="C1372" i="20"/>
  <c r="A1372" i="20"/>
  <c r="C1371" i="20"/>
  <c r="A1371" i="20"/>
  <c r="C1370" i="20"/>
  <c r="A1370" i="20"/>
  <c r="C1369" i="20"/>
  <c r="A1369" i="20"/>
  <c r="C1368" i="20"/>
  <c r="A1368" i="20"/>
  <c r="C1367" i="20"/>
  <c r="A1367" i="20"/>
  <c r="C1366" i="20"/>
  <c r="A1366" i="20"/>
  <c r="C1365" i="20"/>
  <c r="A1365" i="20"/>
  <c r="C1364" i="20"/>
  <c r="A1364" i="20"/>
  <c r="C1363" i="20"/>
  <c r="A1363" i="20"/>
  <c r="C1362" i="20"/>
  <c r="A1362" i="20"/>
  <c r="C1361" i="20"/>
  <c r="A1361" i="20"/>
  <c r="C1360" i="20"/>
  <c r="A1360" i="20"/>
  <c r="C1359" i="20"/>
  <c r="A1359" i="20"/>
  <c r="C1358" i="20"/>
  <c r="A1358" i="20"/>
  <c r="C1357" i="20"/>
  <c r="A1357" i="20"/>
  <c r="C1356" i="20"/>
  <c r="A1356" i="20"/>
  <c r="C1355" i="20"/>
  <c r="A1355" i="20"/>
  <c r="C1354" i="20"/>
  <c r="A1354" i="20"/>
  <c r="C1353" i="20"/>
  <c r="A1353" i="20"/>
  <c r="C1352" i="20"/>
  <c r="A1352" i="20"/>
  <c r="C1351" i="20"/>
  <c r="A1351" i="20"/>
  <c r="C1350" i="20"/>
  <c r="A1350" i="20"/>
  <c r="C1349" i="20"/>
  <c r="A1349" i="20"/>
  <c r="C1348" i="20"/>
  <c r="A1348" i="20"/>
  <c r="C1347" i="20"/>
  <c r="A1347" i="20"/>
  <c r="C1346" i="20"/>
  <c r="A1346" i="20"/>
  <c r="C1345" i="20"/>
  <c r="A1345" i="20"/>
  <c r="C1344" i="20"/>
  <c r="A1344" i="20"/>
  <c r="C1343" i="20"/>
  <c r="A1343" i="20"/>
  <c r="C1342" i="20"/>
  <c r="A1342" i="20"/>
  <c r="C1341" i="20"/>
  <c r="A1341" i="20"/>
  <c r="C1340" i="20"/>
  <c r="A1340" i="20"/>
  <c r="C1339" i="20"/>
  <c r="A1339" i="20"/>
  <c r="C1338" i="20"/>
  <c r="A1338" i="20"/>
  <c r="C1337" i="20"/>
  <c r="A1337" i="20"/>
  <c r="C1336" i="20"/>
  <c r="A1336" i="20"/>
  <c r="C1335" i="20"/>
  <c r="A1335" i="20"/>
  <c r="C1334" i="20"/>
  <c r="A1334" i="20"/>
  <c r="C1333" i="20"/>
  <c r="A1333" i="20"/>
  <c r="C1332" i="20"/>
  <c r="A1332" i="20"/>
  <c r="C1331" i="20"/>
  <c r="A1331" i="20"/>
  <c r="C1330" i="20"/>
  <c r="A1330" i="20"/>
  <c r="C1329" i="20"/>
  <c r="A1329" i="20"/>
  <c r="C1328" i="20"/>
  <c r="A1328" i="20"/>
  <c r="C1327" i="20"/>
  <c r="A1327" i="20"/>
  <c r="C1326" i="20"/>
  <c r="A1326" i="20"/>
  <c r="C1325" i="20"/>
  <c r="A1325" i="20"/>
  <c r="C1324" i="20"/>
  <c r="A1324" i="20"/>
  <c r="C1323" i="20"/>
  <c r="A1323" i="20"/>
  <c r="C1322" i="20"/>
  <c r="A1322" i="20"/>
  <c r="C1321" i="20"/>
  <c r="A1321" i="20"/>
  <c r="C1320" i="20"/>
  <c r="A1320" i="20"/>
  <c r="C1319" i="20"/>
  <c r="A1319" i="20"/>
  <c r="C1318" i="20"/>
  <c r="A1318" i="20"/>
  <c r="C1317" i="20"/>
  <c r="A1317" i="20"/>
  <c r="C1316" i="20"/>
  <c r="A1316" i="20"/>
  <c r="C1315" i="20"/>
  <c r="A1315" i="20"/>
  <c r="C1314" i="20"/>
  <c r="A1314" i="20"/>
  <c r="C1313" i="20"/>
  <c r="A1313" i="20"/>
  <c r="C1312" i="20"/>
  <c r="A1312" i="20"/>
  <c r="C1311" i="20"/>
  <c r="A1311" i="20"/>
  <c r="C1310" i="20"/>
  <c r="A1310" i="20"/>
  <c r="C1309" i="20"/>
  <c r="A1309" i="20"/>
  <c r="C1308" i="20"/>
  <c r="A1308" i="20"/>
  <c r="C1307" i="20"/>
  <c r="A1307" i="20"/>
  <c r="C1306" i="20"/>
  <c r="A1306" i="20"/>
  <c r="C1305" i="20"/>
  <c r="A1305" i="20"/>
  <c r="C1304" i="20"/>
  <c r="A1304" i="20"/>
  <c r="C1303" i="20"/>
  <c r="A1303" i="20"/>
  <c r="C1302" i="20"/>
  <c r="A1302" i="20"/>
  <c r="C1301" i="20"/>
  <c r="A1301" i="20"/>
  <c r="C1300" i="20"/>
  <c r="A1300" i="20"/>
  <c r="C1299" i="20"/>
  <c r="A1299" i="20"/>
  <c r="C1298" i="20"/>
  <c r="A1298" i="20"/>
  <c r="C1297" i="20"/>
  <c r="A1297" i="20"/>
  <c r="C1296" i="20"/>
  <c r="A1296" i="20"/>
  <c r="C1295" i="20"/>
  <c r="A1295" i="20"/>
  <c r="C1294" i="20"/>
  <c r="A1294" i="20"/>
  <c r="C1293" i="20"/>
  <c r="A1293" i="20"/>
  <c r="C1292" i="20"/>
  <c r="A1292" i="20"/>
  <c r="C1291" i="20"/>
  <c r="A1291" i="20"/>
  <c r="C1290" i="20"/>
  <c r="A1290" i="20"/>
  <c r="C1289" i="20"/>
  <c r="A1289" i="20"/>
  <c r="C1288" i="20"/>
  <c r="A1288" i="20"/>
  <c r="C1287" i="20"/>
  <c r="A1287" i="20"/>
  <c r="C1286" i="20"/>
  <c r="A1286" i="20"/>
  <c r="C1285" i="20"/>
  <c r="A1285" i="20"/>
  <c r="C1284" i="20"/>
  <c r="A1284" i="20"/>
  <c r="C1283" i="20"/>
  <c r="A1283" i="20"/>
  <c r="C1282" i="20"/>
  <c r="A1282" i="20"/>
  <c r="C1281" i="20"/>
  <c r="A1281" i="20"/>
  <c r="C1280" i="20"/>
  <c r="A1280" i="20"/>
  <c r="C1279" i="20"/>
  <c r="A1279" i="20"/>
  <c r="C1278" i="20"/>
  <c r="A1278" i="20"/>
  <c r="C1277" i="20"/>
  <c r="A1277" i="20"/>
  <c r="C1276" i="20"/>
  <c r="A1276" i="20"/>
  <c r="C1275" i="20"/>
  <c r="A1275" i="20"/>
  <c r="C1274" i="20"/>
  <c r="A1274" i="20"/>
  <c r="C1273" i="20"/>
  <c r="A1273" i="20"/>
  <c r="C1272" i="20"/>
  <c r="A1272" i="20"/>
  <c r="C1271" i="20"/>
  <c r="A1271" i="20"/>
  <c r="C1270" i="20"/>
  <c r="A1270" i="20"/>
  <c r="C1269" i="20"/>
  <c r="A1269" i="20"/>
  <c r="C1268" i="20"/>
  <c r="A1268" i="20"/>
  <c r="C1267" i="20"/>
  <c r="A1267" i="20"/>
  <c r="C1266" i="20"/>
  <c r="A1266" i="20"/>
  <c r="C1265" i="20"/>
  <c r="A1265" i="20"/>
  <c r="C1264" i="20"/>
  <c r="A1264" i="20"/>
  <c r="C1263" i="20"/>
  <c r="A1263" i="20"/>
  <c r="C1262" i="20"/>
  <c r="A1262" i="20"/>
  <c r="C1261" i="20"/>
  <c r="A1261" i="20"/>
  <c r="C1260" i="20"/>
  <c r="A1260" i="20"/>
  <c r="C1259" i="20"/>
  <c r="A1259" i="20"/>
  <c r="C1258" i="20"/>
  <c r="A1258" i="20"/>
  <c r="C1257" i="20"/>
  <c r="A1257" i="20"/>
  <c r="C1256" i="20"/>
  <c r="A1256" i="20"/>
  <c r="C1255" i="20"/>
  <c r="A1255" i="20"/>
  <c r="C1254" i="20"/>
  <c r="A1254" i="20"/>
  <c r="C1253" i="20"/>
  <c r="A1253" i="20"/>
  <c r="C1252" i="20"/>
  <c r="A1252" i="20"/>
  <c r="C1251" i="20"/>
  <c r="A1251" i="20"/>
  <c r="C1250" i="20"/>
  <c r="A1250" i="20"/>
  <c r="C1249" i="20"/>
  <c r="A1249" i="20"/>
  <c r="C1248" i="20"/>
  <c r="A1248" i="20"/>
  <c r="C1247" i="20"/>
  <c r="A1247" i="20"/>
  <c r="C1246" i="20"/>
  <c r="A1246" i="20"/>
  <c r="C1245" i="20"/>
  <c r="A1245" i="20"/>
  <c r="C1244" i="20"/>
  <c r="A1244" i="20"/>
  <c r="C1243" i="20"/>
  <c r="A1243" i="20"/>
  <c r="C1242" i="20"/>
  <c r="A1242" i="20"/>
  <c r="C1241" i="20"/>
  <c r="A1241" i="20"/>
  <c r="C1240" i="20"/>
  <c r="A1240" i="20"/>
  <c r="C1239" i="20"/>
  <c r="A1239" i="20"/>
  <c r="C1238" i="20"/>
  <c r="A1238" i="20"/>
  <c r="C1237" i="20"/>
  <c r="A1237" i="20"/>
  <c r="C1236" i="20"/>
  <c r="A1236" i="20"/>
  <c r="C1235" i="20"/>
  <c r="A1235" i="20"/>
  <c r="C1234" i="20"/>
  <c r="A1234" i="20"/>
  <c r="C1233" i="20"/>
  <c r="A1233" i="20"/>
  <c r="C1232" i="20"/>
  <c r="A1232" i="20"/>
  <c r="C1231" i="20"/>
  <c r="A1231" i="20"/>
  <c r="C1230" i="20"/>
  <c r="A1230" i="20"/>
  <c r="C1229" i="20"/>
  <c r="A1229" i="20"/>
  <c r="C1228" i="20"/>
  <c r="A1228" i="20"/>
  <c r="C1227" i="20"/>
  <c r="A1227" i="20"/>
  <c r="C1226" i="20"/>
  <c r="A1226" i="20"/>
  <c r="C1225" i="20"/>
  <c r="A1225" i="20"/>
  <c r="C1224" i="20"/>
  <c r="A1224" i="20"/>
  <c r="C1223" i="20"/>
  <c r="A1223" i="20"/>
  <c r="C1222" i="20"/>
  <c r="A1222" i="20"/>
  <c r="C1221" i="20"/>
  <c r="A1221" i="20"/>
  <c r="C1220" i="20"/>
  <c r="A1220" i="20"/>
  <c r="C1219" i="20"/>
  <c r="A1219" i="20"/>
  <c r="C1218" i="20"/>
  <c r="A1218" i="20"/>
  <c r="C1217" i="20"/>
  <c r="A1217" i="20"/>
  <c r="C1216" i="20"/>
  <c r="A1216" i="20"/>
  <c r="C1215" i="20"/>
  <c r="A1215" i="20"/>
  <c r="C1214" i="20"/>
  <c r="A1214" i="20"/>
  <c r="C1213" i="20"/>
  <c r="A1213" i="20"/>
  <c r="C1212" i="20"/>
  <c r="A1212" i="20"/>
  <c r="C1211" i="20"/>
  <c r="A1211" i="20"/>
  <c r="C1210" i="20"/>
  <c r="A1210" i="20"/>
  <c r="C1209" i="20"/>
  <c r="A1209" i="20"/>
  <c r="C1208" i="20"/>
  <c r="A1208" i="20"/>
  <c r="C1207" i="20"/>
  <c r="A1207" i="20"/>
  <c r="C1206" i="20"/>
  <c r="A1206" i="20"/>
  <c r="C1205" i="20"/>
  <c r="A1205" i="20"/>
  <c r="C1204" i="20"/>
  <c r="A1204" i="20"/>
  <c r="C1203" i="20"/>
  <c r="A1203" i="20"/>
  <c r="C1202" i="20"/>
  <c r="A1202" i="20"/>
  <c r="C1201" i="20"/>
  <c r="A1201" i="20"/>
  <c r="C1200" i="20"/>
  <c r="A1200" i="20"/>
  <c r="C1199" i="20"/>
  <c r="A1199" i="20"/>
  <c r="C1198" i="20"/>
  <c r="A1198" i="20"/>
  <c r="C1197" i="20"/>
  <c r="A1197" i="20"/>
  <c r="C1196" i="20"/>
  <c r="A1196" i="20"/>
  <c r="C1195" i="20"/>
  <c r="A1195" i="20"/>
  <c r="C1194" i="20"/>
  <c r="A1194" i="20"/>
  <c r="C1193" i="20"/>
  <c r="A1193" i="20"/>
  <c r="C1192" i="20"/>
  <c r="A1192" i="20"/>
  <c r="C1191" i="20"/>
  <c r="A1191" i="20"/>
  <c r="C1190" i="20"/>
  <c r="A1190" i="20"/>
  <c r="C1189" i="20"/>
  <c r="A1189" i="20"/>
  <c r="C1188" i="20"/>
  <c r="A1188" i="20"/>
  <c r="C1187" i="20"/>
  <c r="A1187" i="20"/>
  <c r="C1186" i="20"/>
  <c r="A1186" i="20"/>
  <c r="C1185" i="20"/>
  <c r="A1185" i="20"/>
  <c r="C1184" i="20"/>
  <c r="A1184" i="20"/>
  <c r="C1183" i="20"/>
  <c r="A1183" i="20"/>
  <c r="C1182" i="20"/>
  <c r="A1182" i="20"/>
  <c r="C1181" i="20"/>
  <c r="A1181" i="20"/>
  <c r="C1180" i="20"/>
  <c r="A1180" i="20"/>
  <c r="C1179" i="20"/>
  <c r="A1179" i="20"/>
  <c r="C1178" i="20"/>
  <c r="A1178" i="20"/>
  <c r="C1177" i="20"/>
  <c r="A1177" i="20"/>
  <c r="C1176" i="20"/>
  <c r="A1176" i="20"/>
  <c r="C1175" i="20"/>
  <c r="A1175" i="20"/>
  <c r="C1174" i="20"/>
  <c r="A1174" i="20"/>
  <c r="C1173" i="20"/>
  <c r="A1173" i="20"/>
  <c r="C1172" i="20"/>
  <c r="A1172" i="20"/>
  <c r="C1171" i="20"/>
  <c r="A1171" i="20"/>
  <c r="C1170" i="20"/>
  <c r="A1170" i="20"/>
  <c r="C1169" i="20"/>
  <c r="A1169" i="20"/>
  <c r="C1168" i="20"/>
  <c r="A1168" i="20"/>
  <c r="C1167" i="20"/>
  <c r="A1167" i="20"/>
  <c r="C1166" i="20"/>
  <c r="A1166" i="20"/>
  <c r="C1165" i="20"/>
  <c r="A1165" i="20"/>
  <c r="C1164" i="20"/>
  <c r="A1164" i="20"/>
  <c r="C1163" i="20"/>
  <c r="A1163" i="20"/>
  <c r="C1162" i="20"/>
  <c r="A1162" i="20"/>
  <c r="C1161" i="20"/>
  <c r="A1161" i="20"/>
  <c r="C1160" i="20"/>
  <c r="A1160" i="20"/>
  <c r="C1159" i="20"/>
  <c r="A1159" i="20"/>
  <c r="C1158" i="20"/>
  <c r="A1158" i="20"/>
  <c r="C1157" i="20"/>
  <c r="A1157" i="20"/>
  <c r="C1156" i="20"/>
  <c r="A1156" i="20"/>
  <c r="C1155" i="20"/>
  <c r="A1155" i="20"/>
  <c r="C1154" i="20"/>
  <c r="A1154" i="20"/>
  <c r="C1153" i="20"/>
  <c r="A1153" i="20"/>
  <c r="C1152" i="20"/>
  <c r="A1152" i="20"/>
  <c r="C1151" i="20"/>
  <c r="A1151" i="20"/>
  <c r="C1150" i="20"/>
  <c r="A1150" i="20"/>
  <c r="C1149" i="20"/>
  <c r="A1149" i="20"/>
  <c r="C1148" i="20"/>
  <c r="A1148" i="20"/>
  <c r="C1147" i="20"/>
  <c r="A1147" i="20"/>
  <c r="C1146" i="20"/>
  <c r="A1146" i="20"/>
  <c r="C1145" i="20"/>
  <c r="A1145" i="20"/>
  <c r="C1144" i="20"/>
  <c r="A1144" i="20"/>
  <c r="C1143" i="20"/>
  <c r="A1143" i="20"/>
  <c r="C1142" i="20"/>
  <c r="A1142" i="20"/>
  <c r="C1141" i="20"/>
  <c r="A1141" i="20"/>
  <c r="C1140" i="20"/>
  <c r="A1140" i="20"/>
  <c r="C1139" i="20"/>
  <c r="A1139" i="20"/>
  <c r="C1138" i="20"/>
  <c r="A1138" i="20"/>
  <c r="C1137" i="20"/>
  <c r="A1137" i="20"/>
  <c r="C1136" i="20"/>
  <c r="A1136" i="20"/>
  <c r="C1135" i="20"/>
  <c r="A1135" i="20"/>
  <c r="C1134" i="20"/>
  <c r="A1134" i="20"/>
  <c r="C1133" i="20"/>
  <c r="A1133" i="20"/>
  <c r="C1132" i="20"/>
  <c r="A1132" i="20"/>
  <c r="C1131" i="20"/>
  <c r="A1131" i="20"/>
  <c r="C1130" i="20"/>
  <c r="A1130" i="20"/>
  <c r="C1129" i="20"/>
  <c r="A1129" i="20"/>
  <c r="C1128" i="20"/>
  <c r="A1128" i="20"/>
  <c r="C1127" i="20"/>
  <c r="A1127" i="20"/>
  <c r="C1126" i="20"/>
  <c r="A1126" i="20"/>
  <c r="C1125" i="20"/>
  <c r="A1125" i="20"/>
  <c r="C1124" i="20"/>
  <c r="A1124" i="20"/>
  <c r="C1123" i="20"/>
  <c r="A1123" i="20"/>
  <c r="C1122" i="20"/>
  <c r="A1122" i="20"/>
  <c r="C1121" i="20"/>
  <c r="A1121" i="20"/>
  <c r="C1120" i="20"/>
  <c r="A1120" i="20"/>
  <c r="C1119" i="20"/>
  <c r="A1119" i="20"/>
  <c r="C1118" i="20"/>
  <c r="A1118" i="20"/>
  <c r="C1117" i="20"/>
  <c r="A1117" i="20"/>
  <c r="C1116" i="20"/>
  <c r="A1116" i="20"/>
  <c r="C1115" i="20"/>
  <c r="A1115" i="20"/>
  <c r="C1114" i="20"/>
  <c r="A1114" i="20"/>
  <c r="C1113" i="20"/>
  <c r="A1113" i="20"/>
  <c r="C1112" i="20"/>
  <c r="A1112" i="20"/>
  <c r="C1111" i="20"/>
  <c r="A1111" i="20"/>
  <c r="C1110" i="20"/>
  <c r="A1110" i="20"/>
  <c r="C1109" i="20"/>
  <c r="A1109" i="20"/>
  <c r="C1108" i="20"/>
  <c r="A1108" i="20"/>
  <c r="C1107" i="20"/>
  <c r="A1107" i="20"/>
  <c r="C1106" i="20"/>
  <c r="A1106" i="20"/>
  <c r="C1105" i="20"/>
  <c r="A1105" i="20"/>
  <c r="C1104" i="20"/>
  <c r="A1104" i="20"/>
  <c r="C1103" i="20"/>
  <c r="A1103" i="20"/>
  <c r="C1102" i="20"/>
  <c r="A1102" i="20"/>
  <c r="C1101" i="20"/>
  <c r="A1101" i="20"/>
  <c r="C1100" i="20"/>
  <c r="A1100" i="20"/>
  <c r="C1099" i="20"/>
  <c r="A1099" i="20"/>
  <c r="C1098" i="20"/>
  <c r="A1098" i="20"/>
  <c r="C1097" i="20"/>
  <c r="A1097" i="20"/>
  <c r="C1096" i="20"/>
  <c r="A1096" i="20"/>
  <c r="C1095" i="20"/>
  <c r="A1095" i="20"/>
  <c r="C1094" i="20"/>
  <c r="A1094" i="20"/>
  <c r="C1093" i="20"/>
  <c r="A1093" i="20"/>
  <c r="C1092" i="20"/>
  <c r="A1092" i="20"/>
  <c r="C1091" i="20"/>
  <c r="A1091" i="20"/>
  <c r="C1090" i="20"/>
  <c r="A1090" i="20"/>
  <c r="C1089" i="20"/>
  <c r="A1089" i="20"/>
  <c r="C1088" i="20"/>
  <c r="A1088" i="20"/>
  <c r="C1087" i="20"/>
  <c r="A1087" i="20"/>
  <c r="C1086" i="20"/>
  <c r="A1086" i="20"/>
  <c r="C1085" i="20"/>
  <c r="A1085" i="20"/>
  <c r="C1084" i="20"/>
  <c r="A1084" i="20"/>
  <c r="C1083" i="20"/>
  <c r="A1083" i="20"/>
  <c r="C1082" i="20"/>
  <c r="A1082" i="20"/>
  <c r="C1081" i="20"/>
  <c r="A1081" i="20"/>
  <c r="C1080" i="20"/>
  <c r="A1080" i="20"/>
  <c r="C1079" i="20"/>
  <c r="A1079" i="20"/>
  <c r="C1078" i="20"/>
  <c r="A1078" i="20"/>
  <c r="C1077" i="20"/>
  <c r="A1077" i="20"/>
  <c r="C1076" i="20"/>
  <c r="A1076" i="20"/>
  <c r="C1075" i="20"/>
  <c r="A1075" i="20"/>
  <c r="C1074" i="20"/>
  <c r="A1074" i="20"/>
  <c r="C1073" i="20"/>
  <c r="A1073" i="20"/>
  <c r="C1072" i="20"/>
  <c r="A1072" i="20"/>
  <c r="C1071" i="20"/>
  <c r="A1071" i="20"/>
  <c r="C1070" i="20"/>
  <c r="A1070" i="20"/>
  <c r="C1069" i="20"/>
  <c r="A1069" i="20"/>
  <c r="C1068" i="20"/>
  <c r="A1068" i="20"/>
  <c r="C1067" i="20"/>
  <c r="A1067" i="20"/>
  <c r="C1066" i="20"/>
  <c r="A1066" i="20"/>
  <c r="C1065" i="20"/>
  <c r="A1065" i="20"/>
  <c r="C1064" i="20"/>
  <c r="A1064" i="20"/>
  <c r="C1063" i="20"/>
  <c r="A1063" i="20"/>
  <c r="C1062" i="20"/>
  <c r="A1062" i="20"/>
  <c r="C1061" i="20"/>
  <c r="A1061" i="20"/>
  <c r="C1060" i="20"/>
  <c r="A1060" i="20"/>
  <c r="C1059" i="20"/>
  <c r="A1059" i="20"/>
  <c r="C1058" i="20"/>
  <c r="A1058" i="20"/>
  <c r="C1057" i="20"/>
  <c r="A1057" i="20"/>
  <c r="C1056" i="20"/>
  <c r="A1056" i="20"/>
  <c r="C1055" i="20"/>
  <c r="A1055" i="20"/>
  <c r="C1054" i="20"/>
  <c r="A1054" i="20"/>
  <c r="C1053" i="20"/>
  <c r="A1053" i="20"/>
  <c r="C1052" i="20"/>
  <c r="A1052" i="20"/>
  <c r="C1051" i="20"/>
  <c r="A1051" i="20"/>
  <c r="C1050" i="20"/>
  <c r="A1050" i="20"/>
  <c r="C1049" i="20"/>
  <c r="A1049" i="20"/>
  <c r="C1048" i="20"/>
  <c r="A1048" i="20"/>
  <c r="C1047" i="20"/>
  <c r="A1047" i="20"/>
  <c r="C1046" i="20"/>
  <c r="A1046" i="20"/>
  <c r="C1045" i="20"/>
  <c r="A1045" i="20"/>
  <c r="C1044" i="20"/>
  <c r="A1044" i="20"/>
  <c r="C1043" i="20"/>
  <c r="A1043" i="20"/>
  <c r="C1042" i="20"/>
  <c r="A1042" i="20"/>
  <c r="C1041" i="20"/>
  <c r="A1041" i="20"/>
  <c r="C1040" i="20"/>
  <c r="A1040" i="20"/>
  <c r="C1039" i="20"/>
  <c r="A1039" i="20"/>
  <c r="C1038" i="20"/>
  <c r="A1038" i="20"/>
  <c r="C1037" i="20"/>
  <c r="A1037" i="20"/>
  <c r="C1036" i="20"/>
  <c r="A1036" i="20"/>
  <c r="C1035" i="20"/>
  <c r="A1035" i="20"/>
  <c r="C1034" i="20"/>
  <c r="A1034" i="20"/>
  <c r="C1033" i="20"/>
  <c r="A1033" i="20"/>
  <c r="C1032" i="20"/>
  <c r="A1032" i="20"/>
  <c r="C1031" i="20"/>
  <c r="A1031" i="20"/>
  <c r="C1030" i="20"/>
  <c r="A1030" i="20"/>
  <c r="C1029" i="20"/>
  <c r="A1029" i="20"/>
  <c r="C1028" i="20"/>
  <c r="A1028" i="20"/>
  <c r="C1027" i="20"/>
  <c r="A1027" i="20"/>
  <c r="C1026" i="20"/>
  <c r="A1026" i="20"/>
  <c r="C1025" i="20"/>
  <c r="A1025" i="20"/>
  <c r="C1024" i="20"/>
  <c r="A1024" i="20"/>
  <c r="C1023" i="20"/>
  <c r="A1023" i="20"/>
  <c r="C1022" i="20"/>
  <c r="A1022" i="20"/>
  <c r="C1021" i="20"/>
  <c r="A1021" i="20"/>
  <c r="C1020" i="20"/>
  <c r="A1020" i="20"/>
  <c r="C1019" i="20"/>
  <c r="A1019" i="20"/>
  <c r="C1018" i="20"/>
  <c r="A1018" i="20"/>
  <c r="C1017" i="20"/>
  <c r="A1017" i="20"/>
  <c r="C1016" i="20"/>
  <c r="A1016" i="20"/>
  <c r="C1015" i="20"/>
  <c r="A1015" i="20"/>
  <c r="C1014" i="20"/>
  <c r="A1014" i="20"/>
  <c r="C1013" i="20"/>
  <c r="A1013" i="20"/>
  <c r="C1012" i="20"/>
  <c r="A1012" i="20"/>
  <c r="C1011" i="20"/>
  <c r="A1011" i="20"/>
  <c r="C1010" i="20"/>
  <c r="A1010" i="20"/>
  <c r="C1009" i="20"/>
  <c r="A1009" i="20"/>
  <c r="C1008" i="20"/>
  <c r="A1008" i="20"/>
  <c r="C1007" i="20"/>
  <c r="A1007" i="20"/>
  <c r="C1006" i="20"/>
  <c r="A1006" i="20"/>
  <c r="C1005" i="20"/>
  <c r="A1005" i="20"/>
  <c r="C1004" i="20"/>
  <c r="A1004" i="20"/>
  <c r="C1003" i="20"/>
  <c r="A1003" i="20"/>
  <c r="C1002" i="20"/>
  <c r="A1002" i="20"/>
  <c r="C1001" i="20"/>
  <c r="A1001" i="20"/>
  <c r="C1000" i="20"/>
  <c r="A1000" i="20"/>
  <c r="C999" i="20"/>
  <c r="A999" i="20"/>
  <c r="C998" i="20"/>
  <c r="A998" i="20"/>
  <c r="C997" i="20"/>
  <c r="A997" i="20"/>
  <c r="C996" i="20"/>
  <c r="A996" i="20"/>
  <c r="C995" i="20"/>
  <c r="A995" i="20"/>
  <c r="C994" i="20"/>
  <c r="A994" i="20"/>
  <c r="C993" i="20"/>
  <c r="A993" i="20"/>
  <c r="C992" i="20"/>
  <c r="A992" i="20"/>
  <c r="C991" i="20"/>
  <c r="A991" i="20"/>
  <c r="C990" i="20"/>
  <c r="A990" i="20"/>
  <c r="C989" i="20"/>
  <c r="A989" i="20"/>
  <c r="C988" i="20"/>
  <c r="A988" i="20"/>
  <c r="C987" i="20"/>
  <c r="A987" i="20"/>
  <c r="C986" i="20"/>
  <c r="A986" i="20"/>
  <c r="C985" i="20"/>
  <c r="A985" i="20"/>
  <c r="C984" i="20"/>
  <c r="A984" i="20"/>
  <c r="C983" i="20"/>
  <c r="A983" i="20"/>
  <c r="C982" i="20"/>
  <c r="A982" i="20"/>
  <c r="C981" i="20"/>
  <c r="A981" i="20"/>
  <c r="C980" i="20"/>
  <c r="A980" i="20"/>
  <c r="C979" i="20"/>
  <c r="A979" i="20"/>
  <c r="C978" i="20"/>
  <c r="A978" i="20"/>
  <c r="C977" i="20"/>
  <c r="A977" i="20"/>
  <c r="C976" i="20"/>
  <c r="A976" i="20"/>
  <c r="C975" i="20"/>
  <c r="A975" i="20"/>
  <c r="C974" i="20"/>
  <c r="A974" i="20"/>
  <c r="C973" i="20"/>
  <c r="A973" i="20"/>
  <c r="C972" i="20"/>
  <c r="A972" i="20"/>
  <c r="C971" i="20"/>
  <c r="A971" i="20"/>
  <c r="C970" i="20"/>
  <c r="A970" i="20"/>
  <c r="C969" i="20"/>
  <c r="A969" i="20"/>
  <c r="C968" i="20"/>
  <c r="A968" i="20"/>
  <c r="C967" i="20"/>
  <c r="A967" i="20"/>
  <c r="C966" i="20"/>
  <c r="A966" i="20"/>
  <c r="C965" i="20"/>
  <c r="A965" i="20"/>
  <c r="C964" i="20"/>
  <c r="A964" i="20"/>
  <c r="C963" i="20"/>
  <c r="A963" i="20"/>
  <c r="C962" i="20"/>
  <c r="A962" i="20"/>
  <c r="C961" i="20"/>
  <c r="A961" i="20"/>
  <c r="C960" i="20"/>
  <c r="A960" i="20"/>
  <c r="C959" i="20"/>
  <c r="A959" i="20"/>
  <c r="C958" i="20"/>
  <c r="A958" i="20"/>
  <c r="C957" i="20"/>
  <c r="A957" i="20"/>
  <c r="C956" i="20"/>
  <c r="A956" i="20"/>
  <c r="C955" i="20"/>
  <c r="A955" i="20"/>
  <c r="C954" i="20"/>
  <c r="A954" i="20"/>
  <c r="C953" i="20"/>
  <c r="A953" i="20"/>
  <c r="C952" i="20"/>
  <c r="A952" i="20"/>
  <c r="C951" i="20"/>
  <c r="A951" i="20"/>
  <c r="C950" i="20"/>
  <c r="A950" i="20"/>
  <c r="C949" i="20"/>
  <c r="A949" i="20"/>
  <c r="C948" i="20"/>
  <c r="A948" i="20"/>
  <c r="C947" i="20"/>
  <c r="A947" i="20"/>
  <c r="C946" i="20"/>
  <c r="A946" i="20"/>
  <c r="C945" i="20"/>
  <c r="A945" i="20"/>
  <c r="C944" i="20"/>
  <c r="A944" i="20"/>
  <c r="C943" i="20"/>
  <c r="A943" i="20"/>
  <c r="C942" i="20"/>
  <c r="A942" i="20"/>
  <c r="C941" i="20"/>
  <c r="A941" i="20"/>
  <c r="C940" i="20"/>
  <c r="A940" i="20"/>
  <c r="C939" i="20"/>
  <c r="A939" i="20"/>
  <c r="C938" i="20"/>
  <c r="A938" i="20"/>
  <c r="C937" i="20"/>
  <c r="A937" i="20"/>
  <c r="C936" i="20"/>
  <c r="A936" i="20"/>
  <c r="C935" i="20"/>
  <c r="A935" i="20"/>
  <c r="C934" i="20"/>
  <c r="A934" i="20"/>
  <c r="C933" i="20"/>
  <c r="A933" i="20"/>
  <c r="C932" i="20"/>
  <c r="A932" i="20"/>
  <c r="C931" i="20"/>
  <c r="A931" i="20"/>
  <c r="C930" i="20"/>
  <c r="A930" i="20"/>
  <c r="C929" i="20"/>
  <c r="A929" i="20"/>
  <c r="C928" i="20"/>
  <c r="A928" i="20"/>
  <c r="C927" i="20"/>
  <c r="A927" i="20"/>
  <c r="C926" i="20"/>
  <c r="A926" i="20"/>
  <c r="C925" i="20"/>
  <c r="A925" i="20"/>
  <c r="C924" i="20"/>
  <c r="A924" i="20"/>
  <c r="C923" i="20"/>
  <c r="A923" i="20"/>
  <c r="C922" i="20"/>
  <c r="A922" i="20"/>
  <c r="C921" i="20"/>
  <c r="A921" i="20"/>
  <c r="C920" i="20"/>
  <c r="A920" i="20"/>
  <c r="C919" i="20"/>
  <c r="A919" i="20"/>
  <c r="C918" i="20"/>
  <c r="A918" i="20"/>
  <c r="C917" i="20"/>
  <c r="A917" i="20"/>
  <c r="C916" i="20"/>
  <c r="A916" i="20"/>
  <c r="C915" i="20"/>
  <c r="A915" i="20"/>
  <c r="C914" i="20"/>
  <c r="A914" i="20"/>
  <c r="C913" i="20"/>
  <c r="A913" i="20"/>
  <c r="C912" i="20"/>
  <c r="A912" i="20"/>
  <c r="C911" i="20"/>
  <c r="A911" i="20"/>
  <c r="C910" i="20"/>
  <c r="A910" i="20"/>
  <c r="C909" i="20"/>
  <c r="A909" i="20"/>
  <c r="C908" i="20"/>
  <c r="A908" i="20"/>
  <c r="C907" i="20"/>
  <c r="A907" i="20"/>
  <c r="C906" i="20"/>
  <c r="A906" i="20"/>
  <c r="C905" i="20"/>
  <c r="A905" i="20"/>
  <c r="C904" i="20"/>
  <c r="A904" i="20"/>
  <c r="C903" i="20"/>
  <c r="A903" i="20"/>
  <c r="C902" i="20"/>
  <c r="A902" i="20"/>
  <c r="C901" i="20"/>
  <c r="A901" i="20"/>
  <c r="C900" i="20"/>
  <c r="A900" i="20"/>
  <c r="C899" i="20"/>
  <c r="A899" i="20"/>
  <c r="C898" i="20"/>
  <c r="A898" i="20"/>
  <c r="C897" i="20"/>
  <c r="A897" i="20"/>
  <c r="C896" i="20"/>
  <c r="A896" i="20"/>
  <c r="C895" i="20"/>
  <c r="A895" i="20"/>
  <c r="C894" i="20"/>
  <c r="A894" i="20"/>
  <c r="C893" i="20"/>
  <c r="A893" i="20"/>
  <c r="C892" i="20"/>
  <c r="A892" i="20"/>
  <c r="C891" i="20"/>
  <c r="A891" i="20"/>
  <c r="C890" i="20"/>
  <c r="A890" i="20"/>
  <c r="C889" i="20"/>
  <c r="A889" i="20"/>
  <c r="C888" i="20"/>
  <c r="A888" i="20"/>
  <c r="C887" i="20"/>
  <c r="A887" i="20"/>
  <c r="C886" i="20"/>
  <c r="A886" i="20"/>
  <c r="C885" i="20"/>
  <c r="A885" i="20"/>
  <c r="C884" i="20"/>
  <c r="A884" i="20"/>
  <c r="C883" i="20"/>
  <c r="A883" i="20"/>
  <c r="C882" i="20"/>
  <c r="A882" i="20"/>
  <c r="C881" i="20"/>
  <c r="A881" i="20"/>
  <c r="C880" i="20"/>
  <c r="A880" i="20"/>
  <c r="C879" i="20"/>
  <c r="A879" i="20"/>
  <c r="C878" i="20"/>
  <c r="A878" i="20"/>
  <c r="C877" i="20"/>
  <c r="A877" i="20"/>
  <c r="C876" i="20"/>
  <c r="A876" i="20"/>
  <c r="C875" i="20"/>
  <c r="A875" i="20"/>
  <c r="C874" i="20"/>
  <c r="A874" i="20"/>
  <c r="C873" i="20"/>
  <c r="A873" i="20"/>
  <c r="C872" i="20"/>
  <c r="A872" i="20"/>
  <c r="C871" i="20"/>
  <c r="A871" i="20"/>
  <c r="C870" i="20"/>
  <c r="A870" i="20"/>
  <c r="C869" i="20"/>
  <c r="A869" i="20"/>
  <c r="C868" i="20"/>
  <c r="A868" i="20"/>
  <c r="C867" i="20"/>
  <c r="A867" i="20"/>
  <c r="C866" i="20"/>
  <c r="A866" i="20"/>
  <c r="C865" i="20"/>
  <c r="A865" i="20"/>
  <c r="C864" i="20"/>
  <c r="A864" i="20"/>
  <c r="C863" i="20"/>
  <c r="A863" i="20"/>
  <c r="C862" i="20"/>
  <c r="A862" i="20"/>
  <c r="C861" i="20"/>
  <c r="A861" i="20"/>
  <c r="C860" i="20"/>
  <c r="A860" i="20"/>
  <c r="C859" i="20"/>
  <c r="A859" i="20"/>
  <c r="C858" i="20"/>
  <c r="A858" i="20"/>
  <c r="C857" i="20"/>
  <c r="A857" i="20"/>
  <c r="C856" i="20"/>
  <c r="A856" i="20"/>
  <c r="C855" i="20"/>
  <c r="A855" i="20"/>
  <c r="C854" i="20"/>
  <c r="A854" i="20"/>
  <c r="C853" i="20"/>
  <c r="A853" i="20"/>
  <c r="C852" i="20"/>
  <c r="A852" i="20"/>
  <c r="C851" i="20"/>
  <c r="A851" i="20"/>
  <c r="C850" i="20"/>
  <c r="A850" i="20"/>
  <c r="C849" i="20"/>
  <c r="A849" i="20"/>
  <c r="C848" i="20"/>
  <c r="A848" i="20"/>
  <c r="C847" i="20"/>
  <c r="A847" i="20"/>
  <c r="C846" i="20"/>
  <c r="A846" i="20"/>
  <c r="C845" i="20"/>
  <c r="A845" i="20"/>
  <c r="C844" i="20"/>
  <c r="A844" i="20"/>
  <c r="C843" i="20"/>
  <c r="A843" i="20"/>
  <c r="C842" i="20"/>
  <c r="A842" i="20"/>
  <c r="C841" i="20"/>
  <c r="A841" i="20"/>
  <c r="C840" i="20"/>
  <c r="A840" i="20"/>
  <c r="C839" i="20"/>
  <c r="A839" i="20"/>
  <c r="C838" i="20"/>
  <c r="A838" i="20"/>
  <c r="C837" i="20"/>
  <c r="A837" i="20"/>
  <c r="C836" i="20"/>
  <c r="A836" i="20"/>
  <c r="C835" i="20"/>
  <c r="A835" i="20"/>
  <c r="C834" i="20"/>
  <c r="A834" i="20"/>
  <c r="C833" i="20"/>
  <c r="A833" i="20"/>
  <c r="C832" i="20"/>
  <c r="A832" i="20"/>
  <c r="C831" i="20"/>
  <c r="A831" i="20"/>
  <c r="C830" i="20"/>
  <c r="A830" i="20"/>
  <c r="C829" i="20"/>
  <c r="A829" i="20"/>
  <c r="C828" i="20"/>
  <c r="A828" i="20"/>
  <c r="C827" i="20"/>
  <c r="A827" i="20"/>
  <c r="C826" i="20"/>
  <c r="A826" i="20"/>
  <c r="C825" i="20"/>
  <c r="A825" i="20"/>
  <c r="C824" i="20"/>
  <c r="A824" i="20"/>
  <c r="C823" i="20"/>
  <c r="A823" i="20"/>
  <c r="C822" i="20"/>
  <c r="A822" i="20"/>
  <c r="C821" i="20"/>
  <c r="A821" i="20"/>
  <c r="C820" i="20"/>
  <c r="A820" i="20"/>
  <c r="C819" i="20"/>
  <c r="A819" i="20"/>
  <c r="C818" i="20"/>
  <c r="A818" i="20"/>
  <c r="C817" i="20"/>
  <c r="A817" i="20"/>
  <c r="C816" i="20"/>
  <c r="A816" i="20"/>
  <c r="C815" i="20"/>
  <c r="A815" i="20"/>
  <c r="C814" i="20"/>
  <c r="A814" i="20"/>
  <c r="C813" i="20"/>
  <c r="A813" i="20"/>
  <c r="C812" i="20"/>
  <c r="A812" i="20"/>
  <c r="C811" i="20"/>
  <c r="A811" i="20"/>
  <c r="C810" i="20"/>
  <c r="A810" i="20"/>
  <c r="C809" i="20"/>
  <c r="A809" i="20"/>
  <c r="C808" i="20"/>
  <c r="A808" i="20"/>
  <c r="C807" i="20"/>
  <c r="A807" i="20"/>
  <c r="C806" i="20"/>
  <c r="A806" i="20"/>
  <c r="C805" i="20"/>
  <c r="A805" i="20"/>
  <c r="C804" i="20"/>
  <c r="A804" i="20"/>
  <c r="C803" i="20"/>
  <c r="A803" i="20"/>
  <c r="C802" i="20"/>
  <c r="A802" i="20"/>
  <c r="C801" i="20"/>
  <c r="A801" i="20"/>
  <c r="C800" i="20"/>
  <c r="A800" i="20"/>
  <c r="C799" i="20"/>
  <c r="A799" i="20"/>
  <c r="C798" i="20"/>
  <c r="A798" i="20"/>
  <c r="C797" i="20"/>
  <c r="A797" i="20"/>
  <c r="C796" i="20"/>
  <c r="A796" i="20"/>
  <c r="C795" i="20"/>
  <c r="A795" i="20"/>
  <c r="C794" i="20"/>
  <c r="A794" i="20"/>
  <c r="C793" i="20"/>
  <c r="A793" i="20"/>
  <c r="C792" i="20"/>
  <c r="A792" i="20"/>
  <c r="C791" i="20"/>
  <c r="A791" i="20"/>
  <c r="C790" i="20"/>
  <c r="A790" i="20"/>
  <c r="C789" i="20"/>
  <c r="A789" i="20"/>
  <c r="C788" i="20"/>
  <c r="A788" i="20"/>
  <c r="C787" i="20"/>
  <c r="A787" i="20"/>
  <c r="C786" i="20"/>
  <c r="A786" i="20"/>
  <c r="C785" i="20"/>
  <c r="A785" i="20"/>
  <c r="C784" i="20"/>
  <c r="A784" i="20"/>
  <c r="C783" i="20"/>
  <c r="A783" i="20"/>
  <c r="C782" i="20"/>
  <c r="A782" i="20"/>
  <c r="C781" i="20"/>
  <c r="A781" i="20"/>
  <c r="C780" i="20"/>
  <c r="A780" i="20"/>
  <c r="C779" i="20"/>
  <c r="A779" i="20"/>
  <c r="C778" i="20"/>
  <c r="A778" i="20"/>
  <c r="C777" i="20"/>
  <c r="A777" i="20"/>
  <c r="C776" i="20"/>
  <c r="A776" i="20"/>
  <c r="C775" i="20"/>
  <c r="A775" i="20"/>
  <c r="C774" i="20"/>
  <c r="A774" i="20"/>
  <c r="C773" i="20"/>
  <c r="A773" i="20"/>
  <c r="C772" i="20"/>
  <c r="A772" i="20"/>
  <c r="C771" i="20"/>
  <c r="A771" i="20"/>
  <c r="C770" i="20"/>
  <c r="A770" i="20"/>
  <c r="C769" i="20"/>
  <c r="A769" i="20"/>
  <c r="C768" i="20"/>
  <c r="A768" i="20"/>
  <c r="C767" i="20"/>
  <c r="A767" i="20"/>
  <c r="C766" i="20"/>
  <c r="A766" i="20"/>
  <c r="C765" i="20"/>
  <c r="A765" i="20"/>
  <c r="C764" i="20"/>
  <c r="A764" i="20"/>
  <c r="C763" i="20"/>
  <c r="A763" i="20"/>
  <c r="C762" i="20"/>
  <c r="A762" i="20"/>
  <c r="C761" i="20"/>
  <c r="A761" i="20"/>
  <c r="C760" i="20"/>
  <c r="A760" i="20"/>
  <c r="C759" i="20"/>
  <c r="A759" i="20"/>
  <c r="C758" i="20"/>
  <c r="A758" i="20"/>
  <c r="C757" i="20"/>
  <c r="A757" i="20"/>
  <c r="C756" i="20"/>
  <c r="A756" i="20"/>
  <c r="C755" i="20"/>
  <c r="A755" i="20"/>
  <c r="C754" i="20"/>
  <c r="A754" i="20"/>
  <c r="C753" i="20"/>
  <c r="A753" i="20"/>
  <c r="C752" i="20"/>
  <c r="A752" i="20"/>
  <c r="C751" i="20"/>
  <c r="A751" i="20"/>
  <c r="C750" i="20"/>
  <c r="A750" i="20"/>
  <c r="C749" i="20"/>
  <c r="A749" i="20"/>
  <c r="C748" i="20"/>
  <c r="A748" i="20"/>
  <c r="C747" i="20"/>
  <c r="A747" i="20"/>
  <c r="C746" i="20"/>
  <c r="A746" i="20"/>
  <c r="C745" i="20"/>
  <c r="A745" i="20"/>
  <c r="C744" i="20"/>
  <c r="A744" i="20"/>
  <c r="C743" i="20"/>
  <c r="A743" i="20"/>
  <c r="C742" i="20"/>
  <c r="A742" i="20"/>
  <c r="C741" i="20"/>
  <c r="A741" i="20"/>
  <c r="C740" i="20"/>
  <c r="A740" i="20"/>
  <c r="C739" i="20"/>
  <c r="A739" i="20"/>
  <c r="C738" i="20"/>
  <c r="A738" i="20"/>
  <c r="C737" i="20"/>
  <c r="A737" i="20"/>
  <c r="C736" i="20"/>
  <c r="A736" i="20"/>
  <c r="C735" i="20"/>
  <c r="A735" i="20"/>
  <c r="C734" i="20"/>
  <c r="A734" i="20"/>
  <c r="C733" i="20"/>
  <c r="A733" i="20"/>
  <c r="C732" i="20"/>
  <c r="A732" i="20"/>
  <c r="C731" i="20"/>
  <c r="A731" i="20"/>
  <c r="C730" i="20"/>
  <c r="A730" i="20"/>
  <c r="C729" i="20"/>
  <c r="A729" i="20"/>
  <c r="C728" i="20"/>
  <c r="A728" i="20"/>
  <c r="C727" i="20"/>
  <c r="A727" i="20"/>
  <c r="C726" i="20"/>
  <c r="A726" i="20"/>
  <c r="C725" i="20"/>
  <c r="A725" i="20"/>
  <c r="C724" i="20"/>
  <c r="A724" i="20"/>
  <c r="C723" i="20"/>
  <c r="A723" i="20"/>
  <c r="C722" i="20"/>
  <c r="A722" i="20"/>
  <c r="C721" i="20"/>
  <c r="A721" i="20"/>
  <c r="C720" i="20"/>
  <c r="A720" i="20"/>
  <c r="C719" i="20"/>
  <c r="A719" i="20"/>
  <c r="C718" i="20"/>
  <c r="A718" i="20"/>
  <c r="C717" i="20"/>
  <c r="A717" i="20"/>
  <c r="C716" i="20"/>
  <c r="A716" i="20"/>
  <c r="C715" i="20"/>
  <c r="A715" i="20"/>
  <c r="C714" i="20"/>
  <c r="A714" i="20"/>
  <c r="C713" i="20"/>
  <c r="A713" i="20"/>
  <c r="C712" i="20"/>
  <c r="A712" i="20"/>
  <c r="C711" i="20"/>
  <c r="A711" i="20"/>
  <c r="C710" i="20"/>
  <c r="A710" i="20"/>
  <c r="C709" i="20"/>
  <c r="A709" i="20"/>
  <c r="C708" i="20"/>
  <c r="A708" i="20"/>
  <c r="C707" i="20"/>
  <c r="A707" i="20"/>
  <c r="C706" i="20"/>
  <c r="A706" i="20"/>
  <c r="C705" i="20"/>
  <c r="A705" i="20"/>
  <c r="C704" i="20"/>
  <c r="A704" i="20"/>
  <c r="C703" i="20"/>
  <c r="A703" i="20"/>
  <c r="C702" i="20"/>
  <c r="A702" i="20"/>
  <c r="C701" i="20"/>
  <c r="A701" i="20"/>
  <c r="C700" i="20"/>
  <c r="A700" i="20"/>
  <c r="C699" i="20"/>
  <c r="A699" i="20"/>
  <c r="C698" i="20"/>
  <c r="A698" i="20"/>
  <c r="C697" i="20"/>
  <c r="A697" i="20"/>
  <c r="C696" i="20"/>
  <c r="A696" i="20"/>
  <c r="C695" i="20"/>
  <c r="A695" i="20"/>
  <c r="C694" i="20"/>
  <c r="A694" i="20"/>
  <c r="C693" i="20"/>
  <c r="A693" i="20"/>
  <c r="C692" i="20"/>
  <c r="A692" i="20"/>
  <c r="C691" i="20"/>
  <c r="A691" i="20"/>
  <c r="C690" i="20"/>
  <c r="A690" i="20"/>
  <c r="C689" i="20"/>
  <c r="A689" i="20"/>
  <c r="C688" i="20"/>
  <c r="A688" i="20"/>
  <c r="C687" i="20"/>
  <c r="A687" i="20"/>
  <c r="C686" i="20"/>
  <c r="A686" i="20"/>
  <c r="C685" i="20"/>
  <c r="A685" i="20"/>
  <c r="C684" i="20"/>
  <c r="A684" i="20"/>
  <c r="C683" i="20"/>
  <c r="A683" i="20"/>
  <c r="C682" i="20"/>
  <c r="A682" i="20"/>
  <c r="C681" i="20"/>
  <c r="A681" i="20"/>
  <c r="C680" i="20"/>
  <c r="A680" i="20"/>
  <c r="C679" i="20"/>
  <c r="A679" i="20"/>
  <c r="C678" i="20"/>
  <c r="A678" i="20"/>
  <c r="C677" i="20"/>
  <c r="A677" i="20"/>
  <c r="C676" i="20"/>
  <c r="A676" i="20"/>
  <c r="C675" i="20"/>
  <c r="A675" i="20"/>
  <c r="C674" i="20"/>
  <c r="A674" i="20"/>
  <c r="C673" i="20"/>
  <c r="A673" i="20"/>
  <c r="C672" i="20"/>
  <c r="A672" i="20"/>
  <c r="C671" i="20"/>
  <c r="A671" i="20"/>
  <c r="C670" i="20"/>
  <c r="A670" i="20"/>
  <c r="C669" i="20"/>
  <c r="A669" i="20"/>
  <c r="C668" i="20"/>
  <c r="A668" i="20"/>
  <c r="C667" i="20"/>
  <c r="A667" i="20"/>
  <c r="C666" i="20"/>
  <c r="A666" i="20"/>
  <c r="C665" i="20"/>
  <c r="A665" i="20"/>
  <c r="C664" i="20"/>
  <c r="A664" i="20"/>
  <c r="C663" i="20"/>
  <c r="A663" i="20"/>
  <c r="C662" i="20"/>
  <c r="A662" i="20"/>
  <c r="C661" i="20"/>
  <c r="A661" i="20"/>
  <c r="C660" i="20"/>
  <c r="A660" i="20"/>
  <c r="C659" i="20"/>
  <c r="A659" i="20"/>
  <c r="C658" i="20"/>
  <c r="A658" i="20"/>
  <c r="C657" i="20"/>
  <c r="A657" i="20"/>
  <c r="C656" i="20"/>
  <c r="A656" i="20"/>
  <c r="C655" i="20"/>
  <c r="A655" i="20"/>
  <c r="C654" i="20"/>
  <c r="A654" i="20"/>
  <c r="C653" i="20"/>
  <c r="A653" i="20"/>
  <c r="C652" i="20"/>
  <c r="A652" i="20"/>
  <c r="C651" i="20"/>
  <c r="A651" i="20"/>
  <c r="C650" i="20"/>
  <c r="A650" i="20"/>
  <c r="C649" i="20"/>
  <c r="A649" i="20"/>
  <c r="C648" i="20"/>
  <c r="A648" i="20"/>
  <c r="C647" i="20"/>
  <c r="A647" i="20"/>
  <c r="C646" i="20"/>
  <c r="A646" i="20"/>
  <c r="C645" i="20"/>
  <c r="A645" i="20"/>
  <c r="C644" i="20"/>
  <c r="A644" i="20"/>
  <c r="C643" i="20"/>
  <c r="A643" i="20"/>
  <c r="C642" i="20"/>
  <c r="A642" i="20"/>
  <c r="C641" i="20"/>
  <c r="A641" i="20"/>
  <c r="C640" i="20"/>
  <c r="A640" i="20"/>
  <c r="C639" i="20"/>
  <c r="A639" i="20"/>
  <c r="C638" i="20"/>
  <c r="A638" i="20"/>
  <c r="C637" i="20"/>
  <c r="A637" i="20"/>
  <c r="C636" i="20"/>
  <c r="A636" i="20"/>
  <c r="C635" i="20"/>
  <c r="A635" i="20"/>
  <c r="C634" i="20"/>
  <c r="A634" i="20"/>
  <c r="C633" i="20"/>
  <c r="A633" i="20"/>
  <c r="C632" i="20"/>
  <c r="A632" i="20"/>
  <c r="C631" i="20"/>
  <c r="A631" i="20"/>
  <c r="C630" i="20"/>
  <c r="A630" i="20"/>
  <c r="C629" i="20"/>
  <c r="A629" i="20"/>
  <c r="C628" i="20"/>
  <c r="A628" i="20"/>
  <c r="C627" i="20"/>
  <c r="A627" i="20"/>
  <c r="C626" i="20"/>
  <c r="A626" i="20"/>
  <c r="C625" i="20"/>
  <c r="A625" i="20"/>
  <c r="C624" i="20"/>
  <c r="A624" i="20"/>
  <c r="C623" i="20"/>
  <c r="A623" i="20"/>
  <c r="C622" i="20"/>
  <c r="A622" i="20"/>
  <c r="C621" i="20"/>
  <c r="A621" i="20"/>
  <c r="C620" i="20"/>
  <c r="A620" i="20"/>
  <c r="C619" i="20"/>
  <c r="A619" i="20"/>
  <c r="C618" i="20"/>
  <c r="A618" i="20"/>
  <c r="C617" i="20"/>
  <c r="A617" i="20"/>
  <c r="C616" i="20"/>
  <c r="A616" i="20"/>
  <c r="C615" i="20"/>
  <c r="A615" i="20"/>
  <c r="C614" i="20"/>
  <c r="A614" i="20"/>
  <c r="C613" i="20"/>
  <c r="A613" i="20"/>
  <c r="C612" i="20"/>
  <c r="A612" i="20"/>
  <c r="C611" i="20"/>
  <c r="A611" i="20"/>
  <c r="C610" i="20"/>
  <c r="A610" i="20"/>
  <c r="C609" i="20"/>
  <c r="A609" i="20"/>
  <c r="C608" i="20"/>
  <c r="A608" i="20"/>
  <c r="C607" i="20"/>
  <c r="A607" i="20"/>
  <c r="C606" i="20"/>
  <c r="A606" i="20"/>
  <c r="C605" i="20"/>
  <c r="A605" i="20"/>
  <c r="C604" i="20"/>
  <c r="A604" i="20"/>
  <c r="C603" i="20"/>
  <c r="A603" i="20"/>
  <c r="C602" i="20"/>
  <c r="A602" i="20"/>
  <c r="C601" i="20"/>
  <c r="A601" i="20"/>
  <c r="C600" i="20"/>
  <c r="A600" i="20"/>
  <c r="C599" i="20"/>
  <c r="A599" i="20"/>
  <c r="C598" i="20"/>
  <c r="A598" i="20"/>
  <c r="C597" i="20"/>
  <c r="A597" i="20"/>
  <c r="C596" i="20"/>
  <c r="A596" i="20"/>
  <c r="C595" i="20"/>
  <c r="A595" i="20"/>
  <c r="C594" i="20"/>
  <c r="A594" i="20"/>
  <c r="C593" i="20"/>
  <c r="A593" i="20"/>
  <c r="C592" i="20"/>
  <c r="A592" i="20"/>
  <c r="C591" i="20"/>
  <c r="A591" i="20"/>
  <c r="C590" i="20"/>
  <c r="A590" i="20"/>
  <c r="C589" i="20"/>
  <c r="A589" i="20"/>
  <c r="C588" i="20"/>
  <c r="A588" i="20"/>
  <c r="C587" i="20"/>
  <c r="A587" i="20"/>
  <c r="C586" i="20"/>
  <c r="A586" i="20"/>
  <c r="C585" i="20"/>
  <c r="A585" i="20"/>
  <c r="C584" i="20"/>
  <c r="A584" i="20"/>
  <c r="C583" i="20"/>
  <c r="A583" i="20"/>
  <c r="C582" i="20"/>
  <c r="A582" i="20"/>
  <c r="C581" i="20"/>
  <c r="A581" i="20"/>
  <c r="C580" i="20"/>
  <c r="A580" i="20"/>
  <c r="C579" i="20"/>
  <c r="A579" i="20"/>
  <c r="C578" i="20"/>
  <c r="A578" i="20"/>
  <c r="C577" i="20"/>
  <c r="A577" i="20"/>
  <c r="C576" i="20"/>
  <c r="A576" i="20"/>
  <c r="C575" i="20"/>
  <c r="A575" i="20"/>
  <c r="C574" i="20"/>
  <c r="A574" i="20"/>
  <c r="C573" i="20"/>
  <c r="A573" i="20"/>
  <c r="C572" i="20"/>
  <c r="A572" i="20"/>
  <c r="C571" i="20"/>
  <c r="A571" i="20"/>
  <c r="C570" i="20"/>
  <c r="A570" i="20"/>
  <c r="C569" i="20"/>
  <c r="A569" i="20"/>
  <c r="C568" i="20"/>
  <c r="A568" i="20"/>
  <c r="C567" i="20"/>
  <c r="A567" i="20"/>
  <c r="C566" i="20"/>
  <c r="A566" i="20"/>
  <c r="C565" i="20"/>
  <c r="A565" i="20"/>
  <c r="C564" i="20"/>
  <c r="A564" i="20"/>
  <c r="C563" i="20"/>
  <c r="A563" i="20"/>
  <c r="C562" i="20"/>
  <c r="A562" i="20"/>
  <c r="C561" i="20"/>
  <c r="A561" i="20"/>
  <c r="C560" i="20"/>
  <c r="A560" i="20"/>
  <c r="C559" i="20"/>
  <c r="A559" i="20"/>
  <c r="C558" i="20"/>
  <c r="A558" i="20"/>
  <c r="C557" i="20"/>
  <c r="A557" i="20"/>
  <c r="C556" i="20"/>
  <c r="A556" i="20"/>
  <c r="C555" i="20"/>
  <c r="A555" i="20"/>
  <c r="C554" i="20"/>
  <c r="A554" i="20"/>
  <c r="C553" i="20"/>
  <c r="A553" i="20"/>
  <c r="C552" i="20"/>
  <c r="A552" i="20"/>
  <c r="C551" i="20"/>
  <c r="A551" i="20"/>
  <c r="C550" i="20"/>
  <c r="A550" i="20"/>
  <c r="C549" i="20"/>
  <c r="A549" i="20"/>
  <c r="C548" i="20"/>
  <c r="A548" i="20"/>
  <c r="C547" i="20"/>
  <c r="A547" i="20"/>
  <c r="C546" i="20"/>
  <c r="A546" i="20"/>
  <c r="C545" i="20"/>
  <c r="A545" i="20"/>
  <c r="C544" i="20"/>
  <c r="A544" i="20"/>
  <c r="C543" i="20"/>
  <c r="A543" i="20"/>
  <c r="C542" i="20"/>
  <c r="A542" i="20"/>
  <c r="C541" i="20"/>
  <c r="A541" i="20"/>
  <c r="C540" i="20"/>
  <c r="A540" i="20"/>
  <c r="C539" i="20"/>
  <c r="A539" i="20"/>
  <c r="C538" i="20"/>
  <c r="A538" i="20"/>
  <c r="C537" i="20"/>
  <c r="A537" i="20"/>
  <c r="C536" i="20"/>
  <c r="A536" i="20"/>
  <c r="C535" i="20"/>
  <c r="A535" i="20"/>
  <c r="C534" i="20"/>
  <c r="A534" i="20"/>
  <c r="C533" i="20"/>
  <c r="A533" i="20"/>
  <c r="C532" i="20"/>
  <c r="A532" i="20"/>
  <c r="C531" i="20"/>
  <c r="A531" i="20"/>
  <c r="C530" i="20"/>
  <c r="A530" i="20"/>
  <c r="C529" i="20"/>
  <c r="A529" i="20"/>
  <c r="C528" i="20"/>
  <c r="A528" i="20"/>
  <c r="C527" i="20"/>
  <c r="A527" i="20"/>
  <c r="C526" i="20"/>
  <c r="A526" i="20"/>
  <c r="C525" i="20"/>
  <c r="A525" i="20"/>
  <c r="C524" i="20"/>
  <c r="A524" i="20"/>
  <c r="C523" i="20"/>
  <c r="A523" i="20"/>
  <c r="C522" i="20"/>
  <c r="A522" i="20"/>
  <c r="C521" i="20"/>
  <c r="A521" i="20"/>
  <c r="C520" i="20"/>
  <c r="A520" i="20"/>
  <c r="C519" i="20"/>
  <c r="A519" i="20"/>
  <c r="C518" i="20"/>
  <c r="A518" i="20"/>
  <c r="C517" i="20"/>
  <c r="A517" i="20"/>
  <c r="C516" i="20"/>
  <c r="A516" i="20"/>
  <c r="C515" i="20"/>
  <c r="A515" i="20"/>
  <c r="C514" i="20"/>
  <c r="A514" i="20"/>
  <c r="C513" i="20"/>
  <c r="A513" i="20"/>
  <c r="C512" i="20"/>
  <c r="A512" i="20"/>
  <c r="C511" i="20"/>
  <c r="A511" i="20"/>
  <c r="C510" i="20"/>
  <c r="A510" i="20"/>
  <c r="C509" i="20"/>
  <c r="A509" i="20"/>
  <c r="C508" i="20"/>
  <c r="A508" i="20"/>
  <c r="C507" i="20"/>
  <c r="A507" i="20"/>
  <c r="C506" i="20"/>
  <c r="A506" i="20"/>
  <c r="C505" i="20"/>
  <c r="A505" i="20"/>
  <c r="C504" i="20"/>
  <c r="A504" i="20"/>
  <c r="C503" i="20"/>
  <c r="A503" i="20"/>
  <c r="C502" i="20"/>
  <c r="A502" i="20"/>
  <c r="C501" i="20"/>
  <c r="A501" i="20"/>
  <c r="C500" i="20"/>
  <c r="A500" i="20"/>
  <c r="C499" i="20"/>
  <c r="A499" i="20"/>
  <c r="C498" i="20"/>
  <c r="A498" i="20"/>
  <c r="C497" i="20"/>
  <c r="A497" i="20"/>
  <c r="C496" i="20"/>
  <c r="A496" i="20"/>
  <c r="C495" i="20"/>
  <c r="A495" i="20"/>
  <c r="C494" i="20"/>
  <c r="A494" i="20"/>
  <c r="C493" i="20"/>
  <c r="A493" i="20"/>
  <c r="C492" i="20"/>
  <c r="A492" i="20"/>
  <c r="C491" i="20"/>
  <c r="A491" i="20"/>
  <c r="C490" i="20"/>
  <c r="A490" i="20"/>
  <c r="C489" i="20"/>
  <c r="A489" i="20"/>
  <c r="C488" i="20"/>
  <c r="A488" i="20"/>
  <c r="C487" i="20"/>
  <c r="A487" i="20"/>
  <c r="C486" i="20"/>
  <c r="A486" i="20"/>
  <c r="C485" i="20"/>
  <c r="A485" i="20"/>
  <c r="C484" i="20"/>
  <c r="A484" i="20"/>
  <c r="C483" i="20"/>
  <c r="A483" i="20"/>
  <c r="C482" i="20"/>
  <c r="A482" i="20"/>
  <c r="C481" i="20"/>
  <c r="A481" i="20"/>
  <c r="C480" i="20"/>
  <c r="A480" i="20"/>
  <c r="C479" i="20"/>
  <c r="A479" i="20"/>
  <c r="C478" i="20"/>
  <c r="A478" i="20"/>
  <c r="C477" i="20"/>
  <c r="A477" i="20"/>
  <c r="C476" i="20"/>
  <c r="A476" i="20"/>
  <c r="C475" i="20"/>
  <c r="A475" i="20"/>
  <c r="C474" i="20"/>
  <c r="A474" i="20"/>
  <c r="C473" i="20"/>
  <c r="A473" i="20"/>
  <c r="C472" i="20"/>
  <c r="A472" i="20"/>
  <c r="C471" i="20"/>
  <c r="A471" i="20"/>
  <c r="C470" i="20"/>
  <c r="A470" i="20"/>
  <c r="C469" i="20"/>
  <c r="A469" i="20"/>
  <c r="C468" i="20"/>
  <c r="A468" i="20"/>
  <c r="C467" i="20"/>
  <c r="A467" i="20"/>
  <c r="C466" i="20"/>
  <c r="A466" i="20"/>
  <c r="C465" i="20"/>
  <c r="A465" i="20"/>
  <c r="C464" i="20"/>
  <c r="A464" i="20"/>
  <c r="C463" i="20"/>
  <c r="A463" i="20"/>
  <c r="C462" i="20"/>
  <c r="A462" i="20"/>
  <c r="C461" i="20"/>
  <c r="A461" i="20"/>
  <c r="C460" i="20"/>
  <c r="A460" i="20"/>
  <c r="C459" i="20"/>
  <c r="A459" i="20"/>
  <c r="C458" i="20"/>
  <c r="A458" i="20"/>
  <c r="C457" i="20"/>
  <c r="A457" i="20"/>
  <c r="C456" i="20"/>
  <c r="A456" i="20"/>
  <c r="C455" i="20"/>
  <c r="A455" i="20"/>
  <c r="C454" i="20"/>
  <c r="A454" i="20"/>
  <c r="C453" i="20"/>
  <c r="A453" i="20"/>
  <c r="C452" i="20"/>
  <c r="A452" i="20"/>
  <c r="C451" i="20"/>
  <c r="A451" i="20"/>
  <c r="C450" i="20"/>
  <c r="A450" i="20"/>
  <c r="C449" i="20"/>
  <c r="A449" i="20"/>
  <c r="C448" i="20"/>
  <c r="A448" i="20"/>
  <c r="C447" i="20"/>
  <c r="A447" i="20"/>
  <c r="C446" i="20"/>
  <c r="A446" i="20"/>
  <c r="C445" i="20"/>
  <c r="A445" i="20"/>
  <c r="C444" i="20"/>
  <c r="A444" i="20"/>
  <c r="C443" i="20"/>
  <c r="A443" i="20"/>
  <c r="C442" i="20"/>
  <c r="A442" i="20"/>
  <c r="C441" i="20"/>
  <c r="A441" i="20"/>
  <c r="C440" i="20"/>
  <c r="A440" i="20"/>
  <c r="C439" i="20"/>
  <c r="A439" i="20"/>
  <c r="C438" i="20"/>
  <c r="A438" i="20"/>
  <c r="C437" i="20"/>
  <c r="A437" i="20"/>
  <c r="C436" i="20"/>
  <c r="A436" i="20"/>
  <c r="C435" i="20"/>
  <c r="A435" i="20"/>
  <c r="C434" i="20"/>
  <c r="A434" i="20"/>
  <c r="C433" i="20"/>
  <c r="A433" i="20"/>
  <c r="C432" i="20"/>
  <c r="A432" i="20"/>
  <c r="C431" i="20"/>
  <c r="A431" i="20"/>
  <c r="C430" i="20"/>
  <c r="A430" i="20"/>
  <c r="C429" i="20"/>
  <c r="A429" i="20"/>
  <c r="C428" i="20"/>
  <c r="A428" i="20"/>
  <c r="C427" i="20"/>
  <c r="A427" i="20"/>
  <c r="C426" i="20"/>
  <c r="A426" i="20"/>
  <c r="C425" i="20"/>
  <c r="A425" i="20"/>
  <c r="C424" i="20"/>
  <c r="A424" i="20"/>
  <c r="C423" i="20"/>
  <c r="A423" i="20"/>
  <c r="C422" i="20"/>
  <c r="A422" i="20"/>
  <c r="C421" i="20"/>
  <c r="A421" i="20"/>
  <c r="C420" i="20"/>
  <c r="A420" i="20"/>
  <c r="C419" i="20"/>
  <c r="A419" i="20"/>
  <c r="C418" i="20"/>
  <c r="A418" i="20"/>
  <c r="C417" i="20"/>
  <c r="A417" i="20"/>
  <c r="C416" i="20"/>
  <c r="A416" i="20"/>
  <c r="C415" i="20"/>
  <c r="A415" i="20"/>
  <c r="C414" i="20"/>
  <c r="A414" i="20"/>
  <c r="C413" i="20"/>
  <c r="A413" i="20"/>
  <c r="C412" i="20"/>
  <c r="A412" i="20"/>
  <c r="C411" i="20"/>
  <c r="A411" i="20"/>
  <c r="C410" i="20"/>
  <c r="A410" i="20"/>
  <c r="C409" i="20"/>
  <c r="A409" i="20"/>
  <c r="C408" i="20"/>
  <c r="A408" i="20"/>
  <c r="C407" i="20"/>
  <c r="A407" i="20"/>
  <c r="C406" i="20"/>
  <c r="A406" i="20"/>
  <c r="C405" i="20"/>
  <c r="A405" i="20"/>
  <c r="C404" i="20"/>
  <c r="A404" i="20"/>
  <c r="C403" i="20"/>
  <c r="A403" i="20"/>
  <c r="C402" i="20"/>
  <c r="A402" i="20"/>
  <c r="C401" i="20"/>
  <c r="A401" i="20"/>
  <c r="C400" i="20"/>
  <c r="A400" i="20"/>
  <c r="C399" i="20"/>
  <c r="A399" i="20"/>
  <c r="C398" i="20"/>
  <c r="A398" i="20"/>
  <c r="C397" i="20"/>
  <c r="A397" i="20"/>
  <c r="C396" i="20"/>
  <c r="A396" i="20"/>
  <c r="C395" i="20"/>
  <c r="A395" i="20"/>
  <c r="C394" i="20"/>
  <c r="A394" i="20"/>
  <c r="C393" i="20"/>
  <c r="A393" i="20"/>
  <c r="C392" i="20"/>
  <c r="A392" i="20"/>
  <c r="C391" i="20"/>
  <c r="A391" i="20"/>
  <c r="C390" i="20"/>
  <c r="A390" i="20"/>
  <c r="C389" i="20"/>
  <c r="A389" i="20"/>
  <c r="C388" i="20"/>
  <c r="A388" i="20"/>
  <c r="C387" i="20"/>
  <c r="A387" i="20"/>
  <c r="C386" i="20"/>
  <c r="A386" i="20"/>
  <c r="C385" i="20"/>
  <c r="A385" i="20"/>
  <c r="C384" i="20"/>
  <c r="A384" i="20"/>
  <c r="C383" i="20"/>
  <c r="A383" i="20"/>
  <c r="C382" i="20"/>
  <c r="A382" i="20"/>
  <c r="C381" i="20"/>
  <c r="A381" i="20"/>
  <c r="C380" i="20"/>
  <c r="A380" i="20"/>
  <c r="C379" i="20"/>
  <c r="A379" i="20"/>
  <c r="C378" i="20"/>
  <c r="A378" i="20"/>
  <c r="C377" i="20"/>
  <c r="A377" i="20"/>
  <c r="C376" i="20"/>
  <c r="A376" i="20"/>
  <c r="C375" i="20"/>
  <c r="A375" i="20"/>
  <c r="C374" i="20"/>
  <c r="A374" i="20"/>
  <c r="C373" i="20"/>
  <c r="A373" i="20"/>
  <c r="C372" i="20"/>
  <c r="A372" i="20"/>
  <c r="C371" i="20"/>
  <c r="A371" i="20"/>
  <c r="C370" i="20"/>
  <c r="A370" i="20"/>
  <c r="C369" i="20"/>
  <c r="A369" i="20"/>
  <c r="C368" i="20"/>
  <c r="A368" i="20"/>
  <c r="C367" i="20"/>
  <c r="A367" i="20"/>
  <c r="C366" i="20"/>
  <c r="A366" i="20"/>
  <c r="C365" i="20"/>
  <c r="A365" i="20"/>
  <c r="C364" i="20"/>
  <c r="A364" i="20"/>
  <c r="C363" i="20"/>
  <c r="A363" i="20"/>
  <c r="C362" i="20"/>
  <c r="A362" i="20"/>
  <c r="C361" i="20"/>
  <c r="A361" i="20"/>
  <c r="C360" i="20"/>
  <c r="A360" i="20"/>
  <c r="C359" i="20"/>
  <c r="A359" i="20"/>
  <c r="C358" i="20"/>
  <c r="A358" i="20"/>
  <c r="C357" i="20"/>
  <c r="A357" i="20"/>
  <c r="C356" i="20"/>
  <c r="A356" i="20"/>
  <c r="C355" i="20"/>
  <c r="A355" i="20"/>
  <c r="C354" i="20"/>
  <c r="A354" i="20"/>
  <c r="C353" i="20"/>
  <c r="A353" i="20"/>
  <c r="C352" i="20"/>
  <c r="A352" i="20"/>
  <c r="C351" i="20"/>
  <c r="A351" i="20"/>
  <c r="C350" i="20"/>
  <c r="A350" i="20"/>
  <c r="C349" i="20"/>
  <c r="A349" i="20"/>
  <c r="C348" i="20"/>
  <c r="A348" i="20"/>
  <c r="C347" i="20"/>
  <c r="A347" i="20"/>
  <c r="C346" i="20"/>
  <c r="A346" i="20"/>
  <c r="C345" i="20"/>
  <c r="A345" i="20"/>
  <c r="C344" i="20"/>
  <c r="A344" i="20"/>
  <c r="C343" i="20"/>
  <c r="A343" i="20"/>
  <c r="C342" i="20"/>
  <c r="A342" i="20"/>
  <c r="C341" i="20"/>
  <c r="A341" i="20"/>
  <c r="C340" i="20"/>
  <c r="A340" i="20"/>
  <c r="C339" i="20"/>
  <c r="A339" i="20"/>
  <c r="C338" i="20"/>
  <c r="A338" i="20"/>
  <c r="C337" i="20"/>
  <c r="A337" i="20"/>
  <c r="C336" i="20"/>
  <c r="A336" i="20"/>
  <c r="C335" i="20"/>
  <c r="A335" i="20"/>
  <c r="C334" i="20"/>
  <c r="A334" i="20"/>
  <c r="C333" i="20"/>
  <c r="A333" i="20"/>
  <c r="C332" i="20"/>
  <c r="A332" i="20"/>
  <c r="C331" i="20"/>
  <c r="A331" i="20"/>
  <c r="C330" i="20"/>
  <c r="A330" i="20"/>
  <c r="C329" i="20"/>
  <c r="A329" i="20"/>
  <c r="C328" i="20"/>
  <c r="A328" i="20"/>
  <c r="C327" i="20"/>
  <c r="A327" i="20"/>
  <c r="C326" i="20"/>
  <c r="A326" i="20"/>
  <c r="C325" i="20"/>
  <c r="A325" i="20"/>
  <c r="C324" i="20"/>
  <c r="A324" i="20"/>
  <c r="C323" i="20"/>
  <c r="A323" i="20"/>
  <c r="C322" i="20"/>
  <c r="A322" i="20"/>
  <c r="C321" i="20"/>
  <c r="A321" i="20"/>
  <c r="C320" i="20"/>
  <c r="A320" i="20"/>
  <c r="C319" i="20"/>
  <c r="A319" i="20"/>
  <c r="C318" i="20"/>
  <c r="A318" i="20"/>
  <c r="C317" i="20"/>
  <c r="A317" i="20"/>
  <c r="C316" i="20"/>
  <c r="A316" i="20"/>
  <c r="C315" i="20"/>
  <c r="A315" i="20"/>
  <c r="C314" i="20"/>
  <c r="A314" i="20"/>
  <c r="C313" i="20"/>
  <c r="A313" i="20"/>
  <c r="C312" i="20"/>
  <c r="A312" i="20"/>
  <c r="C311" i="20"/>
  <c r="A311" i="20"/>
  <c r="C310" i="20"/>
  <c r="A310" i="20"/>
  <c r="C309" i="20"/>
  <c r="A309" i="20"/>
  <c r="C308" i="20"/>
  <c r="A308" i="20"/>
  <c r="C307" i="20"/>
  <c r="A307" i="20"/>
  <c r="C306" i="20"/>
  <c r="A306" i="20"/>
  <c r="C305" i="20"/>
  <c r="A305" i="20"/>
  <c r="C304" i="20"/>
  <c r="A304" i="20"/>
  <c r="C303" i="20"/>
  <c r="A303" i="20"/>
  <c r="C302" i="20"/>
  <c r="A302" i="20"/>
  <c r="C301" i="20"/>
  <c r="A301" i="20"/>
  <c r="C300" i="20"/>
  <c r="A300" i="20"/>
  <c r="C299" i="20"/>
  <c r="A299" i="20"/>
  <c r="C298" i="20"/>
  <c r="A298" i="20"/>
  <c r="C297" i="20"/>
  <c r="A297" i="20"/>
  <c r="C296" i="20"/>
  <c r="A296" i="20"/>
  <c r="C295" i="20"/>
  <c r="A295" i="20"/>
  <c r="C294" i="20"/>
  <c r="A294" i="20"/>
  <c r="C293" i="20"/>
  <c r="A293" i="20"/>
  <c r="C292" i="20"/>
  <c r="A292" i="20"/>
  <c r="C291" i="20"/>
  <c r="A291" i="20"/>
  <c r="C290" i="20"/>
  <c r="A290" i="20"/>
  <c r="C289" i="20"/>
  <c r="A289" i="20"/>
  <c r="C288" i="20"/>
  <c r="A288" i="20"/>
  <c r="C287" i="20"/>
  <c r="A287" i="20"/>
  <c r="C286" i="20"/>
  <c r="A286" i="20"/>
  <c r="C285" i="20"/>
  <c r="A285" i="20"/>
  <c r="C284" i="20"/>
  <c r="A284" i="20"/>
  <c r="C283" i="20"/>
  <c r="A283" i="20"/>
  <c r="C282" i="20"/>
  <c r="A282" i="20"/>
  <c r="C281" i="20"/>
  <c r="A281" i="20"/>
  <c r="C280" i="20"/>
  <c r="A280" i="20"/>
  <c r="C279" i="20"/>
  <c r="A279" i="20"/>
  <c r="C278" i="20"/>
  <c r="A278" i="20"/>
  <c r="C277" i="20"/>
  <c r="A277" i="20"/>
  <c r="C276" i="20"/>
  <c r="A276" i="20"/>
  <c r="C275" i="20"/>
  <c r="A275" i="20"/>
  <c r="C274" i="20"/>
  <c r="A274" i="20"/>
  <c r="C273" i="20"/>
  <c r="A273" i="20"/>
  <c r="C272" i="20"/>
  <c r="A272" i="20"/>
  <c r="C271" i="20"/>
  <c r="A271" i="20"/>
  <c r="C270" i="20"/>
  <c r="A270" i="20"/>
  <c r="C269" i="20"/>
  <c r="A269" i="20"/>
  <c r="C268" i="20"/>
  <c r="A268" i="20"/>
  <c r="C267" i="20"/>
  <c r="A267" i="20"/>
  <c r="C266" i="20"/>
  <c r="A266" i="20"/>
  <c r="C265" i="20"/>
  <c r="A265" i="20"/>
  <c r="C264" i="20"/>
  <c r="A264" i="20"/>
  <c r="C263" i="20"/>
  <c r="A263" i="20"/>
  <c r="C262" i="20"/>
  <c r="A262" i="20"/>
  <c r="C261" i="20"/>
  <c r="A261" i="20"/>
  <c r="C260" i="20"/>
  <c r="A260" i="20"/>
  <c r="C259" i="20"/>
  <c r="A259" i="20"/>
  <c r="C258" i="20"/>
  <c r="A258" i="20"/>
  <c r="C257" i="20"/>
  <c r="A257" i="20"/>
  <c r="C256" i="20"/>
  <c r="A256" i="20"/>
  <c r="C255" i="20"/>
  <c r="A255" i="20"/>
  <c r="C254" i="20"/>
  <c r="A254" i="20"/>
  <c r="C253" i="20"/>
  <c r="A253" i="20"/>
  <c r="C252" i="20"/>
  <c r="A252" i="20"/>
  <c r="C251" i="20"/>
  <c r="A251" i="20"/>
  <c r="C250" i="20"/>
  <c r="A250" i="20"/>
  <c r="C249" i="20"/>
  <c r="A249" i="20"/>
  <c r="C248" i="20"/>
  <c r="A248" i="20"/>
  <c r="C247" i="20"/>
  <c r="A247" i="20"/>
  <c r="C246" i="20"/>
  <c r="A246" i="20"/>
  <c r="C245" i="20"/>
  <c r="A245" i="20"/>
  <c r="C244" i="20"/>
  <c r="A244" i="20"/>
  <c r="C243" i="20"/>
  <c r="A243" i="20"/>
  <c r="C242" i="20"/>
  <c r="A242" i="20"/>
  <c r="C241" i="20"/>
  <c r="A241" i="20"/>
  <c r="C240" i="20"/>
  <c r="A240" i="20"/>
  <c r="C239" i="20"/>
  <c r="A239" i="20"/>
  <c r="C238" i="20"/>
  <c r="A238" i="20"/>
  <c r="C237" i="20"/>
  <c r="A237" i="20"/>
  <c r="C236" i="20"/>
  <c r="A236" i="20"/>
  <c r="C235" i="20"/>
  <c r="A235" i="20"/>
  <c r="C234" i="20"/>
  <c r="A234" i="20"/>
  <c r="C233" i="20"/>
  <c r="A233" i="20"/>
  <c r="C232" i="20"/>
  <c r="A232" i="20"/>
  <c r="C231" i="20"/>
  <c r="A231" i="20"/>
  <c r="C230" i="20"/>
  <c r="A230" i="20"/>
  <c r="C229" i="20"/>
  <c r="A229" i="20"/>
  <c r="C228" i="20"/>
  <c r="A228" i="20"/>
  <c r="C227" i="20"/>
  <c r="A227" i="20"/>
  <c r="C226" i="20"/>
  <c r="A226" i="20"/>
  <c r="C225" i="20"/>
  <c r="A225" i="20"/>
  <c r="C224" i="20"/>
  <c r="A224" i="20"/>
  <c r="C223" i="20"/>
  <c r="A223" i="20"/>
  <c r="C222" i="20"/>
  <c r="A222" i="20"/>
  <c r="C221" i="20"/>
  <c r="A221" i="20"/>
  <c r="C220" i="20"/>
  <c r="A220" i="20"/>
  <c r="C219" i="20"/>
  <c r="A219" i="20"/>
  <c r="C218" i="20"/>
  <c r="A218" i="20"/>
  <c r="C217" i="20"/>
  <c r="A217" i="20"/>
  <c r="C216" i="20"/>
  <c r="A216" i="20"/>
  <c r="C215" i="20"/>
  <c r="A215" i="20"/>
  <c r="C214" i="20"/>
  <c r="A214" i="20"/>
  <c r="C213" i="20"/>
  <c r="A213" i="20"/>
  <c r="C212" i="20"/>
  <c r="A212" i="20"/>
  <c r="C211" i="20"/>
  <c r="A211" i="20"/>
  <c r="C210" i="20"/>
  <c r="A210" i="20"/>
  <c r="C209" i="20"/>
  <c r="A209" i="20"/>
  <c r="C208" i="20"/>
  <c r="A208" i="20"/>
  <c r="C207" i="20"/>
  <c r="A207" i="20"/>
  <c r="C206" i="20"/>
  <c r="A206" i="20"/>
  <c r="C205" i="20"/>
  <c r="A205" i="20"/>
  <c r="C204" i="20"/>
  <c r="A204" i="20"/>
  <c r="C203" i="20"/>
  <c r="A203" i="20"/>
  <c r="C202" i="20"/>
  <c r="A202" i="20"/>
  <c r="C201" i="20"/>
  <c r="A201" i="20"/>
  <c r="C200" i="20"/>
  <c r="A200" i="20"/>
  <c r="C199" i="20"/>
  <c r="A199" i="20"/>
  <c r="C198" i="20"/>
  <c r="A198" i="20"/>
  <c r="C197" i="20"/>
  <c r="A197" i="20"/>
  <c r="C196" i="20"/>
  <c r="A196" i="20"/>
  <c r="C195" i="20"/>
  <c r="A195" i="20"/>
  <c r="C194" i="20"/>
  <c r="A194" i="20"/>
  <c r="C193" i="20"/>
  <c r="A193" i="20"/>
  <c r="C192" i="20"/>
  <c r="A192" i="20"/>
  <c r="C191" i="20"/>
  <c r="A191" i="20"/>
  <c r="C190" i="20"/>
  <c r="A190" i="20"/>
  <c r="C189" i="20"/>
  <c r="A189" i="20"/>
  <c r="C188" i="20"/>
  <c r="A188" i="20"/>
  <c r="C187" i="20"/>
  <c r="A187" i="20"/>
  <c r="C186" i="20"/>
  <c r="A186" i="20"/>
  <c r="C185" i="20"/>
  <c r="A185" i="20"/>
  <c r="C184" i="20"/>
  <c r="A184" i="20"/>
  <c r="C183" i="20"/>
  <c r="A183" i="20"/>
  <c r="C182" i="20"/>
  <c r="A182" i="20"/>
  <c r="C181" i="20"/>
  <c r="A181" i="20"/>
  <c r="C180" i="20"/>
  <c r="A180" i="20"/>
  <c r="C179" i="20"/>
  <c r="A179" i="20"/>
  <c r="C178" i="20"/>
  <c r="A178" i="20"/>
  <c r="C177" i="20"/>
  <c r="A177" i="20"/>
  <c r="C176" i="20"/>
  <c r="A176" i="20"/>
  <c r="C175" i="20"/>
  <c r="A175" i="20"/>
  <c r="C174" i="20"/>
  <c r="A174" i="20"/>
  <c r="C173" i="20"/>
  <c r="A173" i="20"/>
  <c r="C172" i="20"/>
  <c r="A172" i="20"/>
  <c r="C171" i="20"/>
  <c r="A171" i="20"/>
  <c r="C170" i="20"/>
  <c r="A170" i="20"/>
  <c r="C169" i="20"/>
  <c r="A169" i="20"/>
  <c r="C168" i="20"/>
  <c r="A168" i="20"/>
  <c r="C167" i="20"/>
  <c r="A167" i="20"/>
  <c r="C166" i="20"/>
  <c r="A166" i="20"/>
  <c r="C165" i="20"/>
  <c r="A165" i="20"/>
  <c r="C164" i="20"/>
  <c r="A164" i="20"/>
  <c r="C163" i="20"/>
  <c r="A163" i="20"/>
  <c r="C162" i="20"/>
  <c r="A162" i="20"/>
  <c r="C161" i="20"/>
  <c r="A161" i="20"/>
  <c r="C160" i="20"/>
  <c r="A160" i="20"/>
  <c r="C159" i="20"/>
  <c r="A159" i="20"/>
  <c r="C158" i="20"/>
  <c r="A158" i="20"/>
  <c r="C157" i="20"/>
  <c r="A157" i="20"/>
  <c r="C156" i="20"/>
  <c r="A156" i="20"/>
  <c r="C155" i="20"/>
  <c r="A155" i="20"/>
  <c r="C154" i="20"/>
  <c r="A154" i="20"/>
  <c r="C153" i="20"/>
  <c r="A153" i="20"/>
  <c r="C152" i="20"/>
  <c r="A152" i="20"/>
  <c r="C151" i="20"/>
  <c r="A151" i="20"/>
  <c r="C150" i="20"/>
  <c r="A150" i="20"/>
  <c r="C149" i="20"/>
  <c r="A149" i="20"/>
  <c r="C148" i="20"/>
  <c r="A148" i="20"/>
  <c r="C147" i="20"/>
  <c r="A147" i="20"/>
  <c r="C146" i="20"/>
  <c r="A146" i="20"/>
  <c r="C145" i="20"/>
  <c r="A145" i="20"/>
  <c r="C144" i="20"/>
  <c r="A144" i="20"/>
  <c r="C143" i="20"/>
  <c r="A143" i="20"/>
  <c r="C142" i="20"/>
  <c r="A142" i="20"/>
  <c r="C141" i="20"/>
  <c r="A141" i="20"/>
  <c r="C140" i="20"/>
  <c r="A140" i="20"/>
  <c r="C139" i="20"/>
  <c r="A139" i="20"/>
  <c r="C138" i="20"/>
  <c r="A138" i="20"/>
  <c r="C137" i="20"/>
  <c r="A137" i="20"/>
  <c r="C136" i="20"/>
  <c r="A136" i="20"/>
  <c r="C135" i="20"/>
  <c r="A135" i="20"/>
  <c r="C134" i="20"/>
  <c r="A134" i="20"/>
  <c r="C133" i="20"/>
  <c r="A133" i="20"/>
  <c r="C132" i="20"/>
  <c r="A132" i="20"/>
  <c r="C131" i="20"/>
  <c r="A131" i="20"/>
  <c r="C130" i="20"/>
  <c r="A130" i="20"/>
  <c r="C129" i="20"/>
  <c r="A129" i="20"/>
  <c r="C128" i="20"/>
  <c r="A128" i="20"/>
  <c r="C127" i="20"/>
  <c r="A127" i="20"/>
  <c r="C126" i="20"/>
  <c r="A126" i="20"/>
  <c r="C125" i="20"/>
  <c r="A125" i="20"/>
  <c r="C124" i="20"/>
  <c r="A124" i="20"/>
  <c r="C123" i="20"/>
  <c r="A123" i="20"/>
  <c r="C122" i="20"/>
  <c r="A122" i="20"/>
  <c r="C121" i="20"/>
  <c r="A121" i="20"/>
  <c r="C120" i="20"/>
  <c r="A120" i="20"/>
  <c r="C119" i="20"/>
  <c r="A119" i="20"/>
  <c r="C118" i="20"/>
  <c r="A118" i="20"/>
  <c r="C117" i="20"/>
  <c r="A117" i="20"/>
  <c r="C116" i="20"/>
  <c r="A116" i="20"/>
  <c r="C115" i="20"/>
  <c r="A115" i="20"/>
  <c r="C114" i="20"/>
  <c r="A114" i="20"/>
  <c r="C113" i="20"/>
  <c r="A113" i="20"/>
  <c r="C112" i="20"/>
  <c r="A112" i="20"/>
  <c r="C111" i="20"/>
  <c r="A111" i="20"/>
  <c r="C110" i="20"/>
  <c r="A110" i="20"/>
  <c r="C109" i="20"/>
  <c r="A109" i="20"/>
  <c r="C108" i="20"/>
  <c r="A108" i="20"/>
  <c r="C107" i="20"/>
  <c r="A107" i="20"/>
  <c r="C106" i="20"/>
  <c r="A106" i="20"/>
  <c r="C105" i="20"/>
  <c r="A105" i="20"/>
  <c r="C104" i="20"/>
  <c r="A104" i="20"/>
  <c r="C103" i="20"/>
  <c r="A103" i="20"/>
  <c r="C102" i="20"/>
  <c r="A102" i="20"/>
  <c r="C101" i="20"/>
  <c r="A101" i="20"/>
  <c r="C100" i="20"/>
  <c r="A100" i="20"/>
  <c r="C99" i="20"/>
  <c r="A99" i="20"/>
  <c r="C98" i="20"/>
  <c r="A98" i="20"/>
  <c r="C97" i="20"/>
  <c r="A97" i="20"/>
  <c r="C96" i="20"/>
  <c r="A96" i="20"/>
  <c r="C95" i="20"/>
  <c r="A95" i="20"/>
  <c r="C94" i="20"/>
  <c r="A94" i="20"/>
  <c r="C93" i="20"/>
  <c r="A93" i="20"/>
  <c r="C92" i="20"/>
  <c r="A92" i="20"/>
  <c r="C91" i="20"/>
  <c r="A91" i="20"/>
  <c r="C90" i="20"/>
  <c r="A90" i="20"/>
  <c r="C89" i="20"/>
  <c r="A89" i="20"/>
  <c r="C88" i="20"/>
  <c r="A88" i="20"/>
  <c r="C87" i="20"/>
  <c r="A87" i="20"/>
  <c r="C86" i="20"/>
  <c r="A86" i="20"/>
  <c r="C85" i="20"/>
  <c r="A85" i="20"/>
  <c r="C84" i="20"/>
  <c r="A84" i="20"/>
  <c r="C83" i="20"/>
  <c r="A83" i="20"/>
  <c r="C82" i="20"/>
  <c r="A82" i="20"/>
  <c r="C81" i="20"/>
  <c r="A81" i="20"/>
  <c r="C80" i="20"/>
  <c r="A80" i="20"/>
  <c r="C79" i="20"/>
  <c r="A79" i="20"/>
  <c r="C78" i="20"/>
  <c r="A78" i="20"/>
  <c r="C77" i="20"/>
  <c r="A77" i="20"/>
  <c r="C76" i="20"/>
  <c r="A76" i="20"/>
  <c r="C75" i="20"/>
  <c r="A75" i="20"/>
  <c r="C74" i="20"/>
  <c r="A74" i="20"/>
  <c r="C73" i="20"/>
  <c r="A73" i="20"/>
  <c r="C72" i="20"/>
  <c r="A72" i="20"/>
  <c r="C71" i="20"/>
  <c r="A71" i="20"/>
  <c r="C70" i="20"/>
  <c r="A70" i="20"/>
  <c r="C69" i="20"/>
  <c r="A69" i="20"/>
  <c r="C68" i="20"/>
  <c r="A68" i="20"/>
  <c r="C67" i="20"/>
  <c r="A67" i="20"/>
  <c r="C66" i="20"/>
  <c r="A66" i="20"/>
  <c r="C65" i="20"/>
  <c r="A65" i="20"/>
  <c r="C64" i="20"/>
  <c r="A64" i="20"/>
  <c r="C63" i="20"/>
  <c r="A63" i="20"/>
  <c r="C62" i="20"/>
  <c r="A62" i="20"/>
  <c r="C61" i="20"/>
  <c r="A61" i="20"/>
  <c r="C60" i="20"/>
  <c r="A60" i="20"/>
  <c r="C59" i="20"/>
  <c r="A59" i="20"/>
  <c r="C58" i="20"/>
  <c r="A58" i="20"/>
  <c r="C57" i="20"/>
  <c r="A57" i="20"/>
  <c r="C56" i="20"/>
  <c r="A56" i="20"/>
  <c r="C55" i="20"/>
  <c r="A55" i="20"/>
  <c r="C54" i="20"/>
  <c r="A54" i="20"/>
  <c r="C53" i="20"/>
  <c r="A53" i="20"/>
  <c r="C52" i="20"/>
  <c r="A52" i="20"/>
  <c r="C51" i="20"/>
  <c r="A51" i="20"/>
  <c r="C50" i="20"/>
  <c r="A50" i="20"/>
  <c r="C49" i="20"/>
  <c r="A49" i="20"/>
  <c r="C48" i="20"/>
  <c r="A48" i="20"/>
  <c r="C47" i="20"/>
  <c r="A47" i="20"/>
  <c r="C46" i="20"/>
  <c r="A46" i="20"/>
  <c r="C45" i="20"/>
  <c r="A45" i="20"/>
  <c r="C44" i="20"/>
  <c r="A44" i="20"/>
  <c r="C43" i="20"/>
  <c r="A43" i="20"/>
  <c r="C42" i="20"/>
  <c r="A42" i="20"/>
  <c r="C41" i="20"/>
  <c r="A41" i="20"/>
  <c r="C40" i="20"/>
  <c r="A40" i="20"/>
  <c r="C39" i="20"/>
  <c r="A39" i="20"/>
  <c r="C38" i="20"/>
  <c r="A38" i="20"/>
  <c r="C37" i="20"/>
  <c r="A37" i="20"/>
  <c r="C36" i="20"/>
  <c r="A36" i="20"/>
  <c r="C35" i="20"/>
  <c r="A35" i="20"/>
  <c r="C34" i="20"/>
  <c r="A34" i="20"/>
  <c r="C33" i="20"/>
  <c r="A33" i="20"/>
  <c r="C32" i="20"/>
  <c r="A32" i="20"/>
  <c r="C31" i="20"/>
  <c r="A31" i="20"/>
  <c r="C30" i="20"/>
  <c r="A30" i="20"/>
  <c r="C29" i="20"/>
  <c r="A29" i="20"/>
  <c r="C28" i="20"/>
  <c r="A28" i="20"/>
  <c r="C27" i="20"/>
  <c r="A27" i="20"/>
  <c r="C26" i="20"/>
  <c r="A26" i="20"/>
  <c r="C25" i="20"/>
  <c r="A25" i="20"/>
  <c r="C24" i="20"/>
  <c r="A24" i="20"/>
  <c r="C23" i="20"/>
  <c r="A23" i="20"/>
  <c r="C22" i="20"/>
  <c r="A22" i="20"/>
  <c r="C21" i="20"/>
  <c r="A21" i="20"/>
  <c r="C20" i="20"/>
  <c r="A20" i="20"/>
  <c r="C19" i="20"/>
  <c r="A19" i="20"/>
  <c r="C18" i="20"/>
  <c r="A18" i="20"/>
  <c r="C17" i="20"/>
  <c r="A17" i="20"/>
  <c r="C16" i="20"/>
  <c r="A16" i="20"/>
  <c r="C15" i="20"/>
  <c r="A15" i="20"/>
  <c r="C14" i="20"/>
  <c r="A14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D1" i="20"/>
  <c r="B5" i="13"/>
  <c r="B48" i="14"/>
  <c r="J33" i="14"/>
  <c r="J32" i="14"/>
  <c r="J36" i="14" s="1"/>
  <c r="J39" i="14" s="1"/>
  <c r="D2" i="14" s="1"/>
  <c r="J31" i="14"/>
  <c r="J30" i="14"/>
  <c r="J29" i="14"/>
  <c r="J28" i="14"/>
  <c r="J27" i="14"/>
  <c r="G2" i="14"/>
  <c r="F2" i="14"/>
  <c r="E2" i="14"/>
  <c r="C2" i="14"/>
  <c r="B2" i="14"/>
  <c r="A2" i="14"/>
  <c r="N1" i="14"/>
  <c r="N1" i="15" s="1"/>
  <c r="C1" i="16" s="1"/>
  <c r="M1" i="14"/>
  <c r="M1" i="15" s="1"/>
  <c r="B1" i="16" s="1"/>
  <c r="G1" i="14"/>
  <c r="F1" i="14"/>
  <c r="E1" i="14"/>
  <c r="I1" i="16" s="1"/>
  <c r="D1" i="14"/>
  <c r="H1" i="16" s="1"/>
  <c r="C1" i="14"/>
  <c r="B1" i="14"/>
  <c r="A1" i="14"/>
  <c r="AF1" i="17"/>
  <c r="K1" i="16"/>
  <c r="J1" i="16"/>
  <c r="S1" i="17"/>
  <c r="T1" i="17"/>
  <c r="U1" i="17"/>
  <c r="Y1" i="17"/>
  <c r="Z1" i="17"/>
  <c r="AA1" i="17"/>
  <c r="AB1" i="17"/>
  <c r="AC1" i="17"/>
  <c r="AD1" i="17"/>
  <c r="AE1" i="17"/>
  <c r="AG1" i="17"/>
  <c r="E1" i="16"/>
  <c r="F1" i="16"/>
  <c r="G1" i="16"/>
  <c r="L1" i="16"/>
  <c r="M1" i="16"/>
  <c r="N1" i="16"/>
  <c r="O1" i="16"/>
  <c r="P1" i="16"/>
  <c r="O1" i="15"/>
  <c r="D1" i="16" s="1"/>
  <c r="Q200" i="15" l="1"/>
  <c r="I200" i="15"/>
  <c r="A200" i="15"/>
  <c r="J199" i="15"/>
  <c r="B199" i="15"/>
  <c r="K198" i="15"/>
  <c r="C198" i="15"/>
  <c r="L197" i="15"/>
  <c r="D197" i="15"/>
  <c r="M196" i="15"/>
  <c r="E196" i="15"/>
  <c r="N195" i="15"/>
  <c r="F195" i="15"/>
  <c r="O194" i="15"/>
  <c r="G194" i="15"/>
  <c r="P193" i="15"/>
  <c r="H193" i="15"/>
  <c r="Q192" i="15"/>
  <c r="I192" i="15"/>
  <c r="A192" i="15"/>
  <c r="J191" i="15"/>
  <c r="B191" i="15"/>
  <c r="K190" i="15"/>
  <c r="C190" i="15"/>
  <c r="L189" i="15"/>
  <c r="D189" i="15"/>
  <c r="M188" i="15"/>
  <c r="E188" i="15"/>
  <c r="N187" i="15"/>
  <c r="F187" i="15"/>
  <c r="O186" i="15"/>
  <c r="G186" i="15"/>
  <c r="P185" i="15"/>
  <c r="H185" i="15"/>
  <c r="Q184" i="15"/>
  <c r="I184" i="15"/>
  <c r="A184" i="15"/>
  <c r="J183" i="15"/>
  <c r="B183" i="15"/>
  <c r="K182" i="15"/>
  <c r="C182" i="15"/>
  <c r="L181" i="15"/>
  <c r="D181" i="15"/>
  <c r="M180" i="15"/>
  <c r="E180" i="15"/>
  <c r="N179" i="15"/>
  <c r="F179" i="15"/>
  <c r="O178" i="15"/>
  <c r="G178" i="15"/>
  <c r="P177" i="15"/>
  <c r="H177" i="15"/>
  <c r="Q176" i="15"/>
  <c r="I176" i="15"/>
  <c r="A176" i="15"/>
  <c r="J175" i="15"/>
  <c r="B175" i="15"/>
  <c r="K174" i="15"/>
  <c r="C174" i="15"/>
  <c r="L173" i="15"/>
  <c r="D173" i="15"/>
  <c r="M172" i="15"/>
  <c r="E172" i="15"/>
  <c r="N171" i="15"/>
  <c r="F171" i="15"/>
  <c r="O170" i="15"/>
  <c r="G170" i="15"/>
  <c r="P169" i="15"/>
  <c r="H169" i="15"/>
  <c r="Q168" i="15"/>
  <c r="I168" i="15"/>
  <c r="A168" i="15"/>
  <c r="J167" i="15"/>
  <c r="B167" i="15"/>
  <c r="K166" i="15"/>
  <c r="C166" i="15"/>
  <c r="L165" i="15"/>
  <c r="D165" i="15"/>
  <c r="M164" i="15"/>
  <c r="E164" i="15"/>
  <c r="N163" i="15"/>
  <c r="F163" i="15"/>
  <c r="O162" i="15"/>
  <c r="G162" i="15"/>
  <c r="P161" i="15"/>
  <c r="H161" i="15"/>
  <c r="P200" i="15"/>
  <c r="H200" i="15"/>
  <c r="Q199" i="15"/>
  <c r="I199" i="15"/>
  <c r="A199" i="15"/>
  <c r="J198" i="15"/>
  <c r="B198" i="15"/>
  <c r="K197" i="15"/>
  <c r="C197" i="15"/>
  <c r="L196" i="15"/>
  <c r="D196" i="15"/>
  <c r="M195" i="15"/>
  <c r="E195" i="15"/>
  <c r="N194" i="15"/>
  <c r="F194" i="15"/>
  <c r="O193" i="15"/>
  <c r="G193" i="15"/>
  <c r="P192" i="15"/>
  <c r="H192" i="15"/>
  <c r="Q191" i="15"/>
  <c r="I191" i="15"/>
  <c r="A191" i="15"/>
  <c r="J190" i="15"/>
  <c r="B190" i="15"/>
  <c r="K189" i="15"/>
  <c r="C189" i="15"/>
  <c r="L188" i="15"/>
  <c r="D188" i="15"/>
  <c r="M187" i="15"/>
  <c r="E187" i="15"/>
  <c r="N186" i="15"/>
  <c r="F186" i="15"/>
  <c r="O185" i="15"/>
  <c r="G185" i="15"/>
  <c r="P184" i="15"/>
  <c r="H184" i="15"/>
  <c r="Q183" i="15"/>
  <c r="I183" i="15"/>
  <c r="A183" i="15"/>
  <c r="J182" i="15"/>
  <c r="B182" i="15"/>
  <c r="K181" i="15"/>
  <c r="C181" i="15"/>
  <c r="L180" i="15"/>
  <c r="D180" i="15"/>
  <c r="M179" i="15"/>
  <c r="E179" i="15"/>
  <c r="N178" i="15"/>
  <c r="F178" i="15"/>
  <c r="O177" i="15"/>
  <c r="G177" i="15"/>
  <c r="P176" i="15"/>
  <c r="H176" i="15"/>
  <c r="Q175" i="15"/>
  <c r="I175" i="15"/>
  <c r="A175" i="15"/>
  <c r="J174" i="15"/>
  <c r="B174" i="15"/>
  <c r="K173" i="15"/>
  <c r="C173" i="15"/>
  <c r="L172" i="15"/>
  <c r="D172" i="15"/>
  <c r="M171" i="15"/>
  <c r="E171" i="15"/>
  <c r="N170" i="15"/>
  <c r="F170" i="15"/>
  <c r="O169" i="15"/>
  <c r="G169" i="15"/>
  <c r="P168" i="15"/>
  <c r="H168" i="15"/>
  <c r="Q167" i="15"/>
  <c r="I167" i="15"/>
  <c r="A167" i="15"/>
  <c r="J166" i="15"/>
  <c r="B166" i="15"/>
  <c r="K165" i="15"/>
  <c r="C165" i="15"/>
  <c r="L164" i="15"/>
  <c r="D164" i="15"/>
  <c r="M163" i="15"/>
  <c r="E163" i="15"/>
  <c r="N162" i="15"/>
  <c r="F162" i="15"/>
  <c r="O161" i="15"/>
  <c r="O200" i="15"/>
  <c r="G200" i="15"/>
  <c r="P199" i="15"/>
  <c r="H199" i="15"/>
  <c r="Q198" i="15"/>
  <c r="I198" i="15"/>
  <c r="A198" i="15"/>
  <c r="J197" i="15"/>
  <c r="B197" i="15"/>
  <c r="K196" i="15"/>
  <c r="C196" i="15"/>
  <c r="L195" i="15"/>
  <c r="D195" i="15"/>
  <c r="M194" i="15"/>
  <c r="E194" i="15"/>
  <c r="N193" i="15"/>
  <c r="F193" i="15"/>
  <c r="O192" i="15"/>
  <c r="G192" i="15"/>
  <c r="P191" i="15"/>
  <c r="H191" i="15"/>
  <c r="Q190" i="15"/>
  <c r="I190" i="15"/>
  <c r="A190" i="15"/>
  <c r="J189" i="15"/>
  <c r="B189" i="15"/>
  <c r="K188" i="15"/>
  <c r="C188" i="15"/>
  <c r="L187" i="15"/>
  <c r="D187" i="15"/>
  <c r="M186" i="15"/>
  <c r="E186" i="15"/>
  <c r="N185" i="15"/>
  <c r="F185" i="15"/>
  <c r="O184" i="15"/>
  <c r="G184" i="15"/>
  <c r="P183" i="15"/>
  <c r="H183" i="15"/>
  <c r="Q182" i="15"/>
  <c r="I182" i="15"/>
  <c r="A182" i="15"/>
  <c r="J181" i="15"/>
  <c r="B181" i="15"/>
  <c r="K180" i="15"/>
  <c r="C180" i="15"/>
  <c r="L179" i="15"/>
  <c r="D179" i="15"/>
  <c r="M178" i="15"/>
  <c r="E178" i="15"/>
  <c r="N177" i="15"/>
  <c r="F177" i="15"/>
  <c r="O176" i="15"/>
  <c r="G176" i="15"/>
  <c r="P175" i="15"/>
  <c r="H175" i="15"/>
  <c r="Q174" i="15"/>
  <c r="I174" i="15"/>
  <c r="A174" i="15"/>
  <c r="J173" i="15"/>
  <c r="B173" i="15"/>
  <c r="K172" i="15"/>
  <c r="C172" i="15"/>
  <c r="L171" i="15"/>
  <c r="D171" i="15"/>
  <c r="M170" i="15"/>
  <c r="E170" i="15"/>
  <c r="N169" i="15"/>
  <c r="F169" i="15"/>
  <c r="O168" i="15"/>
  <c r="G168" i="15"/>
  <c r="P167" i="15"/>
  <c r="H167" i="15"/>
  <c r="Q166" i="15"/>
  <c r="I166" i="15"/>
  <c r="A166" i="15"/>
  <c r="J165" i="15"/>
  <c r="B165" i="15"/>
  <c r="K164" i="15"/>
  <c r="C164" i="15"/>
  <c r="L163" i="15"/>
  <c r="D163" i="15"/>
  <c r="M162" i="15"/>
  <c r="E162" i="15"/>
  <c r="N161" i="15"/>
  <c r="F161" i="15"/>
  <c r="N200" i="15"/>
  <c r="F200" i="15"/>
  <c r="O199" i="15"/>
  <c r="G199" i="15"/>
  <c r="P198" i="15"/>
  <c r="H198" i="15"/>
  <c r="Q197" i="15"/>
  <c r="I197" i="15"/>
  <c r="A197" i="15"/>
  <c r="J196" i="15"/>
  <c r="B196" i="15"/>
  <c r="K195" i="15"/>
  <c r="C195" i="15"/>
  <c r="L194" i="15"/>
  <c r="D194" i="15"/>
  <c r="M193" i="15"/>
  <c r="E193" i="15"/>
  <c r="N192" i="15"/>
  <c r="F192" i="15"/>
  <c r="O191" i="15"/>
  <c r="G191" i="15"/>
  <c r="P190" i="15"/>
  <c r="H190" i="15"/>
  <c r="Q189" i="15"/>
  <c r="I189" i="15"/>
  <c r="A189" i="15"/>
  <c r="J188" i="15"/>
  <c r="B188" i="15"/>
  <c r="K187" i="15"/>
  <c r="C187" i="15"/>
  <c r="L186" i="15"/>
  <c r="D186" i="15"/>
  <c r="M185" i="15"/>
  <c r="E185" i="15"/>
  <c r="N184" i="15"/>
  <c r="F184" i="15"/>
  <c r="O183" i="15"/>
  <c r="G183" i="15"/>
  <c r="P182" i="15"/>
  <c r="H182" i="15"/>
  <c r="Q181" i="15"/>
  <c r="I181" i="15"/>
  <c r="A181" i="15"/>
  <c r="J180" i="15"/>
  <c r="B180" i="15"/>
  <c r="K179" i="15"/>
  <c r="C179" i="15"/>
  <c r="L178" i="15"/>
  <c r="D178" i="15"/>
  <c r="M177" i="15"/>
  <c r="E177" i="15"/>
  <c r="N176" i="15"/>
  <c r="F176" i="15"/>
  <c r="O175" i="15"/>
  <c r="G175" i="15"/>
  <c r="P174" i="15"/>
  <c r="H174" i="15"/>
  <c r="Q173" i="15"/>
  <c r="I173" i="15"/>
  <c r="A173" i="15"/>
  <c r="J172" i="15"/>
  <c r="B172" i="15"/>
  <c r="K171" i="15"/>
  <c r="C171" i="15"/>
  <c r="L170" i="15"/>
  <c r="D170" i="15"/>
  <c r="M169" i="15"/>
  <c r="E169" i="15"/>
  <c r="N168" i="15"/>
  <c r="F168" i="15"/>
  <c r="O167" i="15"/>
  <c r="G167" i="15"/>
  <c r="P166" i="15"/>
  <c r="H166" i="15"/>
  <c r="Q165" i="15"/>
  <c r="I165" i="15"/>
  <c r="A165" i="15"/>
  <c r="J164" i="15"/>
  <c r="B164" i="15"/>
  <c r="K163" i="15"/>
  <c r="C163" i="15"/>
  <c r="L162" i="15"/>
  <c r="D162" i="15"/>
  <c r="M161" i="15"/>
  <c r="E161" i="15"/>
  <c r="M200" i="15"/>
  <c r="N199" i="15"/>
  <c r="O198" i="15"/>
  <c r="P197" i="15"/>
  <c r="Q196" i="15"/>
  <c r="A196" i="15"/>
  <c r="B195" i="15"/>
  <c r="C194" i="15"/>
  <c r="D193" i="15"/>
  <c r="E192" i="15"/>
  <c r="F191" i="15"/>
  <c r="G190" i="15"/>
  <c r="H189" i="15"/>
  <c r="I188" i="15"/>
  <c r="J187" i="15"/>
  <c r="K186" i="15"/>
  <c r="L185" i="15"/>
  <c r="M184" i="15"/>
  <c r="N183" i="15"/>
  <c r="O182" i="15"/>
  <c r="P181" i="15"/>
  <c r="Q180" i="15"/>
  <c r="A180" i="15"/>
  <c r="B179" i="15"/>
  <c r="C178" i="15"/>
  <c r="D177" i="15"/>
  <c r="E176" i="15"/>
  <c r="F175" i="15"/>
  <c r="G174" i="15"/>
  <c r="H173" i="15"/>
  <c r="I172" i="15"/>
  <c r="J171" i="15"/>
  <c r="K170" i="15"/>
  <c r="L169" i="15"/>
  <c r="M168" i="15"/>
  <c r="N167" i="15"/>
  <c r="O166" i="15"/>
  <c r="P165" i="15"/>
  <c r="Q164" i="15"/>
  <c r="A164" i="15"/>
  <c r="B163" i="15"/>
  <c r="C162" i="15"/>
  <c r="G161" i="15"/>
  <c r="N160" i="15"/>
  <c r="F160" i="15"/>
  <c r="O159" i="15"/>
  <c r="G159" i="15"/>
  <c r="P158" i="15"/>
  <c r="H158" i="15"/>
  <c r="Q157" i="15"/>
  <c r="I157" i="15"/>
  <c r="A157" i="15"/>
  <c r="J156" i="15"/>
  <c r="B156" i="15"/>
  <c r="K155" i="15"/>
  <c r="C155" i="15"/>
  <c r="L154" i="15"/>
  <c r="D154" i="15"/>
  <c r="M153" i="15"/>
  <c r="E153" i="15"/>
  <c r="N152" i="15"/>
  <c r="F152" i="15"/>
  <c r="O151" i="15"/>
  <c r="G151" i="15"/>
  <c r="P150" i="15"/>
  <c r="H150" i="15"/>
  <c r="Q149" i="15"/>
  <c r="I149" i="15"/>
  <c r="A149" i="15"/>
  <c r="J148" i="15"/>
  <c r="B148" i="15"/>
  <c r="K147" i="15"/>
  <c r="C147" i="15"/>
  <c r="L146" i="15"/>
  <c r="D146" i="15"/>
  <c r="M145" i="15"/>
  <c r="E145" i="15"/>
  <c r="N144" i="15"/>
  <c r="F144" i="15"/>
  <c r="O143" i="15"/>
  <c r="G143" i="15"/>
  <c r="P142" i="15"/>
  <c r="H142" i="15"/>
  <c r="Q141" i="15"/>
  <c r="I141" i="15"/>
  <c r="A141" i="15"/>
  <c r="J140" i="15"/>
  <c r="L200" i="15"/>
  <c r="M199" i="15"/>
  <c r="N198" i="15"/>
  <c r="O197" i="15"/>
  <c r="P196" i="15"/>
  <c r="Q195" i="15"/>
  <c r="A195" i="15"/>
  <c r="B194" i="15"/>
  <c r="C193" i="15"/>
  <c r="D192" i="15"/>
  <c r="E191" i="15"/>
  <c r="F190" i="15"/>
  <c r="G189" i="15"/>
  <c r="H188" i="15"/>
  <c r="I187" i="15"/>
  <c r="J186" i="15"/>
  <c r="K185" i="15"/>
  <c r="L184" i="15"/>
  <c r="M183" i="15"/>
  <c r="N182" i="15"/>
  <c r="O181" i="15"/>
  <c r="P180" i="15"/>
  <c r="Q179" i="15"/>
  <c r="A179" i="15"/>
  <c r="B178" i="15"/>
  <c r="C177" i="15"/>
  <c r="D176" i="15"/>
  <c r="E175" i="15"/>
  <c r="F174" i="15"/>
  <c r="G173" i="15"/>
  <c r="H172" i="15"/>
  <c r="I171" i="15"/>
  <c r="J170" i="15"/>
  <c r="K169" i="15"/>
  <c r="L168" i="15"/>
  <c r="M167" i="15"/>
  <c r="N166" i="15"/>
  <c r="O165" i="15"/>
  <c r="P164" i="15"/>
  <c r="Q163" i="15"/>
  <c r="A163" i="15"/>
  <c r="B162" i="15"/>
  <c r="D161" i="15"/>
  <c r="M160" i="15"/>
  <c r="E160" i="15"/>
  <c r="N159" i="15"/>
  <c r="F159" i="15"/>
  <c r="O158" i="15"/>
  <c r="G158" i="15"/>
  <c r="P157" i="15"/>
  <c r="H157" i="15"/>
  <c r="Q156" i="15"/>
  <c r="I156" i="15"/>
  <c r="A156" i="15"/>
  <c r="J155" i="15"/>
  <c r="B155" i="15"/>
  <c r="K154" i="15"/>
  <c r="C154" i="15"/>
  <c r="L153" i="15"/>
  <c r="D153" i="15"/>
  <c r="M152" i="15"/>
  <c r="E152" i="15"/>
  <c r="N151" i="15"/>
  <c r="F151" i="15"/>
  <c r="O150" i="15"/>
  <c r="G150" i="15"/>
  <c r="P149" i="15"/>
  <c r="H149" i="15"/>
  <c r="Q148" i="15"/>
  <c r="I148" i="15"/>
  <c r="A148" i="15"/>
  <c r="J147" i="15"/>
  <c r="B147" i="15"/>
  <c r="K146" i="15"/>
  <c r="C146" i="15"/>
  <c r="L145" i="15"/>
  <c r="D145" i="15"/>
  <c r="M144" i="15"/>
  <c r="E144" i="15"/>
  <c r="N143" i="15"/>
  <c r="F143" i="15"/>
  <c r="O142" i="15"/>
  <c r="G142" i="15"/>
  <c r="P141" i="15"/>
  <c r="H141" i="15"/>
  <c r="K200" i="15"/>
  <c r="L199" i="15"/>
  <c r="M198" i="15"/>
  <c r="N197" i="15"/>
  <c r="O196" i="15"/>
  <c r="P195" i="15"/>
  <c r="Q194" i="15"/>
  <c r="A194" i="15"/>
  <c r="B193" i="15"/>
  <c r="C192" i="15"/>
  <c r="D191" i="15"/>
  <c r="E190" i="15"/>
  <c r="F189" i="15"/>
  <c r="G188" i="15"/>
  <c r="H187" i="15"/>
  <c r="I186" i="15"/>
  <c r="J185" i="15"/>
  <c r="K184" i="15"/>
  <c r="L183" i="15"/>
  <c r="M182" i="15"/>
  <c r="N181" i="15"/>
  <c r="O180" i="15"/>
  <c r="P179" i="15"/>
  <c r="Q178" i="15"/>
  <c r="A178" i="15"/>
  <c r="B177" i="15"/>
  <c r="C176" i="15"/>
  <c r="D175" i="15"/>
  <c r="E174" i="15"/>
  <c r="F173" i="15"/>
  <c r="G172" i="15"/>
  <c r="H171" i="15"/>
  <c r="I170" i="15"/>
  <c r="J169" i="15"/>
  <c r="K168" i="15"/>
  <c r="L167" i="15"/>
  <c r="M166" i="15"/>
  <c r="N165" i="15"/>
  <c r="O164" i="15"/>
  <c r="P163" i="15"/>
  <c r="Q162" i="15"/>
  <c r="A162" i="15"/>
  <c r="C161" i="15"/>
  <c r="L160" i="15"/>
  <c r="D160" i="15"/>
  <c r="M159" i="15"/>
  <c r="E159" i="15"/>
  <c r="N158" i="15"/>
  <c r="F158" i="15"/>
  <c r="O157" i="15"/>
  <c r="G157" i="15"/>
  <c r="P156" i="15"/>
  <c r="H156" i="15"/>
  <c r="Q155" i="15"/>
  <c r="I155" i="15"/>
  <c r="A155" i="15"/>
  <c r="J154" i="15"/>
  <c r="B154" i="15"/>
  <c r="K153" i="15"/>
  <c r="C153" i="15"/>
  <c r="L152" i="15"/>
  <c r="D152" i="15"/>
  <c r="M151" i="15"/>
  <c r="E151" i="15"/>
  <c r="N150" i="15"/>
  <c r="F150" i="15"/>
  <c r="O149" i="15"/>
  <c r="G149" i="15"/>
  <c r="P148" i="15"/>
  <c r="H148" i="15"/>
  <c r="Q147" i="15"/>
  <c r="I147" i="15"/>
  <c r="A147" i="15"/>
  <c r="J146" i="15"/>
  <c r="B146" i="15"/>
  <c r="K145" i="15"/>
  <c r="C145" i="15"/>
  <c r="L144" i="15"/>
  <c r="D144" i="15"/>
  <c r="M143" i="15"/>
  <c r="E143" i="15"/>
  <c r="N142" i="15"/>
  <c r="F142" i="15"/>
  <c r="O141" i="15"/>
  <c r="G141" i="15"/>
  <c r="P140" i="15"/>
  <c r="H140" i="15"/>
  <c r="J200" i="15"/>
  <c r="D199" i="15"/>
  <c r="H197" i="15"/>
  <c r="F196" i="15"/>
  <c r="J194" i="15"/>
  <c r="A193" i="15"/>
  <c r="L191" i="15"/>
  <c r="P189" i="15"/>
  <c r="N188" i="15"/>
  <c r="A187" i="15"/>
  <c r="I185" i="15"/>
  <c r="C184" i="15"/>
  <c r="G182" i="15"/>
  <c r="E181" i="15"/>
  <c r="I179" i="15"/>
  <c r="Q177" i="15"/>
  <c r="K176" i="15"/>
  <c r="O174" i="15"/>
  <c r="M173" i="15"/>
  <c r="Q171" i="15"/>
  <c r="H170" i="15"/>
  <c r="B169" i="15"/>
  <c r="F167" i="15"/>
  <c r="D166" i="15"/>
  <c r="H164" i="15"/>
  <c r="P162" i="15"/>
  <c r="J161" i="15"/>
  <c r="J160" i="15"/>
  <c r="P159" i="15"/>
  <c r="B159" i="15"/>
  <c r="E158" i="15"/>
  <c r="K157" i="15"/>
  <c r="N156" i="15"/>
  <c r="C156" i="15"/>
  <c r="F155" i="15"/>
  <c r="I154" i="15"/>
  <c r="O153" i="15"/>
  <c r="A153" i="15"/>
  <c r="G152" i="15"/>
  <c r="J151" i="15"/>
  <c r="M150" i="15"/>
  <c r="B150" i="15"/>
  <c r="E149" i="15"/>
  <c r="K148" i="15"/>
  <c r="N147" i="15"/>
  <c r="Q146" i="15"/>
  <c r="F146" i="15"/>
  <c r="I145" i="15"/>
  <c r="O144" i="15"/>
  <c r="A144" i="15"/>
  <c r="D143" i="15"/>
  <c r="J142" i="15"/>
  <c r="M141" i="15"/>
  <c r="B141" i="15"/>
  <c r="G140" i="15"/>
  <c r="P139" i="15"/>
  <c r="H139" i="15"/>
  <c r="Q138" i="15"/>
  <c r="I138" i="15"/>
  <c r="A138" i="15"/>
  <c r="J137" i="15"/>
  <c r="B137" i="15"/>
  <c r="K136" i="15"/>
  <c r="C136" i="15"/>
  <c r="L135" i="15"/>
  <c r="D135" i="15"/>
  <c r="M134" i="15"/>
  <c r="E134" i="15"/>
  <c r="N133" i="15"/>
  <c r="F133" i="15"/>
  <c r="O132" i="15"/>
  <c r="G132" i="15"/>
  <c r="P131" i="15"/>
  <c r="H131" i="15"/>
  <c r="Q130" i="15"/>
  <c r="I130" i="15"/>
  <c r="A130" i="15"/>
  <c r="J129" i="15"/>
  <c r="B129" i="15"/>
  <c r="K128" i="15"/>
  <c r="C128" i="15"/>
  <c r="L127" i="15"/>
  <c r="D127" i="15"/>
  <c r="M126" i="15"/>
  <c r="E126" i="15"/>
  <c r="N125" i="15"/>
  <c r="F125" i="15"/>
  <c r="O124" i="15"/>
  <c r="G124" i="15"/>
  <c r="P123" i="15"/>
  <c r="H123" i="15"/>
  <c r="Q122" i="15"/>
  <c r="I122" i="15"/>
  <c r="A122" i="15"/>
  <c r="J121" i="15"/>
  <c r="B121" i="15"/>
  <c r="K120" i="15"/>
  <c r="C120" i="15"/>
  <c r="L119" i="15"/>
  <c r="D119" i="15"/>
  <c r="M118" i="15"/>
  <c r="E118" i="15"/>
  <c r="N117" i="15"/>
  <c r="F117" i="15"/>
  <c r="O116" i="15"/>
  <c r="G116" i="15"/>
  <c r="P115" i="15"/>
  <c r="H115" i="15"/>
  <c r="Q114" i="15"/>
  <c r="I114" i="15"/>
  <c r="A114" i="15"/>
  <c r="J113" i="15"/>
  <c r="B113" i="15"/>
  <c r="K112" i="15"/>
  <c r="C112" i="15"/>
  <c r="L111" i="15"/>
  <c r="D111" i="15"/>
  <c r="M110" i="15"/>
  <c r="E110" i="15"/>
  <c r="N109" i="15"/>
  <c r="F109" i="15"/>
  <c r="O108" i="15"/>
  <c r="G108" i="15"/>
  <c r="P107" i="15"/>
  <c r="H107" i="15"/>
  <c r="Q106" i="15"/>
  <c r="I106" i="15"/>
  <c r="A106" i="15"/>
  <c r="J105" i="15"/>
  <c r="B105" i="15"/>
  <c r="K104" i="15"/>
  <c r="C104" i="15"/>
  <c r="L103" i="15"/>
  <c r="D103" i="15"/>
  <c r="M102" i="15"/>
  <c r="E102" i="15"/>
  <c r="N101" i="15"/>
  <c r="F101" i="15"/>
  <c r="O100" i="15"/>
  <c r="G100" i="15"/>
  <c r="P99" i="15"/>
  <c r="H99" i="15"/>
  <c r="Q98" i="15"/>
  <c r="I98" i="15"/>
  <c r="A98" i="15"/>
  <c r="J97" i="15"/>
  <c r="B97" i="15"/>
  <c r="K96" i="15"/>
  <c r="C96" i="15"/>
  <c r="L95" i="15"/>
  <c r="D95" i="15"/>
  <c r="M94" i="15"/>
  <c r="E94" i="15"/>
  <c r="N93" i="15"/>
  <c r="F93" i="15"/>
  <c r="O92" i="15"/>
  <c r="G92" i="15"/>
  <c r="P91" i="15"/>
  <c r="H91" i="15"/>
  <c r="Q90" i="15"/>
  <c r="I90" i="15"/>
  <c r="A90" i="15"/>
  <c r="J89" i="15"/>
  <c r="B89" i="15"/>
  <c r="K88" i="15"/>
  <c r="C88" i="15"/>
  <c r="L87" i="15"/>
  <c r="D87" i="15"/>
  <c r="M86" i="15"/>
  <c r="E86" i="15"/>
  <c r="E200" i="15"/>
  <c r="C199" i="15"/>
  <c r="G197" i="15"/>
  <c r="O195" i="15"/>
  <c r="I194" i="15"/>
  <c r="M192" i="15"/>
  <c r="K191" i="15"/>
  <c r="O189" i="15"/>
  <c r="F188" i="15"/>
  <c r="Q186" i="15"/>
  <c r="D185" i="15"/>
  <c r="B184" i="15"/>
  <c r="F182" i="15"/>
  <c r="N180" i="15"/>
  <c r="H179" i="15"/>
  <c r="L177" i="15"/>
  <c r="J176" i="15"/>
  <c r="N174" i="15"/>
  <c r="E173" i="15"/>
  <c r="P171" i="15"/>
  <c r="C170" i="15"/>
  <c r="A169" i="15"/>
  <c r="E167" i="15"/>
  <c r="M165" i="15"/>
  <c r="G164" i="15"/>
  <c r="K162" i="15"/>
  <c r="I161" i="15"/>
  <c r="I160" i="15"/>
  <c r="L159" i="15"/>
  <c r="A159" i="15"/>
  <c r="D158" i="15"/>
  <c r="J157" i="15"/>
  <c r="M156" i="15"/>
  <c r="P155" i="15"/>
  <c r="E155" i="15"/>
  <c r="H154" i="15"/>
  <c r="N153" i="15"/>
  <c r="Q152" i="15"/>
  <c r="C152" i="15"/>
  <c r="I151" i="15"/>
  <c r="L150" i="15"/>
  <c r="A150" i="15"/>
  <c r="D149" i="15"/>
  <c r="G148" i="15"/>
  <c r="M147" i="15"/>
  <c r="P146" i="15"/>
  <c r="E146" i="15"/>
  <c r="H145" i="15"/>
  <c r="K144" i="15"/>
  <c r="Q143" i="15"/>
  <c r="C143" i="15"/>
  <c r="I142" i="15"/>
  <c r="L141" i="15"/>
  <c r="Q140" i="15"/>
  <c r="F140" i="15"/>
  <c r="O139" i="15"/>
  <c r="G139" i="15"/>
  <c r="P138" i="15"/>
  <c r="H138" i="15"/>
  <c r="Q137" i="15"/>
  <c r="I137" i="15"/>
  <c r="A137" i="15"/>
  <c r="J136" i="15"/>
  <c r="B136" i="15"/>
  <c r="K135" i="15"/>
  <c r="C135" i="15"/>
  <c r="L134" i="15"/>
  <c r="D134" i="15"/>
  <c r="M133" i="15"/>
  <c r="E133" i="15"/>
  <c r="N132" i="15"/>
  <c r="F132" i="15"/>
  <c r="O131" i="15"/>
  <c r="G131" i="15"/>
  <c r="P130" i="15"/>
  <c r="H130" i="15"/>
  <c r="Q129" i="15"/>
  <c r="I129" i="15"/>
  <c r="A129" i="15"/>
  <c r="J128" i="15"/>
  <c r="B128" i="15"/>
  <c r="K127" i="15"/>
  <c r="C127" i="15"/>
  <c r="L126" i="15"/>
  <c r="D126" i="15"/>
  <c r="M125" i="15"/>
  <c r="E125" i="15"/>
  <c r="N124" i="15"/>
  <c r="F124" i="15"/>
  <c r="O123" i="15"/>
  <c r="G123" i="15"/>
  <c r="P122" i="15"/>
  <c r="H122" i="15"/>
  <c r="Q121" i="15"/>
  <c r="I121" i="15"/>
  <c r="A121" i="15"/>
  <c r="J120" i="15"/>
  <c r="B120" i="15"/>
  <c r="K119" i="15"/>
  <c r="C119" i="15"/>
  <c r="L118" i="15"/>
  <c r="D118" i="15"/>
  <c r="M117" i="15"/>
  <c r="E117" i="15"/>
  <c r="N116" i="15"/>
  <c r="F116" i="15"/>
  <c r="O115" i="15"/>
  <c r="G115" i="15"/>
  <c r="P114" i="15"/>
  <c r="H114" i="15"/>
  <c r="Q113" i="15"/>
  <c r="I113" i="15"/>
  <c r="A113" i="15"/>
  <c r="J112" i="15"/>
  <c r="B112" i="15"/>
  <c r="K111" i="15"/>
  <c r="C111" i="15"/>
  <c r="L110" i="15"/>
  <c r="D110" i="15"/>
  <c r="M109" i="15"/>
  <c r="E109" i="15"/>
  <c r="N108" i="15"/>
  <c r="F108" i="15"/>
  <c r="O107" i="15"/>
  <c r="G107" i="15"/>
  <c r="P106" i="15"/>
  <c r="H106" i="15"/>
  <c r="Q105" i="15"/>
  <c r="I105" i="15"/>
  <c r="A105" i="15"/>
  <c r="D200" i="15"/>
  <c r="L198" i="15"/>
  <c r="F197" i="15"/>
  <c r="J195" i="15"/>
  <c r="H194" i="15"/>
  <c r="L192" i="15"/>
  <c r="C191" i="15"/>
  <c r="N189" i="15"/>
  <c r="A188" i="15"/>
  <c r="P186" i="15"/>
  <c r="C185" i="15"/>
  <c r="K183" i="15"/>
  <c r="E182" i="15"/>
  <c r="I180" i="15"/>
  <c r="G179" i="15"/>
  <c r="K177" i="15"/>
  <c r="B176" i="15"/>
  <c r="M174" i="15"/>
  <c r="Q172" i="15"/>
  <c r="O171" i="15"/>
  <c r="B170" i="15"/>
  <c r="J168" i="15"/>
  <c r="D167" i="15"/>
  <c r="H165" i="15"/>
  <c r="F164" i="15"/>
  <c r="J162" i="15"/>
  <c r="B161" i="15"/>
  <c r="H160" i="15"/>
  <c r="K159" i="15"/>
  <c r="Q158" i="15"/>
  <c r="C158" i="15"/>
  <c r="F157" i="15"/>
  <c r="L156" i="15"/>
  <c r="O155" i="15"/>
  <c r="D155" i="15"/>
  <c r="G154" i="15"/>
  <c r="J153" i="15"/>
  <c r="P152" i="15"/>
  <c r="B152" i="15"/>
  <c r="H151" i="15"/>
  <c r="K150" i="15"/>
  <c r="N149" i="15"/>
  <c r="C149" i="15"/>
  <c r="F148" i="15"/>
  <c r="L147" i="15"/>
  <c r="O146" i="15"/>
  <c r="A146" i="15"/>
  <c r="G145" i="15"/>
  <c r="J144" i="15"/>
  <c r="P143" i="15"/>
  <c r="B143" i="15"/>
  <c r="E142" i="15"/>
  <c r="K141" i="15"/>
  <c r="O140" i="15"/>
  <c r="E140" i="15"/>
  <c r="N139" i="15"/>
  <c r="F139" i="15"/>
  <c r="O138" i="15"/>
  <c r="G138" i="15"/>
  <c r="P137" i="15"/>
  <c r="H137" i="15"/>
  <c r="Q136" i="15"/>
  <c r="I136" i="15"/>
  <c r="A136" i="15"/>
  <c r="J135" i="15"/>
  <c r="B135" i="15"/>
  <c r="K134" i="15"/>
  <c r="C134" i="15"/>
  <c r="L133" i="15"/>
  <c r="D133" i="15"/>
  <c r="M132" i="15"/>
  <c r="E132" i="15"/>
  <c r="N131" i="15"/>
  <c r="F131" i="15"/>
  <c r="O130" i="15"/>
  <c r="G130" i="15"/>
  <c r="P129" i="15"/>
  <c r="H129" i="15"/>
  <c r="Q128" i="15"/>
  <c r="I128" i="15"/>
  <c r="A128" i="15"/>
  <c r="J127" i="15"/>
  <c r="B127" i="15"/>
  <c r="K126" i="15"/>
  <c r="C126" i="15"/>
  <c r="L125" i="15"/>
  <c r="D125" i="15"/>
  <c r="M124" i="15"/>
  <c r="E124" i="15"/>
  <c r="N123" i="15"/>
  <c r="F123" i="15"/>
  <c r="O122" i="15"/>
  <c r="G122" i="15"/>
  <c r="P121" i="15"/>
  <c r="H121" i="15"/>
  <c r="Q120" i="15"/>
  <c r="I120" i="15"/>
  <c r="A120" i="15"/>
  <c r="J119" i="15"/>
  <c r="B119" i="15"/>
  <c r="K118" i="15"/>
  <c r="C118" i="15"/>
  <c r="L117" i="15"/>
  <c r="D117" i="15"/>
  <c r="M116" i="15"/>
  <c r="E116" i="15"/>
  <c r="N115" i="15"/>
  <c r="F115" i="15"/>
  <c r="O114" i="15"/>
  <c r="G114" i="15"/>
  <c r="P113" i="15"/>
  <c r="H113" i="15"/>
  <c r="Q112" i="15"/>
  <c r="I112" i="15"/>
  <c r="A112" i="15"/>
  <c r="J111" i="15"/>
  <c r="B111" i="15"/>
  <c r="K110" i="15"/>
  <c r="C110" i="15"/>
  <c r="L109" i="15"/>
  <c r="D109" i="15"/>
  <c r="M108" i="15"/>
  <c r="E108" i="15"/>
  <c r="N107" i="15"/>
  <c r="F107" i="15"/>
  <c r="O106" i="15"/>
  <c r="G106" i="15"/>
  <c r="P105" i="15"/>
  <c r="H105" i="15"/>
  <c r="Q104" i="15"/>
  <c r="I104" i="15"/>
  <c r="A104" i="15"/>
  <c r="J103" i="15"/>
  <c r="B103" i="15"/>
  <c r="K102" i="15"/>
  <c r="C102" i="15"/>
  <c r="L101" i="15"/>
  <c r="D101" i="15"/>
  <c r="M100" i="15"/>
  <c r="E100" i="15"/>
  <c r="N99" i="15"/>
  <c r="F99" i="15"/>
  <c r="O98" i="15"/>
  <c r="G98" i="15"/>
  <c r="P97" i="15"/>
  <c r="H97" i="15"/>
  <c r="Q96" i="15"/>
  <c r="I96" i="15"/>
  <c r="A96" i="15"/>
  <c r="J95" i="15"/>
  <c r="B95" i="15"/>
  <c r="K94" i="15"/>
  <c r="C94" i="15"/>
  <c r="L93" i="15"/>
  <c r="D93" i="15"/>
  <c r="M92" i="15"/>
  <c r="E92" i="15"/>
  <c r="N91" i="15"/>
  <c r="F91" i="15"/>
  <c r="O90" i="15"/>
  <c r="G90" i="15"/>
  <c r="P89" i="15"/>
  <c r="H89" i="15"/>
  <c r="Q88" i="15"/>
  <c r="B200" i="15"/>
  <c r="M197" i="15"/>
  <c r="G195" i="15"/>
  <c r="K192" i="15"/>
  <c r="L190" i="15"/>
  <c r="P187" i="15"/>
  <c r="Q185" i="15"/>
  <c r="D183" i="15"/>
  <c r="H180" i="15"/>
  <c r="I178" i="15"/>
  <c r="M175" i="15"/>
  <c r="N173" i="15"/>
  <c r="A171" i="15"/>
  <c r="E168" i="15"/>
  <c r="F166" i="15"/>
  <c r="J163" i="15"/>
  <c r="K161" i="15"/>
  <c r="B160" i="15"/>
  <c r="M158" i="15"/>
  <c r="M157" i="15"/>
  <c r="G156" i="15"/>
  <c r="G155" i="15"/>
  <c r="A154" i="15"/>
  <c r="O152" i="15"/>
  <c r="L151" i="15"/>
  <c r="I150" i="15"/>
  <c r="F149" i="15"/>
  <c r="C148" i="15"/>
  <c r="N146" i="15"/>
  <c r="N145" i="15"/>
  <c r="H144" i="15"/>
  <c r="H143" i="15"/>
  <c r="B142" i="15"/>
  <c r="N140" i="15"/>
  <c r="A140" i="15"/>
  <c r="D139" i="15"/>
  <c r="J138" i="15"/>
  <c r="M137" i="15"/>
  <c r="P136" i="15"/>
  <c r="E136" i="15"/>
  <c r="H135" i="15"/>
  <c r="N134" i="15"/>
  <c r="Q133" i="15"/>
  <c r="C133" i="15"/>
  <c r="I132" i="15"/>
  <c r="L131" i="15"/>
  <c r="A131" i="15"/>
  <c r="D130" i="15"/>
  <c r="G129" i="15"/>
  <c r="M128" i="15"/>
  <c r="P127" i="15"/>
  <c r="E127" i="15"/>
  <c r="H126" i="15"/>
  <c r="K125" i="15"/>
  <c r="Q124" i="15"/>
  <c r="C124" i="15"/>
  <c r="I123" i="15"/>
  <c r="L122" i="15"/>
  <c r="O121" i="15"/>
  <c r="D121" i="15"/>
  <c r="G120" i="15"/>
  <c r="M119" i="15"/>
  <c r="P118" i="15"/>
  <c r="B118" i="15"/>
  <c r="H117" i="15"/>
  <c r="K116" i="15"/>
  <c r="Q115" i="15"/>
  <c r="C115" i="15"/>
  <c r="F114" i="15"/>
  <c r="L113" i="15"/>
  <c r="O112" i="15"/>
  <c r="D112" i="15"/>
  <c r="G111" i="15"/>
  <c r="J110" i="15"/>
  <c r="P109" i="15"/>
  <c r="B109" i="15"/>
  <c r="H108" i="15"/>
  <c r="K107" i="15"/>
  <c r="N106" i="15"/>
  <c r="C106" i="15"/>
  <c r="F105" i="15"/>
  <c r="L104" i="15"/>
  <c r="Q103" i="15"/>
  <c r="G103" i="15"/>
  <c r="N102" i="15"/>
  <c r="K199" i="15"/>
  <c r="E197" i="15"/>
  <c r="P194" i="15"/>
  <c r="J192" i="15"/>
  <c r="D190" i="15"/>
  <c r="O187" i="15"/>
  <c r="B185" i="15"/>
  <c r="C183" i="15"/>
  <c r="G180" i="15"/>
  <c r="H178" i="15"/>
  <c r="L175" i="15"/>
  <c r="P172" i="15"/>
  <c r="Q170" i="15"/>
  <c r="D168" i="15"/>
  <c r="E166" i="15"/>
  <c r="I163" i="15"/>
  <c r="A161" i="15"/>
  <c r="A160" i="15"/>
  <c r="L158" i="15"/>
  <c r="L157" i="15"/>
  <c r="F156" i="15"/>
  <c r="Q154" i="15"/>
  <c r="Q153" i="15"/>
  <c r="K152" i="15"/>
  <c r="K151" i="15"/>
  <c r="E150" i="15"/>
  <c r="B149" i="15"/>
  <c r="P147" i="15"/>
  <c r="M146" i="15"/>
  <c r="J145" i="15"/>
  <c r="G144" i="15"/>
  <c r="A143" i="15"/>
  <c r="A142" i="15"/>
  <c r="M140" i="15"/>
  <c r="Q139" i="15"/>
  <c r="C139" i="15"/>
  <c r="F138" i="15"/>
  <c r="L137" i="15"/>
  <c r="O136" i="15"/>
  <c r="D136" i="15"/>
  <c r="G135" i="15"/>
  <c r="J134" i="15"/>
  <c r="P133" i="15"/>
  <c r="B133" i="15"/>
  <c r="H132" i="15"/>
  <c r="K131" i="15"/>
  <c r="N130" i="15"/>
  <c r="C130" i="15"/>
  <c r="F129" i="15"/>
  <c r="L128" i="15"/>
  <c r="O127" i="15"/>
  <c r="A127" i="15"/>
  <c r="G126" i="15"/>
  <c r="J125" i="15"/>
  <c r="P124" i="15"/>
  <c r="B124" i="15"/>
  <c r="E123" i="15"/>
  <c r="K122" i="15"/>
  <c r="N121" i="15"/>
  <c r="C121" i="15"/>
  <c r="F120" i="15"/>
  <c r="I119" i="15"/>
  <c r="O118" i="15"/>
  <c r="A118" i="15"/>
  <c r="G117" i="15"/>
  <c r="J116" i="15"/>
  <c r="M115" i="15"/>
  <c r="B115" i="15"/>
  <c r="E114" i="15"/>
  <c r="K113" i="15"/>
  <c r="N112" i="15"/>
  <c r="Q111" i="15"/>
  <c r="F111" i="15"/>
  <c r="I110" i="15"/>
  <c r="O109" i="15"/>
  <c r="A109" i="15"/>
  <c r="D108" i="15"/>
  <c r="J107" i="15"/>
  <c r="M106" i="15"/>
  <c r="B106" i="15"/>
  <c r="E105" i="15"/>
  <c r="J104" i="15"/>
  <c r="P103" i="15"/>
  <c r="F103" i="15"/>
  <c r="L102" i="15"/>
  <c r="A102" i="15"/>
  <c r="H101" i="15"/>
  <c r="N100" i="15"/>
  <c r="C100" i="15"/>
  <c r="J99" i="15"/>
  <c r="P98" i="15"/>
  <c r="E98" i="15"/>
  <c r="L97" i="15"/>
  <c r="A97" i="15"/>
  <c r="G96" i="15"/>
  <c r="N95" i="15"/>
  <c r="C95" i="15"/>
  <c r="I94" i="15"/>
  <c r="P93" i="15"/>
  <c r="E93" i="15"/>
  <c r="K92" i="15"/>
  <c r="A92" i="15"/>
  <c r="G91" i="15"/>
  <c r="M90" i="15"/>
  <c r="C90" i="15"/>
  <c r="I89" i="15"/>
  <c r="O88" i="15"/>
  <c r="F88" i="15"/>
  <c r="N87" i="15"/>
  <c r="E87" i="15"/>
  <c r="L86" i="15"/>
  <c r="C86" i="15"/>
  <c r="L85" i="15"/>
  <c r="D85" i="15"/>
  <c r="M84" i="15"/>
  <c r="E84" i="15"/>
  <c r="N83" i="15"/>
  <c r="F83" i="15"/>
  <c r="O82" i="15"/>
  <c r="G82" i="15"/>
  <c r="P81" i="15"/>
  <c r="H81" i="15"/>
  <c r="Q80" i="15"/>
  <c r="I80" i="15"/>
  <c r="A80" i="15"/>
  <c r="J79" i="15"/>
  <c r="B79" i="15"/>
  <c r="K78" i="15"/>
  <c r="C78" i="15"/>
  <c r="L77" i="15"/>
  <c r="D77" i="15"/>
  <c r="M76" i="15"/>
  <c r="E76" i="15"/>
  <c r="N75" i="15"/>
  <c r="F75" i="15"/>
  <c r="O74" i="15"/>
  <c r="G74" i="15"/>
  <c r="P73" i="15"/>
  <c r="H73" i="15"/>
  <c r="Q72" i="15"/>
  <c r="I72" i="15"/>
  <c r="A72" i="15"/>
  <c r="J71" i="15"/>
  <c r="B71" i="15"/>
  <c r="K70" i="15"/>
  <c r="C70" i="15"/>
  <c r="L69" i="15"/>
  <c r="D69" i="15"/>
  <c r="M68" i="15"/>
  <c r="E68" i="15"/>
  <c r="N67" i="15"/>
  <c r="F67" i="15"/>
  <c r="O66" i="15"/>
  <c r="G66" i="15"/>
  <c r="P65" i="15"/>
  <c r="H65" i="15"/>
  <c r="Q64" i="15"/>
  <c r="I64" i="15"/>
  <c r="A64" i="15"/>
  <c r="J63" i="15"/>
  <c r="B63" i="15"/>
  <c r="K62" i="15"/>
  <c r="C62" i="15"/>
  <c r="L61" i="15"/>
  <c r="D61" i="15"/>
  <c r="M60" i="15"/>
  <c r="E60" i="15"/>
  <c r="N59" i="15"/>
  <c r="F59" i="15"/>
  <c r="O58" i="15"/>
  <c r="F199" i="15"/>
  <c r="N196" i="15"/>
  <c r="K194" i="15"/>
  <c r="B192" i="15"/>
  <c r="M189" i="15"/>
  <c r="G187" i="15"/>
  <c r="A185" i="15"/>
  <c r="L182" i="15"/>
  <c r="F180" i="15"/>
  <c r="J177" i="15"/>
  <c r="K175" i="15"/>
  <c r="O172" i="15"/>
  <c r="P170" i="15"/>
  <c r="C168" i="15"/>
  <c r="G165" i="15"/>
  <c r="H163" i="15"/>
  <c r="Q160" i="15"/>
  <c r="Q159" i="15"/>
  <c r="K158" i="15"/>
  <c r="E157" i="15"/>
  <c r="E156" i="15"/>
  <c r="P154" i="15"/>
  <c r="P153" i="15"/>
  <c r="J152" i="15"/>
  <c r="D151" i="15"/>
  <c r="D150" i="15"/>
  <c r="O148" i="15"/>
  <c r="O147" i="15"/>
  <c r="I146" i="15"/>
  <c r="F145" i="15"/>
  <c r="C144" i="15"/>
  <c r="Q142" i="15"/>
  <c r="N141" i="15"/>
  <c r="L140" i="15"/>
  <c r="M139" i="15"/>
  <c r="B139" i="15"/>
  <c r="E138" i="15"/>
  <c r="K137" i="15"/>
  <c r="N136" i="15"/>
  <c r="Q135" i="15"/>
  <c r="F135" i="15"/>
  <c r="I134" i="15"/>
  <c r="O133" i="15"/>
  <c r="A133" i="15"/>
  <c r="D132" i="15"/>
  <c r="J131" i="15"/>
  <c r="M130" i="15"/>
  <c r="B130" i="15"/>
  <c r="E129" i="15"/>
  <c r="H128" i="15"/>
  <c r="N127" i="15"/>
  <c r="Q126" i="15"/>
  <c r="F126" i="15"/>
  <c r="I125" i="15"/>
  <c r="L124" i="15"/>
  <c r="A124" i="15"/>
  <c r="D123" i="15"/>
  <c r="J122" i="15"/>
  <c r="M121" i="15"/>
  <c r="P120" i="15"/>
  <c r="E120" i="15"/>
  <c r="H119" i="15"/>
  <c r="N118" i="15"/>
  <c r="Q117" i="15"/>
  <c r="C117" i="15"/>
  <c r="I116" i="15"/>
  <c r="L115" i="15"/>
  <c r="A115" i="15"/>
  <c r="D114" i="15"/>
  <c r="G113" i="15"/>
  <c r="M112" i="15"/>
  <c r="P111" i="15"/>
  <c r="E111" i="15"/>
  <c r="C200" i="15"/>
  <c r="G196" i="15"/>
  <c r="N191" i="15"/>
  <c r="O188" i="15"/>
  <c r="E184" i="15"/>
  <c r="F181" i="15"/>
  <c r="M176" i="15"/>
  <c r="N172" i="15"/>
  <c r="D169" i="15"/>
  <c r="E165" i="15"/>
  <c r="L161" i="15"/>
  <c r="H159" i="15"/>
  <c r="D157" i="15"/>
  <c r="L155" i="15"/>
  <c r="H153" i="15"/>
  <c r="P151" i="15"/>
  <c r="L149" i="15"/>
  <c r="H147" i="15"/>
  <c r="P145" i="15"/>
  <c r="L143" i="15"/>
  <c r="C142" i="15"/>
  <c r="D140" i="15"/>
  <c r="A139" i="15"/>
  <c r="O137" i="15"/>
  <c r="L136" i="15"/>
  <c r="I135" i="15"/>
  <c r="F134" i="15"/>
  <c r="Q132" i="15"/>
  <c r="Q131" i="15"/>
  <c r="K130" i="15"/>
  <c r="K129" i="15"/>
  <c r="E128" i="15"/>
  <c r="P126" i="15"/>
  <c r="P125" i="15"/>
  <c r="J124" i="15"/>
  <c r="J123" i="15"/>
  <c r="D122" i="15"/>
  <c r="O120" i="15"/>
  <c r="O119" i="15"/>
  <c r="I118" i="15"/>
  <c r="I117" i="15"/>
  <c r="C116" i="15"/>
  <c r="N114" i="15"/>
  <c r="N113" i="15"/>
  <c r="H112" i="15"/>
  <c r="H111" i="15"/>
  <c r="F110" i="15"/>
  <c r="G109" i="15"/>
  <c r="C108" i="15"/>
  <c r="D107" i="15"/>
  <c r="E106" i="15"/>
  <c r="D105" i="15"/>
  <c r="F104" i="15"/>
  <c r="I103" i="15"/>
  <c r="J102" i="15"/>
  <c r="P101" i="15"/>
  <c r="C101" i="15"/>
  <c r="I100" i="15"/>
  <c r="M99" i="15"/>
  <c r="B99" i="15"/>
  <c r="F98" i="15"/>
  <c r="K97" i="15"/>
  <c r="O96" i="15"/>
  <c r="D96" i="15"/>
  <c r="H95" i="15"/>
  <c r="N94" i="15"/>
  <c r="A94" i="15"/>
  <c r="G93" i="15"/>
  <c r="J92" i="15"/>
  <c r="O91" i="15"/>
  <c r="C91" i="15"/>
  <c r="H90" i="15"/>
  <c r="M89" i="15"/>
  <c r="A89" i="15"/>
  <c r="G88" i="15"/>
  <c r="M87" i="15"/>
  <c r="B87" i="15"/>
  <c r="I86" i="15"/>
  <c r="P85" i="15"/>
  <c r="G85" i="15"/>
  <c r="O84" i="15"/>
  <c r="F84" i="15"/>
  <c r="M83" i="15"/>
  <c r="D83" i="15"/>
  <c r="L82" i="15"/>
  <c r="C82" i="15"/>
  <c r="K81" i="15"/>
  <c r="B81" i="15"/>
  <c r="J80" i="15"/>
  <c r="Q79" i="15"/>
  <c r="H79" i="15"/>
  <c r="P78" i="15"/>
  <c r="G78" i="15"/>
  <c r="O77" i="15"/>
  <c r="F77" i="15"/>
  <c r="N76" i="15"/>
  <c r="D76" i="15"/>
  <c r="L75" i="15"/>
  <c r="C75" i="15"/>
  <c r="K74" i="15"/>
  <c r="B74" i="15"/>
  <c r="J73" i="15"/>
  <c r="A73" i="15"/>
  <c r="H72" i="15"/>
  <c r="E199" i="15"/>
  <c r="I195" i="15"/>
  <c r="M191" i="15"/>
  <c r="Q187" i="15"/>
  <c r="D184" i="15"/>
  <c r="O179" i="15"/>
  <c r="L176" i="15"/>
  <c r="F172" i="15"/>
  <c r="C169" i="15"/>
  <c r="N164" i="15"/>
  <c r="P160" i="15"/>
  <c r="D159" i="15"/>
  <c r="C157" i="15"/>
  <c r="H155" i="15"/>
  <c r="G153" i="15"/>
  <c r="C151" i="15"/>
  <c r="K149" i="15"/>
  <c r="G147" i="15"/>
  <c r="O145" i="15"/>
  <c r="K143" i="15"/>
  <c r="J141" i="15"/>
  <c r="C140" i="15"/>
  <c r="N138" i="15"/>
  <c r="N137" i="15"/>
  <c r="H136" i="15"/>
  <c r="E135" i="15"/>
  <c r="B134" i="15"/>
  <c r="P132" i="15"/>
  <c r="M131" i="15"/>
  <c r="J130" i="15"/>
  <c r="D129" i="15"/>
  <c r="D128" i="15"/>
  <c r="O126" i="15"/>
  <c r="O125" i="15"/>
  <c r="I124" i="15"/>
  <c r="C123" i="15"/>
  <c r="C122" i="15"/>
  <c r="N120" i="15"/>
  <c r="N119" i="15"/>
  <c r="H118" i="15"/>
  <c r="B117" i="15"/>
  <c r="B116" i="15"/>
  <c r="M114" i="15"/>
  <c r="M113" i="15"/>
  <c r="G112" i="15"/>
  <c r="A111" i="15"/>
  <c r="B110" i="15"/>
  <c r="C109" i="15"/>
  <c r="B108" i="15"/>
  <c r="C107" i="15"/>
  <c r="D106" i="15"/>
  <c r="C105" i="15"/>
  <c r="E104" i="15"/>
  <c r="H103" i="15"/>
  <c r="I102" i="15"/>
  <c r="O101" i="15"/>
  <c r="B101" i="15"/>
  <c r="H100" i="15"/>
  <c r="L99" i="15"/>
  <c r="A99" i="15"/>
  <c r="D98" i="15"/>
  <c r="I97" i="15"/>
  <c r="N96" i="15"/>
  <c r="B96" i="15"/>
  <c r="G95" i="15"/>
  <c r="L94" i="15"/>
  <c r="Q93" i="15"/>
  <c r="C93" i="15"/>
  <c r="I92" i="15"/>
  <c r="M91" i="15"/>
  <c r="B91" i="15"/>
  <c r="F90" i="15"/>
  <c r="L89" i="15"/>
  <c r="P88" i="15"/>
  <c r="E88" i="15"/>
  <c r="K87" i="15"/>
  <c r="A87" i="15"/>
  <c r="H86" i="15"/>
  <c r="O85" i="15"/>
  <c r="F85" i="15"/>
  <c r="N84" i="15"/>
  <c r="D84" i="15"/>
  <c r="L83" i="15"/>
  <c r="C83" i="15"/>
  <c r="K82" i="15"/>
  <c r="B82" i="15"/>
  <c r="J81" i="15"/>
  <c r="A81" i="15"/>
  <c r="H80" i="15"/>
  <c r="P79" i="15"/>
  <c r="G79" i="15"/>
  <c r="O78" i="15"/>
  <c r="F78" i="15"/>
  <c r="N77" i="15"/>
  <c r="E77" i="15"/>
  <c r="L76" i="15"/>
  <c r="C76" i="15"/>
  <c r="K75" i="15"/>
  <c r="B75" i="15"/>
  <c r="J74" i="15"/>
  <c r="A74" i="15"/>
  <c r="I73" i="15"/>
  <c r="P72" i="15"/>
  <c r="G72" i="15"/>
  <c r="O71" i="15"/>
  <c r="F71" i="15"/>
  <c r="N70" i="15"/>
  <c r="E70" i="15"/>
  <c r="M69" i="15"/>
  <c r="C69" i="15"/>
  <c r="K68" i="15"/>
  <c r="B68" i="15"/>
  <c r="J67" i="15"/>
  <c r="A67" i="15"/>
  <c r="I66" i="15"/>
  <c r="Q65" i="15"/>
  <c r="G65" i="15"/>
  <c r="O64" i="15"/>
  <c r="F64" i="15"/>
  <c r="N63" i="15"/>
  <c r="E63" i="15"/>
  <c r="M62" i="15"/>
  <c r="D62" i="15"/>
  <c r="K61" i="15"/>
  <c r="B61" i="15"/>
  <c r="J60" i="15"/>
  <c r="A60" i="15"/>
  <c r="I59" i="15"/>
  <c r="Q58" i="15"/>
  <c r="H58" i="15"/>
  <c r="Q57" i="15"/>
  <c r="I57" i="15"/>
  <c r="A57" i="15"/>
  <c r="J56" i="15"/>
  <c r="B56" i="15"/>
  <c r="K55" i="15"/>
  <c r="C55" i="15"/>
  <c r="L54" i="15"/>
  <c r="D54" i="15"/>
  <c r="M53" i="15"/>
  <c r="L52" i="15"/>
  <c r="L51" i="15"/>
  <c r="D51" i="15"/>
  <c r="L50" i="15"/>
  <c r="C50" i="15"/>
  <c r="K49" i="15"/>
  <c r="P48" i="15"/>
  <c r="F48" i="15"/>
  <c r="L47" i="15"/>
  <c r="C47" i="15"/>
  <c r="K46" i="15"/>
  <c r="C46" i="15"/>
  <c r="L45" i="15"/>
  <c r="L44" i="15"/>
  <c r="L43" i="15"/>
  <c r="M42" i="15"/>
  <c r="D42" i="15"/>
  <c r="M41" i="15"/>
  <c r="M40" i="15"/>
  <c r="E40" i="15"/>
  <c r="N39" i="15"/>
  <c r="F39" i="15"/>
  <c r="O38" i="15"/>
  <c r="G38" i="15"/>
  <c r="P37" i="15"/>
  <c r="H37" i="15"/>
  <c r="P36" i="15"/>
  <c r="H36" i="15"/>
  <c r="Q35" i="15"/>
  <c r="I35" i="15"/>
  <c r="G198" i="15"/>
  <c r="H195" i="15"/>
  <c r="O190" i="15"/>
  <c r="B187" i="15"/>
  <c r="F183" i="15"/>
  <c r="J179" i="15"/>
  <c r="N175" i="15"/>
  <c r="A172" i="15"/>
  <c r="B168" i="15"/>
  <c r="I164" i="15"/>
  <c r="O160" i="15"/>
  <c r="C159" i="15"/>
  <c r="B157" i="15"/>
  <c r="O154" i="15"/>
  <c r="F153" i="15"/>
  <c r="B151" i="15"/>
  <c r="J149" i="15"/>
  <c r="F147" i="15"/>
  <c r="B145" i="15"/>
  <c r="J143" i="15"/>
  <c r="F141" i="15"/>
  <c r="B140" i="15"/>
  <c r="M138" i="15"/>
  <c r="G137" i="15"/>
  <c r="G136" i="15"/>
  <c r="A135" i="15"/>
  <c r="A134" i="15"/>
  <c r="L132" i="15"/>
  <c r="I131" i="15"/>
  <c r="F130" i="15"/>
  <c r="C129" i="15"/>
  <c r="Q127" i="15"/>
  <c r="N126" i="15"/>
  <c r="H125" i="15"/>
  <c r="H124" i="15"/>
  <c r="B123" i="15"/>
  <c r="B122" i="15"/>
  <c r="M120" i="15"/>
  <c r="G119" i="15"/>
  <c r="G118" i="15"/>
  <c r="A117" i="15"/>
  <c r="A116" i="15"/>
  <c r="L114" i="15"/>
  <c r="F113" i="15"/>
  <c r="F112" i="15"/>
  <c r="Q110" i="15"/>
  <c r="A110" i="15"/>
  <c r="Q108" i="15"/>
  <c r="A108" i="15"/>
  <c r="B107" i="15"/>
  <c r="O105" i="15"/>
  <c r="P104" i="15"/>
  <c r="D104" i="15"/>
  <c r="E103" i="15"/>
  <c r="H102" i="15"/>
  <c r="M101" i="15"/>
  <c r="A101" i="15"/>
  <c r="F100" i="15"/>
  <c r="K99" i="15"/>
  <c r="N98" i="15"/>
  <c r="C98" i="15"/>
  <c r="G97" i="15"/>
  <c r="M96" i="15"/>
  <c r="Q95" i="15"/>
  <c r="F95" i="15"/>
  <c r="J94" i="15"/>
  <c r="O93" i="15"/>
  <c r="B93" i="15"/>
  <c r="H92" i="15"/>
  <c r="L91" i="15"/>
  <c r="A91" i="15"/>
  <c r="E90" i="15"/>
  <c r="K89" i="15"/>
  <c r="N88" i="15"/>
  <c r="D88" i="15"/>
  <c r="J87" i="15"/>
  <c r="Q86" i="15"/>
  <c r="G86" i="15"/>
  <c r="N85" i="15"/>
  <c r="E85" i="15"/>
  <c r="L84" i="15"/>
  <c r="C84" i="15"/>
  <c r="K83" i="15"/>
  <c r="B83" i="15"/>
  <c r="J82" i="15"/>
  <c r="A82" i="15"/>
  <c r="I81" i="15"/>
  <c r="P80" i="15"/>
  <c r="G80" i="15"/>
  <c r="O79" i="15"/>
  <c r="F79" i="15"/>
  <c r="N78" i="15"/>
  <c r="E78" i="15"/>
  <c r="M77" i="15"/>
  <c r="C77" i="15"/>
  <c r="K76" i="15"/>
  <c r="B76" i="15"/>
  <c r="J75" i="15"/>
  <c r="A75" i="15"/>
  <c r="I74" i="15"/>
  <c r="Q73" i="15"/>
  <c r="G73" i="15"/>
  <c r="O72" i="15"/>
  <c r="F72" i="15"/>
  <c r="N71" i="15"/>
  <c r="E71" i="15"/>
  <c r="M70" i="15"/>
  <c r="D70" i="15"/>
  <c r="K69" i="15"/>
  <c r="B69" i="15"/>
  <c r="J68" i="15"/>
  <c r="A68" i="15"/>
  <c r="I67" i="15"/>
  <c r="Q66" i="15"/>
  <c r="H66" i="15"/>
  <c r="O65" i="15"/>
  <c r="F65" i="15"/>
  <c r="N64" i="15"/>
  <c r="E64" i="15"/>
  <c r="M63" i="15"/>
  <c r="D63" i="15"/>
  <c r="L62" i="15"/>
  <c r="B62" i="15"/>
  <c r="J61" i="15"/>
  <c r="A61" i="15"/>
  <c r="I60" i="15"/>
  <c r="Q59" i="15"/>
  <c r="H59" i="15"/>
  <c r="P58" i="15"/>
  <c r="G58" i="15"/>
  <c r="P57" i="15"/>
  <c r="H57" i="15"/>
  <c r="Q56" i="15"/>
  <c r="I56" i="15"/>
  <c r="A56" i="15"/>
  <c r="J55" i="15"/>
  <c r="B55" i="15"/>
  <c r="K54" i="15"/>
  <c r="C54" i="15"/>
  <c r="L53" i="15"/>
  <c r="K52" i="15"/>
  <c r="K51" i="15"/>
  <c r="C51" i="15"/>
  <c r="K50" i="15"/>
  <c r="A50" i="15"/>
  <c r="J49" i="15"/>
  <c r="O48" i="15"/>
  <c r="B48" i="15"/>
  <c r="K47" i="15"/>
  <c r="A47" i="15"/>
  <c r="J46" i="15"/>
  <c r="B46" i="15"/>
  <c r="K45" i="15"/>
  <c r="K44" i="15"/>
  <c r="K43" i="15"/>
  <c r="L42" i="15"/>
  <c r="C42" i="15"/>
  <c r="L41" i="15"/>
  <c r="L40" i="15"/>
  <c r="D40" i="15"/>
  <c r="M39" i="15"/>
  <c r="E39" i="15"/>
  <c r="N38" i="15"/>
  <c r="F38" i="15"/>
  <c r="O37" i="15"/>
  <c r="G37" i="15"/>
  <c r="O36" i="15"/>
  <c r="G36" i="15"/>
  <c r="P35" i="15"/>
  <c r="H35" i="15"/>
  <c r="Q34" i="15"/>
  <c r="I34" i="15"/>
  <c r="F198" i="15"/>
  <c r="Q193" i="15"/>
  <c r="N190" i="15"/>
  <c r="H186" i="15"/>
  <c r="E183" i="15"/>
  <c r="P178" i="15"/>
  <c r="C175" i="15"/>
  <c r="G171" i="15"/>
  <c r="K167" i="15"/>
  <c r="O163" i="15"/>
  <c r="K160" i="15"/>
  <c r="J158" i="15"/>
  <c r="O156" i="15"/>
  <c r="N154" i="15"/>
  <c r="B153" i="15"/>
  <c r="A151" i="15"/>
  <c r="N148" i="15"/>
  <c r="E147" i="15"/>
  <c r="A145" i="15"/>
  <c r="I143" i="15"/>
  <c r="E141" i="15"/>
  <c r="L139" i="15"/>
  <c r="L138" i="15"/>
  <c r="F137" i="15"/>
  <c r="F136" i="15"/>
  <c r="Q134" i="15"/>
  <c r="K133" i="15"/>
  <c r="K132" i="15"/>
  <c r="E131" i="15"/>
  <c r="E130" i="15"/>
  <c r="P128" i="15"/>
  <c r="M127" i="15"/>
  <c r="J126" i="15"/>
  <c r="G125" i="15"/>
  <c r="D124" i="15"/>
  <c r="A123" i="15"/>
  <c r="L121" i="15"/>
  <c r="L120" i="15"/>
  <c r="F119" i="15"/>
  <c r="F118" i="15"/>
  <c r="Q116" i="15"/>
  <c r="K115" i="15"/>
  <c r="K114" i="15"/>
  <c r="E113" i="15"/>
  <c r="E112" i="15"/>
  <c r="P110" i="15"/>
  <c r="Q109" i="15"/>
  <c r="P108" i="15"/>
  <c r="Q107" i="15"/>
  <c r="A107" i="15"/>
  <c r="N105" i="15"/>
  <c r="O104" i="15"/>
  <c r="B104" i="15"/>
  <c r="C103" i="15"/>
  <c r="G102" i="15"/>
  <c r="K101" i="15"/>
  <c r="Q100" i="15"/>
  <c r="D100" i="15"/>
  <c r="I99" i="15"/>
  <c r="M98" i="15"/>
  <c r="B98" i="15"/>
  <c r="F97" i="15"/>
  <c r="L96" i="15"/>
  <c r="P95" i="15"/>
  <c r="E95" i="15"/>
  <c r="H94" i="15"/>
  <c r="M93" i="15"/>
  <c r="A93" i="15"/>
  <c r="F92" i="15"/>
  <c r="K91" i="15"/>
  <c r="P90" i="15"/>
  <c r="D90" i="15"/>
  <c r="G89" i="15"/>
  <c r="M88" i="15"/>
  <c r="B88" i="15"/>
  <c r="I87" i="15"/>
  <c r="P86" i="15"/>
  <c r="F86" i="15"/>
  <c r="M85" i="15"/>
  <c r="C85" i="15"/>
  <c r="K84" i="15"/>
  <c r="B84" i="15"/>
  <c r="J83" i="15"/>
  <c r="A83" i="15"/>
  <c r="I82" i="15"/>
  <c r="Q81" i="15"/>
  <c r="G81" i="15"/>
  <c r="O80" i="15"/>
  <c r="F80" i="15"/>
  <c r="N79" i="15"/>
  <c r="E79" i="15"/>
  <c r="M78" i="15"/>
  <c r="D78" i="15"/>
  <c r="K77" i="15"/>
  <c r="B77" i="15"/>
  <c r="J76" i="15"/>
  <c r="A76" i="15"/>
  <c r="I75" i="15"/>
  <c r="Q74" i="15"/>
  <c r="H74" i="15"/>
  <c r="O73" i="15"/>
  <c r="F73" i="15"/>
  <c r="N72" i="15"/>
  <c r="E72" i="15"/>
  <c r="M71" i="15"/>
  <c r="D71" i="15"/>
  <c r="L70" i="15"/>
  <c r="B70" i="15"/>
  <c r="J69" i="15"/>
  <c r="A69" i="15"/>
  <c r="I68" i="15"/>
  <c r="Q67" i="15"/>
  <c r="H67" i="15"/>
  <c r="P66" i="15"/>
  <c r="F66" i="15"/>
  <c r="N65" i="15"/>
  <c r="E65" i="15"/>
  <c r="M64" i="15"/>
  <c r="D64" i="15"/>
  <c r="L63" i="15"/>
  <c r="C63" i="15"/>
  <c r="J62" i="15"/>
  <c r="A62" i="15"/>
  <c r="I61" i="15"/>
  <c r="Q60" i="15"/>
  <c r="H60" i="15"/>
  <c r="P59" i="15"/>
  <c r="G59" i="15"/>
  <c r="N58" i="15"/>
  <c r="F58" i="15"/>
  <c r="O57" i="15"/>
  <c r="G57" i="15"/>
  <c r="P56" i="15"/>
  <c r="H56" i="15"/>
  <c r="Q55" i="15"/>
  <c r="I55" i="15"/>
  <c r="A55" i="15"/>
  <c r="J54" i="15"/>
  <c r="B54" i="15"/>
  <c r="K53" i="15"/>
  <c r="A52" i="15"/>
  <c r="J51" i="15"/>
  <c r="A51" i="15"/>
  <c r="J50" i="15"/>
  <c r="Q49" i="15"/>
  <c r="H49" i="15"/>
  <c r="N48" i="15"/>
  <c r="A48" i="15"/>
  <c r="J47" i="15"/>
  <c r="Q46" i="15"/>
  <c r="I46" i="15"/>
  <c r="A46" i="15"/>
  <c r="A45" i="15"/>
  <c r="A44" i="15"/>
  <c r="E43" i="15"/>
  <c r="K42" i="15"/>
  <c r="B42" i="15"/>
  <c r="K41" i="15"/>
  <c r="K40" i="15"/>
  <c r="C40" i="15"/>
  <c r="L39" i="15"/>
  <c r="D39" i="15"/>
  <c r="M38" i="15"/>
  <c r="E38" i="15"/>
  <c r="N37" i="15"/>
  <c r="F37" i="15"/>
  <c r="N36" i="15"/>
  <c r="F36" i="15"/>
  <c r="O35" i="15"/>
  <c r="G35" i="15"/>
  <c r="E198" i="15"/>
  <c r="M190" i="15"/>
  <c r="D182" i="15"/>
  <c r="L174" i="15"/>
  <c r="C167" i="15"/>
  <c r="G160" i="15"/>
  <c r="K156" i="15"/>
  <c r="I152" i="15"/>
  <c r="M148" i="15"/>
  <c r="Q144" i="15"/>
  <c r="D141" i="15"/>
  <c r="K138" i="15"/>
  <c r="P135" i="15"/>
  <c r="J133" i="15"/>
  <c r="D131" i="15"/>
  <c r="O128" i="15"/>
  <c r="I126" i="15"/>
  <c r="Q123" i="15"/>
  <c r="K121" i="15"/>
  <c r="E119" i="15"/>
  <c r="P116" i="15"/>
  <c r="J114" i="15"/>
  <c r="O111" i="15"/>
  <c r="K109" i="15"/>
  <c r="M107" i="15"/>
  <c r="M105" i="15"/>
  <c r="O103" i="15"/>
  <c r="F102" i="15"/>
  <c r="P100" i="15"/>
  <c r="G99" i="15"/>
  <c r="Q97" i="15"/>
  <c r="J96" i="15"/>
  <c r="A95" i="15"/>
  <c r="K93" i="15"/>
  <c r="D92" i="15"/>
  <c r="N90" i="15"/>
  <c r="F89" i="15"/>
  <c r="A88" i="15"/>
  <c r="O86" i="15"/>
  <c r="K85" i="15"/>
  <c r="J84" i="15"/>
  <c r="I83" i="15"/>
  <c r="H82" i="15"/>
  <c r="F81" i="15"/>
  <c r="E80" i="15"/>
  <c r="D79" i="15"/>
  <c r="B78" i="15"/>
  <c r="A77" i="15"/>
  <c r="Q75" i="15"/>
  <c r="P74" i="15"/>
  <c r="N73" i="15"/>
  <c r="M72" i="15"/>
  <c r="P71" i="15"/>
  <c r="Q70" i="15"/>
  <c r="A70" i="15"/>
  <c r="F69" i="15"/>
  <c r="G68" i="15"/>
  <c r="K67" i="15"/>
  <c r="L66" i="15"/>
  <c r="M65" i="15"/>
  <c r="A65" i="15"/>
  <c r="B64" i="15"/>
  <c r="F63" i="15"/>
  <c r="G62" i="15"/>
  <c r="H61" i="15"/>
  <c r="L60" i="15"/>
  <c r="M59" i="15"/>
  <c r="A59" i="15"/>
  <c r="C58" i="15"/>
  <c r="F57" i="15"/>
  <c r="L56" i="15"/>
  <c r="O55" i="15"/>
  <c r="D55" i="15"/>
  <c r="G54" i="15"/>
  <c r="Q52" i="15"/>
  <c r="N51" i="15"/>
  <c r="P50" i="15"/>
  <c r="D50" i="15"/>
  <c r="C49" i="15"/>
  <c r="Q47" i="15"/>
  <c r="E47" i="15"/>
  <c r="G46" i="15"/>
  <c r="M45" i="15"/>
  <c r="O43" i="15"/>
  <c r="I42" i="15"/>
  <c r="O41" i="15"/>
  <c r="I40" i="15"/>
  <c r="O39" i="15"/>
  <c r="A39" i="15"/>
  <c r="D38" i="15"/>
  <c r="J37" i="15"/>
  <c r="L36" i="15"/>
  <c r="A36" i="15"/>
  <c r="D35" i="15"/>
  <c r="L34" i="15"/>
  <c r="N33" i="15"/>
  <c r="Q32" i="15"/>
  <c r="I32" i="15"/>
  <c r="L31" i="15"/>
  <c r="O30" i="15"/>
  <c r="A30" i="15"/>
  <c r="J29" i="15"/>
  <c r="M28" i="15"/>
  <c r="P27" i="15"/>
  <c r="H27" i="15"/>
  <c r="K26" i="15"/>
  <c r="N25" i="15"/>
  <c r="F25" i="15"/>
  <c r="M24" i="15"/>
  <c r="P23" i="15"/>
  <c r="H23" i="15"/>
  <c r="L22" i="15"/>
  <c r="O21" i="15"/>
  <c r="O20" i="15"/>
  <c r="F20" i="15"/>
  <c r="N19" i="15"/>
  <c r="F19" i="15"/>
  <c r="O18" i="15"/>
  <c r="E18" i="15"/>
  <c r="L17" i="15"/>
  <c r="Q16" i="15"/>
  <c r="G16" i="15"/>
  <c r="O15" i="15"/>
  <c r="G15" i="15"/>
  <c r="O14" i="15"/>
  <c r="G14" i="15"/>
  <c r="P13" i="15"/>
  <c r="H13" i="15"/>
  <c r="Q12" i="15"/>
  <c r="I12" i="15"/>
  <c r="P11" i="15"/>
  <c r="H11" i="15"/>
  <c r="Q10" i="15"/>
  <c r="G10" i="15"/>
  <c r="N9" i="15"/>
  <c r="B9" i="15"/>
  <c r="K8" i="15"/>
  <c r="P7" i="15"/>
  <c r="H7" i="15"/>
  <c r="Q6" i="15"/>
  <c r="I6" i="15"/>
  <c r="N5" i="15"/>
  <c r="F5" i="15"/>
  <c r="O4" i="15"/>
  <c r="E4" i="15"/>
  <c r="L3" i="15"/>
  <c r="D198" i="15"/>
  <c r="E189" i="15"/>
  <c r="M181" i="15"/>
  <c r="D174" i="15"/>
  <c r="L166" i="15"/>
  <c r="C160" i="15"/>
  <c r="D156" i="15"/>
  <c r="H152" i="15"/>
  <c r="L148" i="15"/>
  <c r="P144" i="15"/>
  <c r="C141" i="15"/>
  <c r="D138" i="15"/>
  <c r="O135" i="15"/>
  <c r="I133" i="15"/>
  <c r="C131" i="15"/>
  <c r="N128" i="15"/>
  <c r="B126" i="15"/>
  <c r="M123" i="15"/>
  <c r="G121" i="15"/>
  <c r="A119" i="15"/>
  <c r="L116" i="15"/>
  <c r="C114" i="15"/>
  <c r="N111" i="15"/>
  <c r="J109" i="15"/>
  <c r="L107" i="15"/>
  <c r="L105" i="15"/>
  <c r="N103" i="15"/>
  <c r="D102" i="15"/>
  <c r="L100" i="15"/>
  <c r="E99" i="15"/>
  <c r="O97" i="15"/>
  <c r="H96" i="15"/>
  <c r="Q94" i="15"/>
  <c r="J93" i="15"/>
  <c r="C92" i="15"/>
  <c r="L90" i="15"/>
  <c r="E89" i="15"/>
  <c r="Q87" i="15"/>
  <c r="N86" i="15"/>
  <c r="J85" i="15"/>
  <c r="I84" i="15"/>
  <c r="H83" i="15"/>
  <c r="F82" i="15"/>
  <c r="E81" i="15"/>
  <c r="D80" i="15"/>
  <c r="C79" i="15"/>
  <c r="A78" i="15"/>
  <c r="Q76" i="15"/>
  <c r="P75" i="15"/>
  <c r="N74" i="15"/>
  <c r="M73" i="15"/>
  <c r="L72" i="15"/>
  <c r="L71" i="15"/>
  <c r="P70" i="15"/>
  <c r="Q69" i="15"/>
  <c r="E69" i="15"/>
  <c r="F68" i="15"/>
  <c r="G67" i="15"/>
  <c r="K66" i="15"/>
  <c r="L65" i="15"/>
  <c r="P64" i="15"/>
  <c r="Q63" i="15"/>
  <c r="A63" i="15"/>
  <c r="F62" i="15"/>
  <c r="G61" i="15"/>
  <c r="K60" i="15"/>
  <c r="L59" i="15"/>
  <c r="M58" i="15"/>
  <c r="B58" i="15"/>
  <c r="E57" i="15"/>
  <c r="K56" i="15"/>
  <c r="N55" i="15"/>
  <c r="Q54" i="15"/>
  <c r="F54" i="15"/>
  <c r="P52" i="15"/>
  <c r="M51" i="15"/>
  <c r="O50" i="15"/>
  <c r="P49" i="15"/>
  <c r="A49" i="15"/>
  <c r="P47" i="15"/>
  <c r="D47" i="15"/>
  <c r="F46" i="15"/>
  <c r="Q44" i="15"/>
  <c r="N43" i="15"/>
  <c r="H42" i="15"/>
  <c r="N41" i="15"/>
  <c r="H40" i="15"/>
  <c r="K39" i="15"/>
  <c r="Q38" i="15"/>
  <c r="C38" i="15"/>
  <c r="I37" i="15"/>
  <c r="K36" i="15"/>
  <c r="N35" i="15"/>
  <c r="C35" i="15"/>
  <c r="K34" i="15"/>
  <c r="M33" i="15"/>
  <c r="P32" i="15"/>
  <c r="H32" i="15"/>
  <c r="K31" i="15"/>
  <c r="N30" i="15"/>
  <c r="Q29" i="15"/>
  <c r="I29" i="15"/>
  <c r="L28" i="15"/>
  <c r="O27" i="15"/>
  <c r="A27" i="15"/>
  <c r="J26" i="15"/>
  <c r="M25" i="15"/>
  <c r="E25" i="15"/>
  <c r="L24" i="15"/>
  <c r="O23" i="15"/>
  <c r="B23" i="15"/>
  <c r="K22" i="15"/>
  <c r="N21" i="15"/>
  <c r="N20" i="15"/>
  <c r="E20" i="15"/>
  <c r="M19" i="15"/>
  <c r="E19" i="15"/>
  <c r="N18" i="15"/>
  <c r="B18" i="15"/>
  <c r="K17" i="15"/>
  <c r="P16" i="15"/>
  <c r="F16" i="15"/>
  <c r="N15" i="15"/>
  <c r="F15" i="15"/>
  <c r="N14" i="15"/>
  <c r="F14" i="15"/>
  <c r="O13" i="15"/>
  <c r="G13" i="15"/>
  <c r="P12" i="15"/>
  <c r="H12" i="15"/>
  <c r="O11" i="15"/>
  <c r="G11" i="15"/>
  <c r="P10" i="15"/>
  <c r="F10" i="15"/>
  <c r="M9" i="15"/>
  <c r="A9" i="15"/>
  <c r="J8" i="15"/>
  <c r="O7" i="15"/>
  <c r="G7" i="15"/>
  <c r="P6" i="15"/>
  <c r="F6" i="15"/>
  <c r="M5" i="15"/>
  <c r="E5" i="15"/>
  <c r="N4" i="15"/>
  <c r="B4" i="15"/>
  <c r="K3" i="15"/>
  <c r="I196" i="15"/>
  <c r="Q188" i="15"/>
  <c r="H181" i="15"/>
  <c r="P173" i="15"/>
  <c r="G166" i="15"/>
  <c r="J159" i="15"/>
  <c r="N155" i="15"/>
  <c r="A152" i="15"/>
  <c r="E148" i="15"/>
  <c r="I144" i="15"/>
  <c r="K140" i="15"/>
  <c r="C138" i="15"/>
  <c r="N135" i="15"/>
  <c r="H133" i="15"/>
  <c r="B131" i="15"/>
  <c r="G128" i="15"/>
  <c r="A126" i="15"/>
  <c r="L123" i="15"/>
  <c r="F121" i="15"/>
  <c r="Q118" i="15"/>
  <c r="H116" i="15"/>
  <c r="B114" i="15"/>
  <c r="M111" i="15"/>
  <c r="I109" i="15"/>
  <c r="I107" i="15"/>
  <c r="K105" i="15"/>
  <c r="M103" i="15"/>
  <c r="B102" i="15"/>
  <c r="K100" i="15"/>
  <c r="D99" i="15"/>
  <c r="N97" i="15"/>
  <c r="F96" i="15"/>
  <c r="P94" i="15"/>
  <c r="I93" i="15"/>
  <c r="B92" i="15"/>
  <c r="K90" i="15"/>
  <c r="D89" i="15"/>
  <c r="P87" i="15"/>
  <c r="K86" i="15"/>
  <c r="I85" i="15"/>
  <c r="H84" i="15"/>
  <c r="G83" i="15"/>
  <c r="E82" i="15"/>
  <c r="D81" i="15"/>
  <c r="C80" i="15"/>
  <c r="A79" i="15"/>
  <c r="Q77" i="15"/>
  <c r="P76" i="15"/>
  <c r="O75" i="15"/>
  <c r="M74" i="15"/>
  <c r="L73" i="15"/>
  <c r="K72" i="15"/>
  <c r="K71" i="15"/>
  <c r="O70" i="15"/>
  <c r="P69" i="15"/>
  <c r="Q68" i="15"/>
  <c r="D68" i="15"/>
  <c r="E67" i="15"/>
  <c r="J66" i="15"/>
  <c r="K65" i="15"/>
  <c r="L64" i="15"/>
  <c r="P63" i="15"/>
  <c r="Q62" i="15"/>
  <c r="E62" i="15"/>
  <c r="F61" i="15"/>
  <c r="G60" i="15"/>
  <c r="K59" i="15"/>
  <c r="L58" i="15"/>
  <c r="A58" i="15"/>
  <c r="D57" i="15"/>
  <c r="G56" i="15"/>
  <c r="M55" i="15"/>
  <c r="P54" i="15"/>
  <c r="E54" i="15"/>
  <c r="O52" i="15"/>
  <c r="I51" i="15"/>
  <c r="N50" i="15"/>
  <c r="O49" i="15"/>
  <c r="Q48" i="15"/>
  <c r="O47" i="15"/>
  <c r="P46" i="15"/>
  <c r="E46" i="15"/>
  <c r="P44" i="15"/>
  <c r="M43" i="15"/>
  <c r="G42" i="15"/>
  <c r="A41" i="15"/>
  <c r="G40" i="15"/>
  <c r="J39" i="15"/>
  <c r="P38" i="15"/>
  <c r="B38" i="15"/>
  <c r="E37" i="15"/>
  <c r="J36" i="15"/>
  <c r="M35" i="15"/>
  <c r="B35" i="15"/>
  <c r="J34" i="15"/>
  <c r="L33" i="15"/>
  <c r="O32" i="15"/>
  <c r="A32" i="15"/>
  <c r="J31" i="15"/>
  <c r="M30" i="15"/>
  <c r="P29" i="15"/>
  <c r="H29" i="15"/>
  <c r="K28" i="15"/>
  <c r="N27" i="15"/>
  <c r="Q26" i="15"/>
  <c r="I26" i="15"/>
  <c r="L25" i="15"/>
  <c r="D25" i="15"/>
  <c r="K24" i="15"/>
  <c r="N23" i="15"/>
  <c r="A23" i="15"/>
  <c r="J22" i="15"/>
  <c r="M21" i="15"/>
  <c r="M20" i="15"/>
  <c r="D20" i="15"/>
  <c r="L19" i="15"/>
  <c r="D19" i="15"/>
  <c r="M18" i="15"/>
  <c r="A18" i="15"/>
  <c r="J17" i="15"/>
  <c r="O16" i="15"/>
  <c r="E16" i="15"/>
  <c r="M15" i="15"/>
  <c r="E15" i="15"/>
  <c r="M14" i="15"/>
  <c r="E14" i="15"/>
  <c r="N13" i="15"/>
  <c r="F13" i="15"/>
  <c r="O12" i="15"/>
  <c r="G12" i="15"/>
  <c r="N11" i="15"/>
  <c r="F11" i="15"/>
  <c r="O10" i="15"/>
  <c r="E10" i="15"/>
  <c r="L9" i="15"/>
  <c r="Q8" i="15"/>
  <c r="G8" i="15"/>
  <c r="N7" i="15"/>
  <c r="F7" i="15"/>
  <c r="O6" i="15"/>
  <c r="E6" i="15"/>
  <c r="L5" i="15"/>
  <c r="D5" i="15"/>
  <c r="M4" i="15"/>
  <c r="A4" i="15"/>
  <c r="A3" i="15"/>
  <c r="L193" i="15"/>
  <c r="C186" i="15"/>
  <c r="K178" i="15"/>
  <c r="B171" i="15"/>
  <c r="G163" i="15"/>
  <c r="K193" i="15"/>
  <c r="B186" i="15"/>
  <c r="J178" i="15"/>
  <c r="A170" i="15"/>
  <c r="I162" i="15"/>
  <c r="B158" i="15"/>
  <c r="F154" i="15"/>
  <c r="J150" i="15"/>
  <c r="H146" i="15"/>
  <c r="L142" i="15"/>
  <c r="J139" i="15"/>
  <c r="D137" i="15"/>
  <c r="O134" i="15"/>
  <c r="C132" i="15"/>
  <c r="N129" i="15"/>
  <c r="H127" i="15"/>
  <c r="B125" i="15"/>
  <c r="M122" i="15"/>
  <c r="D120" i="15"/>
  <c r="O117" i="15"/>
  <c r="I115" i="15"/>
  <c r="C113" i="15"/>
  <c r="N110" i="15"/>
  <c r="K108" i="15"/>
  <c r="K106" i="15"/>
  <c r="M104" i="15"/>
  <c r="Q102" i="15"/>
  <c r="I101" i="15"/>
  <c r="A100" i="15"/>
  <c r="K98" i="15"/>
  <c r="D97" i="15"/>
  <c r="M95" i="15"/>
  <c r="F94" i="15"/>
  <c r="P92" i="15"/>
  <c r="I91" i="15"/>
  <c r="Q89" i="15"/>
  <c r="J88" i="15"/>
  <c r="G87" i="15"/>
  <c r="B86" i="15"/>
  <c r="A85" i="15"/>
  <c r="Q83" i="15"/>
  <c r="P82" i="15"/>
  <c r="N81" i="15"/>
  <c r="M80" i="15"/>
  <c r="L79" i="15"/>
  <c r="J78" i="15"/>
  <c r="I77" i="15"/>
  <c r="H76" i="15"/>
  <c r="G75" i="15"/>
  <c r="E74" i="15"/>
  <c r="D73" i="15"/>
  <c r="C72" i="15"/>
  <c r="G71" i="15"/>
  <c r="H70" i="15"/>
  <c r="I69" i="15"/>
  <c r="N68" i="15"/>
  <c r="O67" i="15"/>
  <c r="B67" i="15"/>
  <c r="C66" i="15"/>
  <c r="D65" i="15"/>
  <c r="H64" i="15"/>
  <c r="I63" i="15"/>
  <c r="N62" i="15"/>
  <c r="O61" i="15"/>
  <c r="P60" i="15"/>
  <c r="C60" i="15"/>
  <c r="D59" i="15"/>
  <c r="I58" i="15"/>
  <c r="L57" i="15"/>
  <c r="O56" i="15"/>
  <c r="D56" i="15"/>
  <c r="G55" i="15"/>
  <c r="M54" i="15"/>
  <c r="P53" i="15"/>
  <c r="Q51" i="15"/>
  <c r="F51" i="15"/>
  <c r="G50" i="15"/>
  <c r="L49" i="15"/>
  <c r="K48" i="15"/>
  <c r="H47" i="15"/>
  <c r="M46" i="15"/>
  <c r="P45" i="15"/>
  <c r="M44" i="15"/>
  <c r="P42" i="15"/>
  <c r="A42" i="15"/>
  <c r="J4" i="15"/>
  <c r="G5" i="15"/>
  <c r="A6" i="15"/>
  <c r="B7" i="15"/>
  <c r="M7" i="15"/>
  <c r="N8" i="15"/>
  <c r="O9" i="15"/>
  <c r="M10" i="15"/>
  <c r="J11" i="15"/>
  <c r="F12" i="15"/>
  <c r="C13" i="15"/>
  <c r="Q13" i="15"/>
  <c r="K14" i="15"/>
  <c r="I15" i="15"/>
  <c r="D16" i="15"/>
  <c r="E17" i="15"/>
  <c r="F18" i="15"/>
  <c r="B19" i="15"/>
  <c r="P19" i="15"/>
  <c r="L20" i="15"/>
  <c r="A22" i="15"/>
  <c r="I23" i="15"/>
  <c r="I24" i="15"/>
  <c r="H25" i="15"/>
  <c r="H26" i="15"/>
  <c r="K27" i="15"/>
  <c r="N28" i="15"/>
  <c r="N29" i="15"/>
  <c r="Q30" i="15"/>
  <c r="Q31" i="15"/>
  <c r="I33" i="15"/>
  <c r="M34" i="15"/>
  <c r="K35" i="15"/>
  <c r="Q36" i="15"/>
  <c r="A38" i="15"/>
  <c r="G39" i="15"/>
  <c r="J40" i="15"/>
  <c r="F42" i="15"/>
  <c r="O44" i="15"/>
  <c r="O46" i="15"/>
  <c r="M48" i="15"/>
  <c r="M50" i="15"/>
  <c r="N52" i="15"/>
  <c r="O54" i="15"/>
  <c r="F56" i="15"/>
  <c r="N57" i="15"/>
  <c r="J59" i="15"/>
  <c r="E61" i="15"/>
  <c r="P62" i="15"/>
  <c r="K64" i="15"/>
  <c r="E66" i="15"/>
  <c r="C68" i="15"/>
  <c r="O69" i="15"/>
  <c r="I71" i="15"/>
  <c r="K73" i="15"/>
  <c r="M75" i="15"/>
  <c r="P77" i="15"/>
  <c r="B80" i="15"/>
  <c r="D82" i="15"/>
  <c r="G84" i="15"/>
  <c r="J86" i="15"/>
  <c r="C89" i="15"/>
  <c r="Q91" i="15"/>
  <c r="O94" i="15"/>
  <c r="M97" i="15"/>
  <c r="J100" i="15"/>
  <c r="K103" i="15"/>
  <c r="E107" i="15"/>
  <c r="I111" i="15"/>
  <c r="D116" i="15"/>
  <c r="E121" i="15"/>
  <c r="Q125" i="15"/>
  <c r="L130" i="15"/>
  <c r="M135" i="15"/>
  <c r="I140" i="15"/>
  <c r="D148" i="15"/>
  <c r="M155" i="15"/>
  <c r="I169" i="15"/>
  <c r="P188" i="15"/>
  <c r="N10" i="15"/>
  <c r="K11" i="15"/>
  <c r="J12" i="15"/>
  <c r="D13" i="15"/>
  <c r="A14" i="15"/>
  <c r="L14" i="15"/>
  <c r="J15" i="15"/>
  <c r="J16" i="15"/>
  <c r="F17" i="15"/>
  <c r="G18" i="15"/>
  <c r="C19" i="15"/>
  <c r="Q19" i="15"/>
  <c r="P20" i="15"/>
  <c r="H22" i="15"/>
  <c r="J23" i="15"/>
  <c r="J24" i="15"/>
  <c r="I25" i="15"/>
  <c r="L26" i="15"/>
  <c r="L27" i="15"/>
  <c r="O28" i="15"/>
  <c r="O29" i="15"/>
  <c r="A31" i="15"/>
  <c r="J32" i="15"/>
  <c r="J33" i="15"/>
  <c r="N34" i="15"/>
  <c r="L35" i="15"/>
  <c r="A37" i="15"/>
  <c r="H38" i="15"/>
  <c r="H39" i="15"/>
  <c r="N40" i="15"/>
  <c r="N42" i="15"/>
  <c r="N45" i="15"/>
  <c r="F47" i="15"/>
  <c r="D49" i="15"/>
  <c r="Q50" i="15"/>
  <c r="N53" i="15"/>
  <c r="E55" i="15"/>
  <c r="M56" i="15"/>
  <c r="D58" i="15"/>
  <c r="O59" i="15"/>
  <c r="M61" i="15"/>
  <c r="G63" i="15"/>
  <c r="B65" i="15"/>
  <c r="M66" i="15"/>
  <c r="H68" i="15"/>
  <c r="F70" i="15"/>
  <c r="Q71" i="15"/>
  <c r="C74" i="15"/>
  <c r="F76" i="15"/>
  <c r="H78" i="15"/>
  <c r="K80" i="15"/>
  <c r="M82" i="15"/>
  <c r="P84" i="15"/>
  <c r="C87" i="15"/>
  <c r="N89" i="15"/>
  <c r="L92" i="15"/>
  <c r="I95" i="15"/>
  <c r="H98" i="15"/>
  <c r="E101" i="15"/>
  <c r="G104" i="15"/>
  <c r="I108" i="15"/>
  <c r="L112" i="15"/>
  <c r="J117" i="15"/>
  <c r="E122" i="15"/>
  <c r="F127" i="15"/>
  <c r="A132" i="15"/>
  <c r="M136" i="15"/>
  <c r="D142" i="15"/>
  <c r="M149" i="15"/>
  <c r="N157" i="15"/>
  <c r="Q169" i="15"/>
  <c r="I193" i="15"/>
  <c r="N3" i="15"/>
  <c r="L4" i="15"/>
  <c r="I5" i="15"/>
  <c r="J6" i="15"/>
  <c r="D7" i="15"/>
  <c r="A8" i="15"/>
  <c r="P8" i="15"/>
  <c r="Q9" i="15"/>
  <c r="A11" i="15"/>
  <c r="L11" i="15"/>
  <c r="K12" i="15"/>
  <c r="E13" i="15"/>
  <c r="B14" i="15"/>
  <c r="P14" i="15"/>
  <c r="K15" i="15"/>
  <c r="K16" i="15"/>
  <c r="G17" i="15"/>
  <c r="J18" i="15"/>
  <c r="G19" i="15"/>
  <c r="A20" i="15"/>
  <c r="Q20" i="15"/>
  <c r="I22" i="15"/>
  <c r="K23" i="15"/>
  <c r="N24" i="15"/>
  <c r="J25" i="15"/>
  <c r="M26" i="15"/>
  <c r="M27" i="15"/>
  <c r="P28" i="15"/>
  <c r="H30" i="15"/>
  <c r="H31" i="15"/>
  <c r="K32" i="15"/>
  <c r="K33" i="15"/>
  <c r="O34" i="15"/>
  <c r="B36" i="15"/>
  <c r="C37" i="15"/>
  <c r="I38" i="15"/>
  <c r="I39" i="15"/>
  <c r="O40" i="15"/>
  <c r="O42" i="15"/>
  <c r="O45" i="15"/>
  <c r="G47" i="15"/>
  <c r="E49" i="15"/>
  <c r="E51" i="15"/>
  <c r="O53" i="15"/>
  <c r="F55" i="15"/>
  <c r="N56" i="15"/>
  <c r="E58" i="15"/>
  <c r="B60" i="15"/>
  <c r="N61" i="15"/>
  <c r="H63" i="15"/>
  <c r="C65" i="15"/>
  <c r="N66" i="15"/>
  <c r="L68" i="15"/>
  <c r="G70" i="15"/>
  <c r="B72" i="15"/>
  <c r="D74" i="15"/>
  <c r="G76" i="15"/>
  <c r="I78" i="15"/>
  <c r="L80" i="15"/>
  <c r="N82" i="15"/>
  <c r="Q84" i="15"/>
  <c r="F87" i="15"/>
  <c r="O89" i="15"/>
  <c r="N92" i="15"/>
  <c r="K95" i="15"/>
  <c r="J98" i="15"/>
  <c r="G101" i="15"/>
  <c r="H104" i="15"/>
  <c r="J108" i="15"/>
  <c r="P112" i="15"/>
  <c r="K117" i="15"/>
  <c r="F122" i="15"/>
  <c r="G127" i="15"/>
  <c r="B132" i="15"/>
  <c r="C137" i="15"/>
  <c r="K142" i="15"/>
  <c r="C150" i="15"/>
  <c r="A158" i="15"/>
  <c r="O173" i="15"/>
  <c r="J193" i="15"/>
  <c r="O3" i="15"/>
  <c r="P4" i="15"/>
  <c r="J5" i="15"/>
  <c r="K6" i="15"/>
  <c r="E7" i="15"/>
  <c r="B8" i="15"/>
  <c r="E9" i="15"/>
  <c r="A10" i="15"/>
  <c r="B11" i="15"/>
  <c r="M11" i="15"/>
  <c r="L12" i="15"/>
  <c r="I13" i="15"/>
  <c r="C14" i="15"/>
  <c r="Q14" i="15"/>
  <c r="L15" i="15"/>
  <c r="L16" i="15"/>
  <c r="M17" i="15"/>
  <c r="K18" i="15"/>
  <c r="H19" i="15"/>
  <c r="C20" i="15"/>
  <c r="A21" i="15"/>
  <c r="M22" i="15"/>
  <c r="L23" i="15"/>
  <c r="O24" i="15"/>
  <c r="K25" i="15"/>
  <c r="N26" i="15"/>
  <c r="Q27" i="15"/>
  <c r="Q28" i="15"/>
  <c r="I30" i="15"/>
  <c r="I31" i="15"/>
  <c r="L32" i="15"/>
  <c r="O33" i="15"/>
  <c r="P34" i="15"/>
  <c r="C36" i="15"/>
  <c r="D37" i="15"/>
  <c r="J38" i="15"/>
  <c r="P39" i="15"/>
  <c r="P40" i="15"/>
  <c r="Q42" i="15"/>
  <c r="Q45" i="15"/>
  <c r="M47" i="15"/>
  <c r="M49" i="15"/>
  <c r="G51" i="15"/>
  <c r="Q53" i="15"/>
  <c r="H55" i="15"/>
  <c r="B57" i="15"/>
  <c r="J58" i="15"/>
  <c r="D60" i="15"/>
  <c r="P61" i="15"/>
  <c r="K63" i="15"/>
  <c r="I65" i="15"/>
  <c r="C67" i="15"/>
  <c r="O68" i="15"/>
  <c r="I70" i="15"/>
  <c r="D72" i="15"/>
  <c r="F74" i="15"/>
  <c r="I76" i="15"/>
  <c r="L78" i="15"/>
  <c r="N80" i="15"/>
  <c r="Q82" i="15"/>
  <c r="B85" i="15"/>
  <c r="H87" i="15"/>
  <c r="B90" i="15"/>
  <c r="Q92" i="15"/>
  <c r="O95" i="15"/>
  <c r="L98" i="15"/>
  <c r="J101" i="15"/>
  <c r="N104" i="15"/>
  <c r="L108" i="15"/>
  <c r="D113" i="15"/>
  <c r="P117" i="15"/>
  <c r="N122" i="15"/>
  <c r="I127" i="15"/>
  <c r="J132" i="15"/>
  <c r="E137" i="15"/>
  <c r="M142" i="15"/>
  <c r="Q150" i="15"/>
  <c r="I158" i="15"/>
  <c r="A177" i="15"/>
  <c r="H196" i="15"/>
  <c r="W1" i="17"/>
  <c r="X1" i="17"/>
  <c r="V1" i="17"/>
</calcChain>
</file>

<file path=xl/sharedStrings.xml><?xml version="1.0" encoding="utf-8"?>
<sst xmlns="http://schemas.openxmlformats.org/spreadsheetml/2006/main" count="216" uniqueCount="104">
  <si>
    <t>Log 8</t>
  </si>
  <si>
    <t>Log 9</t>
  </si>
  <si>
    <t>Log 10</t>
  </si>
  <si>
    <t>Log 11</t>
  </si>
  <si>
    <t>Log 12</t>
  </si>
  <si>
    <t>Update 3</t>
  </si>
  <si>
    <t>PURCHASE ORDER NUMBER:</t>
  </si>
  <si>
    <t>JOB/PHASE NUMBER:</t>
  </si>
  <si>
    <t>To:</t>
  </si>
  <si>
    <t>Example Supplier/Vendor</t>
  </si>
  <si>
    <t>Ship To:</t>
  </si>
  <si>
    <t xml:space="preserve"> Project Name</t>
  </si>
  <si>
    <t>Attn:</t>
  </si>
  <si>
    <t>Job-Site:</t>
  </si>
  <si>
    <t xml:space="preserve">Job-Site Phone:  </t>
  </si>
  <si>
    <t xml:space="preserve">Superintendent:  </t>
  </si>
  <si>
    <t>Phone:</t>
  </si>
  <si>
    <t>Send Invoices To:</t>
  </si>
  <si>
    <t>Fax:</t>
  </si>
  <si>
    <t>Your Company Name</t>
  </si>
  <si>
    <t>Email</t>
  </si>
  <si>
    <t>Ship VIA:</t>
  </si>
  <si>
    <t>Best Route</t>
  </si>
  <si>
    <t>Delivery Required By:</t>
  </si>
  <si>
    <t>F.O.B.:</t>
  </si>
  <si>
    <t>Jobsite</t>
  </si>
  <si>
    <t>SALES TAX EXEMPT:</t>
  </si>
  <si>
    <t>YES</t>
  </si>
  <si>
    <t>DESCRIPTION OF MATERIALS</t>
  </si>
  <si>
    <t>Unit Price</t>
  </si>
  <si>
    <t>Quantity</t>
  </si>
  <si>
    <t>Amount</t>
  </si>
  <si>
    <t>PROJECT:</t>
  </si>
  <si>
    <t>Example Project</t>
  </si>
  <si>
    <t xml:space="preserve">Fabricate and furnish the following materials per the plans and specifications prepared by </t>
  </si>
  <si>
    <t xml:space="preserve"> </t>
  </si>
  <si>
    <r>
      <t xml:space="preserve">dated </t>
    </r>
    <r>
      <rPr>
        <i/>
        <sz val="10"/>
        <color rgb="FFFF0000"/>
        <rFont val="Arial"/>
        <family val="2"/>
      </rPr>
      <t>--/--/----</t>
    </r>
    <r>
      <rPr>
        <i/>
        <sz val="10"/>
        <rFont val="Arial"/>
        <family val="2"/>
      </rPr>
      <t xml:space="preserve"> and all applicable addenda and correspondence</t>
    </r>
  </si>
  <si>
    <t>Subtotal</t>
  </si>
  <si>
    <t xml:space="preserve">EXCLUSIONS:  </t>
  </si>
  <si>
    <t>GRAND TOTAL:</t>
  </si>
  <si>
    <t>Purchase Order Number must appear on all invoices, shipments, and correspondence</t>
  </si>
  <si>
    <t>See attached sheet for additional terms and conditions of this offer</t>
  </si>
  <si>
    <t>Attachments:</t>
  </si>
  <si>
    <t>Cost Code:</t>
  </si>
  <si>
    <t>Payment Terms:  Reference contract between the owner and</t>
  </si>
  <si>
    <t>Vendor is to supply a minimum of 24 hours advance notice of shipment of material</t>
  </si>
  <si>
    <t>Acknowledged By:</t>
  </si>
  <si>
    <t>Originated By:</t>
  </si>
  <si>
    <t>Vendor:</t>
  </si>
  <si>
    <t>AP Vendor Number:</t>
  </si>
  <si>
    <t>Date Signed:</t>
  </si>
  <si>
    <t>DATE SIGNED</t>
  </si>
  <si>
    <t>Date of Order:</t>
  </si>
  <si>
    <t>IMPORTANT:  THIS OFFER DOES NOT BECOME AN ORDER UNTIL ALL COPIES ARE SIGNED AND RETURNED TO THIS OFFICE.</t>
  </si>
  <si>
    <t>Purchase Order Log</t>
  </si>
  <si>
    <t>JOB</t>
  </si>
  <si>
    <t>DATE</t>
  </si>
  <si>
    <t>First Name</t>
  </si>
  <si>
    <t>Job Title</t>
  </si>
  <si>
    <t>Company</t>
  </si>
  <si>
    <t>File As</t>
  </si>
  <si>
    <t>Country/Region</t>
  </si>
  <si>
    <t>Department</t>
  </si>
  <si>
    <t>Business Phone</t>
  </si>
  <si>
    <t>Business Fax</t>
  </si>
  <si>
    <t>Business Address Street</t>
  </si>
  <si>
    <t>Business Address City</t>
  </si>
  <si>
    <t>Business Address State</t>
  </si>
  <si>
    <t>Business Address Postal Code</t>
  </si>
  <si>
    <t>Home Phone</t>
  </si>
  <si>
    <t>Mobile Phone</t>
  </si>
  <si>
    <t>Your Name</t>
  </si>
  <si>
    <t>555-555-5555</t>
  </si>
  <si>
    <t>555-555-5556</t>
  </si>
  <si>
    <t>1234 Construction Lane</t>
  </si>
  <si>
    <t>Springfield</t>
  </si>
  <si>
    <t>IL</t>
  </si>
  <si>
    <t>jsmith@yourcompanyname.com</t>
  </si>
  <si>
    <t>101 Enterprise Dr</t>
  </si>
  <si>
    <t>Illinois</t>
  </si>
  <si>
    <t>A/E Name</t>
  </si>
  <si>
    <t> </t>
  </si>
  <si>
    <t xml:space="preserve"> A/E / Developer</t>
  </si>
  <si>
    <t>(555) 555-5105</t>
  </si>
  <si>
    <t>(555) 555-5167</t>
  </si>
  <si>
    <t>100 Design Street</t>
  </si>
  <si>
    <t>njacobs@exampleaed.com</t>
  </si>
  <si>
    <t>Owner Name</t>
  </si>
  <si>
    <t xml:space="preserve"> Owner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</si>
  <si>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</si>
  <si>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</si>
  <si>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</si>
  <si>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</si>
  <si>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</si>
  <si>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</si>
  <si>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</si>
  <si>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</si>
  <si>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</si>
  <si>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</si>
  <si>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</si>
  <si>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(555) 555-1733</t>
  </si>
  <si>
    <t>(555) 555-9790</t>
  </si>
  <si>
    <t>440 North Industrial Drive</t>
  </si>
  <si>
    <t>mjordan@examplesupplier.com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</si>
</sst>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;\-0;;@"/>
    <numFmt numFmtId="165" formatCode="#,##0;\-#,##0;;@"/>
  </numFmts>
  <fonts count="5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20"/>
      <name val="Arial"/>
      <family val="2"/>
    </font>
    <font>
      <b/>
      <sz val="12"/>
      <name val="Arial"/>
      <family val="2"/>
    </font>
    <font>
      <sz val="10"/>
      <color theme="8" tint="0.7999816888943144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theme="8" tint="0.7999816888943144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0"/>
      <color indexed="18"/>
      <name val="Arial"/>
      <family val="2"/>
    </font>
    <font>
      <sz val="11"/>
      <name val="Aptos Narrow"/>
      <family val="2"/>
      <scheme val="minor"/>
    </font>
    <font>
      <i/>
      <sz val="10"/>
      <color indexed="18"/>
      <name val="Arial"/>
      <family val="2"/>
    </font>
    <font>
      <b/>
      <sz val="8"/>
      <color indexed="18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i/>
      <sz val="10"/>
      <color rgb="FFFF0000"/>
      <name val="Arial"/>
      <family val="2"/>
    </font>
    <font>
      <sz val="9"/>
      <name val="Arial"/>
      <family val="2"/>
    </font>
    <font>
      <b/>
      <i/>
      <sz val="16"/>
      <name val="Monotype Corsiva"/>
      <family val="4"/>
    </font>
    <font>
      <sz val="8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b/>
      <u/>
      <sz val="12"/>
      <color theme="10"/>
      <name val="Aptos Narrow"/>
      <family val="2"/>
      <scheme val="minor"/>
    </font>
    <font>
      <b/>
      <sz val="10"/>
      <color indexed="8"/>
      <name val="Arial"/>
      <family val="2"/>
    </font>
    <font>
      <b/>
      <sz val="14"/>
      <name val="Arial"/>
      <family val="2"/>
    </font>
    <font>
      <sz val="8"/>
      <color theme="0"/>
      <name val="Arial"/>
      <family val="2"/>
    </font>
    <font>
      <sz val="8"/>
      <color theme="0"/>
      <name val="Aptos Narrow"/>
      <family val="2"/>
      <scheme val="minor"/>
    </font>
    <font>
      <b/>
      <sz val="28"/>
      <name val="Aptos Narrow"/>
      <family val="2"/>
      <scheme val="minor"/>
    </font>
    <font>
      <b/>
      <sz val="36"/>
      <color rgb="FF000000"/>
      <name val="Arial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  <font>
      <b/>
      <u/>
      <sz val="12"/>
      <color rgb="FF0066CC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0">
    <xf numFmtId="0" fontId="0" fillId="0" borderId="0" xfId="0"/>
    <xf numFmtId="164" fontId="0" fillId="0" borderId="0" xfId="0" applyNumberFormat="1"/>
    <xf numFmtId="164" fontId="18" fillId="0" borderId="0" xfId="42" applyNumberFormat="1"/>
    <xf numFmtId="164" fontId="0" fillId="33" borderId="0" xfId="0" applyNumberFormat="1" applyFill="1"/>
    <xf numFmtId="164" fontId="0" fillId="0" borderId="10" xfId="0" applyNumberFormat="1" applyBorder="1"/>
    <xf numFmtId="164" fontId="0" fillId="35" borderId="10" xfId="0" applyNumberFormat="1" applyFill="1" applyBorder="1"/>
    <xf numFmtId="164" fontId="0" fillId="35" borderId="0" xfId="0" applyNumberFormat="1" applyFill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5" fontId="0" fillId="33" borderId="18" xfId="0" applyNumberFormat="1" applyFill="1" applyBorder="1"/>
    <xf numFmtId="165" fontId="0" fillId="33" borderId="19" xfId="0" applyNumberFormat="1" applyFill="1" applyBorder="1"/>
    <xf numFmtId="165" fontId="0" fillId="33" borderId="20" xfId="0" applyNumberFormat="1" applyFill="1" applyBorder="1"/>
    <xf numFmtId="165" fontId="0" fillId="0" borderId="21" xfId="0" applyNumberFormat="1" applyBorder="1"/>
    <xf numFmtId="165" fontId="0" fillId="0" borderId="10" xfId="0" applyNumberFormat="1" applyBorder="1"/>
    <xf numFmtId="165" fontId="0" fillId="0" borderId="22" xfId="0" applyNumberFormat="1" applyBorder="1"/>
    <xf numFmtId="165" fontId="0" fillId="0" borderId="19" xfId="0" applyNumberFormat="1" applyBorder="1"/>
    <xf numFmtId="165" fontId="20" fillId="0" borderId="21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20" fillId="0" borderId="22" xfId="0" applyNumberFormat="1" applyFont="1" applyBorder="1" applyAlignment="1">
      <alignment horizontal="center"/>
    </xf>
    <xf numFmtId="165" fontId="0" fillId="0" borderId="0" xfId="0" applyNumberFormat="1"/>
    <xf numFmtId="165" fontId="21" fillId="0" borderId="23" xfId="0" applyNumberFormat="1" applyFont="1" applyBorder="1"/>
    <xf numFmtId="165" fontId="21" fillId="0" borderId="24" xfId="0" applyNumberFormat="1" applyFont="1" applyBorder="1"/>
    <xf numFmtId="165" fontId="21" fillId="0" borderId="19" xfId="0" applyNumberFormat="1" applyFont="1" applyBorder="1"/>
    <xf numFmtId="165" fontId="21" fillId="0" borderId="25" xfId="0" applyNumberFormat="1" applyFont="1" applyBorder="1"/>
    <xf numFmtId="165" fontId="22" fillId="0" borderId="26" xfId="0" applyNumberFormat="1" applyFont="1" applyBorder="1" applyAlignment="1" applyProtection="1">
      <alignment horizontal="center"/>
      <protection locked="0"/>
    </xf>
    <xf numFmtId="165" fontId="0" fillId="0" borderId="27" xfId="0" applyNumberFormat="1" applyBorder="1"/>
    <xf numFmtId="165" fontId="23" fillId="0" borderId="26" xfId="0" applyNumberFormat="1" applyFont="1" applyBorder="1" applyAlignment="1" applyProtection="1">
      <alignment horizontal="left"/>
      <protection locked="0"/>
    </xf>
    <xf numFmtId="165" fontId="0" fillId="0" borderId="28" xfId="0" applyNumberFormat="1" applyBorder="1"/>
    <xf numFmtId="165" fontId="23" fillId="0" borderId="0" xfId="0" applyNumberFormat="1" applyFont="1" applyAlignment="1">
      <alignment horizontal="center"/>
    </xf>
    <xf numFmtId="165" fontId="23" fillId="0" borderId="26" xfId="0" applyNumberFormat="1" applyFont="1" applyBorder="1" applyProtection="1">
      <protection locked="0"/>
    </xf>
    <xf numFmtId="165" fontId="23" fillId="0" borderId="0" xfId="0" applyNumberFormat="1" applyFont="1" applyAlignment="1">
      <alignment horizontal="left"/>
    </xf>
    <xf numFmtId="165" fontId="23" fillId="0" borderId="0" xfId="0" applyNumberFormat="1" applyFont="1"/>
    <xf numFmtId="165" fontId="22" fillId="0" borderId="0" xfId="0" applyNumberFormat="1" applyFont="1"/>
    <xf numFmtId="165" fontId="23" fillId="0" borderId="18" xfId="0" applyNumberFormat="1" applyFont="1" applyBorder="1"/>
    <xf numFmtId="165" fontId="23" fillId="0" borderId="19" xfId="0" applyNumberFormat="1" applyFont="1" applyBorder="1"/>
    <xf numFmtId="165" fontId="23" fillId="0" borderId="26" xfId="0" applyNumberFormat="1" applyFont="1" applyBorder="1" applyAlignment="1">
      <alignment horizontal="center"/>
    </xf>
    <xf numFmtId="165" fontId="25" fillId="0" borderId="28" xfId="0" applyNumberFormat="1" applyFont="1" applyBorder="1"/>
    <xf numFmtId="165" fontId="0" fillId="0" borderId="20" xfId="0" applyNumberFormat="1" applyBorder="1"/>
    <xf numFmtId="165" fontId="0" fillId="0" borderId="29" xfId="0" applyNumberFormat="1" applyBorder="1" applyAlignment="1">
      <alignment horizontal="center"/>
    </xf>
    <xf numFmtId="165" fontId="0" fillId="0" borderId="29" xfId="0" applyNumberFormat="1" applyBorder="1" applyAlignment="1" applyProtection="1">
      <alignment horizontal="center"/>
      <protection locked="0"/>
    </xf>
    <xf numFmtId="165" fontId="0" fillId="0" borderId="29" xfId="0" applyNumberFormat="1" applyBorder="1" applyAlignment="1">
      <alignment horizontal="right"/>
    </xf>
    <xf numFmtId="165" fontId="0" fillId="0" borderId="30" xfId="0" applyNumberFormat="1" applyBorder="1" applyAlignment="1">
      <alignment horizontal="center"/>
    </xf>
    <xf numFmtId="165" fontId="0" fillId="0" borderId="30" xfId="0" applyNumberFormat="1" applyBorder="1" applyAlignment="1" applyProtection="1">
      <alignment horizontal="center"/>
      <protection locked="0"/>
    </xf>
    <xf numFmtId="165" fontId="0" fillId="0" borderId="30" xfId="0" applyNumberFormat="1" applyBorder="1" applyAlignment="1">
      <alignment horizontal="right"/>
    </xf>
    <xf numFmtId="165" fontId="29" fillId="0" borderId="0" xfId="0" applyNumberFormat="1" applyFont="1"/>
    <xf numFmtId="165" fontId="27" fillId="0" borderId="0" xfId="0" applyNumberFormat="1" applyFont="1"/>
    <xf numFmtId="165" fontId="30" fillId="0" borderId="0" xfId="0" applyNumberFormat="1" applyFont="1"/>
    <xf numFmtId="165" fontId="27" fillId="0" borderId="0" xfId="0" applyNumberFormat="1" applyFont="1" applyAlignment="1">
      <alignment horizontal="center"/>
    </xf>
    <xf numFmtId="165" fontId="31" fillId="0" borderId="30" xfId="0" applyNumberFormat="1" applyFont="1" applyBorder="1" applyAlignment="1">
      <alignment horizontal="center"/>
    </xf>
    <xf numFmtId="165" fontId="31" fillId="0" borderId="30" xfId="0" applyNumberFormat="1" applyFont="1" applyBorder="1" applyAlignment="1" applyProtection="1">
      <alignment horizontal="center"/>
      <protection locked="0"/>
    </xf>
    <xf numFmtId="165" fontId="32" fillId="0" borderId="30" xfId="0" applyNumberFormat="1" applyFont="1" applyBorder="1" applyAlignment="1">
      <alignment horizontal="right"/>
    </xf>
    <xf numFmtId="165" fontId="0" fillId="0" borderId="26" xfId="0" applyNumberFormat="1" applyBorder="1" applyAlignment="1" applyProtection="1">
      <alignment horizontal="center"/>
      <protection locked="0"/>
    </xf>
    <xf numFmtId="165" fontId="0" fillId="0" borderId="27" xfId="0" applyNumberFormat="1" applyBorder="1" applyAlignment="1">
      <alignment horizontal="right"/>
    </xf>
    <xf numFmtId="165" fontId="0" fillId="0" borderId="0" xfId="0" applyNumberFormat="1" applyAlignment="1">
      <alignment horizontal="left"/>
    </xf>
    <xf numFmtId="165" fontId="0" fillId="0" borderId="30" xfId="0" applyNumberFormat="1" applyBorder="1" applyAlignment="1" applyProtection="1">
      <alignment horizontal="right"/>
      <protection locked="0"/>
    </xf>
    <xf numFmtId="165" fontId="23" fillId="0" borderId="28" xfId="0" applyNumberFormat="1" applyFont="1" applyBorder="1"/>
    <xf numFmtId="165" fontId="34" fillId="0" borderId="28" xfId="0" applyNumberFormat="1" applyFont="1" applyBorder="1"/>
    <xf numFmtId="165" fontId="0" fillId="0" borderId="31" xfId="0" applyNumberFormat="1" applyBorder="1" applyAlignment="1">
      <alignment horizontal="center"/>
    </xf>
    <xf numFmtId="165" fontId="0" fillId="0" borderId="31" xfId="0" applyNumberFormat="1" applyBorder="1" applyAlignment="1" applyProtection="1">
      <alignment horizontal="center"/>
      <protection locked="0"/>
    </xf>
    <xf numFmtId="165" fontId="0" fillId="0" borderId="31" xfId="0" applyNumberFormat="1" applyBorder="1" applyAlignment="1">
      <alignment horizontal="right"/>
    </xf>
    <xf numFmtId="165" fontId="23" fillId="0" borderId="32" xfId="0" applyNumberFormat="1" applyFont="1" applyBorder="1"/>
    <xf numFmtId="165" fontId="0" fillId="0" borderId="33" xfId="0" applyNumberFormat="1" applyBorder="1"/>
    <xf numFmtId="165" fontId="23" fillId="0" borderId="34" xfId="0" applyNumberFormat="1" applyFont="1" applyBorder="1" applyAlignment="1">
      <alignment horizontal="right"/>
    </xf>
    <xf numFmtId="165" fontId="0" fillId="0" borderId="35" xfId="0" applyNumberFormat="1" applyBorder="1" applyProtection="1">
      <protection locked="0"/>
    </xf>
    <xf numFmtId="165" fontId="0" fillId="0" borderId="36" xfId="0" applyNumberFormat="1" applyBorder="1"/>
    <xf numFmtId="165" fontId="0" fillId="0" borderId="26" xfId="0" applyNumberFormat="1" applyBorder="1" applyProtection="1">
      <protection locked="0"/>
    </xf>
    <xf numFmtId="165" fontId="36" fillId="0" borderId="27" xfId="0" applyNumberFormat="1" applyFont="1" applyBorder="1" applyProtection="1">
      <protection locked="0"/>
    </xf>
    <xf numFmtId="165" fontId="38" fillId="0" borderId="10" xfId="0" applyNumberFormat="1" applyFont="1" applyBorder="1" applyAlignment="1">
      <alignment horizontal="center"/>
    </xf>
    <xf numFmtId="165" fontId="31" fillId="0" borderId="10" xfId="0" applyNumberFormat="1" applyFont="1" applyBorder="1"/>
    <xf numFmtId="165" fontId="22" fillId="0" borderId="10" xfId="0" applyNumberFormat="1" applyFont="1" applyBorder="1" applyAlignment="1">
      <alignment horizontal="center"/>
    </xf>
    <xf numFmtId="165" fontId="40" fillId="0" borderId="0" xfId="42" applyNumberFormat="1" applyFont="1" applyProtection="1"/>
    <xf numFmtId="165" fontId="22" fillId="0" borderId="0" xfId="0" applyNumberFormat="1" applyFont="1" applyAlignment="1">
      <alignment horizontal="left"/>
    </xf>
    <xf numFmtId="165" fontId="23" fillId="0" borderId="0" xfId="0" applyNumberFormat="1" applyFont="1" applyAlignment="1">
      <alignment horizontal="right"/>
    </xf>
    <xf numFmtId="165" fontId="41" fillId="0" borderId="0" xfId="0" applyNumberFormat="1" applyFont="1"/>
    <xf numFmtId="165" fontId="41" fillId="0" borderId="0" xfId="0" applyNumberFormat="1" applyFont="1" applyAlignment="1">
      <alignment horizontal="center"/>
    </xf>
    <xf numFmtId="14" fontId="22" fillId="0" borderId="16" xfId="0" quotePrefix="1" applyNumberFormat="1" applyFont="1" applyBorder="1" applyAlignment="1">
      <alignment horizontal="left"/>
    </xf>
    <xf numFmtId="165" fontId="43" fillId="0" borderId="33" xfId="0" applyNumberFormat="1" applyFont="1" applyBorder="1" applyAlignment="1">
      <alignment horizontal="center" vertical="center" wrapText="1"/>
    </xf>
    <xf numFmtId="165" fontId="44" fillId="0" borderId="33" xfId="0" applyNumberFormat="1" applyFont="1" applyBorder="1" applyAlignment="1">
      <alignment horizontal="center" vertical="center" wrapText="1"/>
    </xf>
    <xf numFmtId="165" fontId="46" fillId="0" borderId="29" xfId="0" applyNumberFormat="1" applyFont="1" applyBorder="1" applyAlignment="1">
      <alignment horizontal="left" vertical="center"/>
    </xf>
    <xf numFmtId="165" fontId="43" fillId="0" borderId="0" xfId="0" applyNumberFormat="1" applyFont="1" applyAlignment="1">
      <alignment horizontal="center" vertical="center" wrapText="1"/>
    </xf>
    <xf numFmtId="165" fontId="44" fillId="0" borderId="0" xfId="0" applyNumberFormat="1" applyFont="1" applyAlignment="1">
      <alignment horizontal="center" vertical="center" wrapText="1"/>
    </xf>
    <xf numFmtId="165" fontId="45" fillId="0" borderId="18" xfId="0" applyNumberFormat="1" applyFont="1" applyBorder="1" applyAlignment="1">
      <alignment horizontal="left" vertical="center"/>
    </xf>
    <xf numFmtId="165" fontId="46" fillId="0" borderId="18" xfId="0" applyNumberFormat="1" applyFont="1" applyBorder="1" applyAlignment="1">
      <alignment horizontal="left" vertical="center"/>
    </xf>
    <xf numFmtId="165" fontId="47" fillId="0" borderId="0" xfId="0" applyNumberFormat="1" applyFont="1"/>
    <xf numFmtId="165" fontId="17" fillId="0" borderId="0" xfId="0" applyNumberFormat="1" applyFont="1"/>
    <xf numFmtId="165" fontId="48" fillId="0" borderId="0" xfId="0" applyNumberFormat="1" applyFont="1"/>
    <xf numFmtId="165" fontId="49" fillId="0" borderId="18" xfId="0" applyNumberFormat="1" applyFont="1" applyBorder="1"/>
    <xf numFmtId="165" fontId="50" fillId="0" borderId="18" xfId="0" applyNumberFormat="1" applyFont="1" applyBorder="1"/>
    <xf numFmtId="165" fontId="51" fillId="0" borderId="18" xfId="0" applyNumberFormat="1" applyFont="1" applyBorder="1"/>
    <xf numFmtId="165" fontId="51" fillId="0" borderId="29" xfId="0" applyNumberFormat="1" applyFont="1" applyBorder="1"/>
    <xf numFmtId="165" fontId="0" fillId="0" borderId="18" xfId="0" applyNumberFormat="1" applyBorder="1"/>
    <xf numFmtId="165" fontId="48" fillId="0" borderId="27" xfId="0" applyNumberFormat="1" applyFont="1" applyBorder="1"/>
    <xf numFmtId="165" fontId="0" fillId="0" borderId="44" xfId="0" applyNumberFormat="1" applyBorder="1"/>
    <xf numFmtId="165" fontId="0" fillId="0" borderId="45" xfId="0" applyNumberFormat="1" applyBorder="1"/>
    <xf numFmtId="165" fontId="0" fillId="0" borderId="46" xfId="0" applyNumberFormat="1" applyBorder="1"/>
    <xf numFmtId="165" fontId="0" fillId="0" borderId="47" xfId="0" applyNumberFormat="1" applyBorder="1"/>
    <xf numFmtId="165" fontId="0" fillId="0" borderId="48" xfId="0" applyNumberFormat="1" applyBorder="1"/>
    <xf numFmtId="165" fontId="0" fillId="0" borderId="49" xfId="0" applyNumberFormat="1" applyBorder="1"/>
    <xf numFmtId="165" fontId="24" fillId="0" borderId="23" xfId="0" applyNumberFormat="1" applyFont="1" applyBorder="1"/>
    <xf numFmtId="0" fontId="0" fillId="0" borderId="24" xfId="0" applyBorder="1"/>
    <xf numFmtId="0" fontId="0" fillId="0" borderId="25" xfId="0" applyBorder="1"/>
    <xf numFmtId="165" fontId="23" fillId="0" borderId="23" xfId="0" applyNumberFormat="1" applyFont="1" applyBorder="1"/>
    <xf numFmtId="165" fontId="26" fillId="0" borderId="28" xfId="0" applyNumberFormat="1" applyFont="1" applyBorder="1" applyProtection="1">
      <protection locked="0"/>
    </xf>
    <xf numFmtId="0" fontId="0" fillId="0" borderId="0" xfId="0"/>
    <xf numFmtId="0" fontId="0" fillId="0" borderId="27" xfId="0" applyBorder="1"/>
    <xf numFmtId="165" fontId="26" fillId="0" borderId="10" xfId="0" applyNumberFormat="1" applyFont="1" applyBorder="1" applyProtection="1">
      <protection locked="0"/>
    </xf>
    <xf numFmtId="0" fontId="0" fillId="0" borderId="10" xfId="0" applyBorder="1"/>
    <xf numFmtId="0" fontId="0" fillId="0" borderId="22" xfId="0" applyBorder="1"/>
    <xf numFmtId="165" fontId="23" fillId="0" borderId="28" xfId="0" applyNumberFormat="1" applyFont="1" applyBorder="1"/>
    <xf numFmtId="165" fontId="23" fillId="0" borderId="26" xfId="0" applyNumberFormat="1" applyFont="1" applyBorder="1" applyAlignment="1" applyProtection="1">
      <alignment horizontal="left"/>
      <protection locked="0"/>
    </xf>
    <xf numFmtId="165" fontId="0" fillId="0" borderId="26" xfId="0" applyNumberFormat="1" applyBorder="1" applyAlignment="1" applyProtection="1">
      <alignment horizontal="left"/>
      <protection locked="0"/>
    </xf>
    <xf numFmtId="165" fontId="23" fillId="0" borderId="28" xfId="0" applyNumberFormat="1" applyFont="1" applyBorder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27" xfId="0" applyNumberFormat="1" applyBorder="1" applyAlignment="1">
      <alignment horizontal="left"/>
    </xf>
    <xf numFmtId="165" fontId="23" fillId="0" borderId="21" xfId="0" applyNumberFormat="1" applyFont="1" applyBorder="1"/>
    <xf numFmtId="165" fontId="23" fillId="0" borderId="18" xfId="0" applyNumberFormat="1" applyFont="1" applyBorder="1" applyAlignment="1" applyProtection="1">
      <alignment vertical="top" wrapText="1"/>
      <protection locked="0"/>
    </xf>
    <xf numFmtId="165" fontId="0" fillId="0" borderId="19" xfId="0" applyNumberFormat="1" applyBorder="1" applyAlignment="1" applyProtection="1">
      <alignment vertical="top" wrapText="1"/>
      <protection locked="0"/>
    </xf>
    <xf numFmtId="165" fontId="0" fillId="0" borderId="20" xfId="0" applyNumberFormat="1" applyBorder="1" applyAlignment="1" applyProtection="1">
      <alignment vertical="top" wrapText="1"/>
      <protection locked="0"/>
    </xf>
    <xf numFmtId="165" fontId="0" fillId="0" borderId="21" xfId="0" applyNumberFormat="1" applyBorder="1" applyAlignment="1" applyProtection="1">
      <alignment vertical="top" wrapText="1"/>
      <protection locked="0"/>
    </xf>
    <xf numFmtId="165" fontId="0" fillId="0" borderId="10" xfId="0" applyNumberFormat="1" applyBorder="1" applyAlignment="1" applyProtection="1">
      <alignment vertical="top" wrapText="1"/>
      <protection locked="0"/>
    </xf>
    <xf numFmtId="165" fontId="0" fillId="0" borderId="22" xfId="0" applyNumberFormat="1" applyBorder="1" applyAlignment="1" applyProtection="1">
      <alignment vertical="top" wrapText="1"/>
      <protection locked="0"/>
    </xf>
    <xf numFmtId="165" fontId="2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5" fontId="23" fillId="0" borderId="0" xfId="0" applyNumberFormat="1" applyFont="1"/>
    <xf numFmtId="165" fontId="0" fillId="0" borderId="21" xfId="0" applyNumberFormat="1" applyBorder="1"/>
    <xf numFmtId="165" fontId="0" fillId="0" borderId="24" xfId="0" applyNumberFormat="1" applyBorder="1"/>
    <xf numFmtId="165" fontId="37" fillId="0" borderId="0" xfId="0" applyNumberFormat="1" applyFont="1" applyAlignment="1">
      <alignment horizontal="center"/>
    </xf>
    <xf numFmtId="165" fontId="22" fillId="0" borderId="0" xfId="0" applyNumberFormat="1" applyFont="1"/>
    <xf numFmtId="165" fontId="23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165" fontId="0" fillId="0" borderId="23" xfId="0" applyNumberFormat="1" applyBorder="1" applyProtection="1">
      <protection locked="0"/>
    </xf>
    <xf numFmtId="165" fontId="0" fillId="0" borderId="25" xfId="0" applyNumberFormat="1" applyBorder="1"/>
    <xf numFmtId="165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39" xfId="0" applyNumberFormat="1" applyBorder="1" applyProtection="1">
      <protection locked="0"/>
    </xf>
    <xf numFmtId="165" fontId="0" fillId="0" borderId="37" xfId="0" applyNumberFormat="1" applyBorder="1"/>
    <xf numFmtId="165" fontId="0" fillId="0" borderId="37" xfId="0" applyNumberFormat="1" applyBorder="1" applyAlignment="1">
      <alignment horizontal="left"/>
    </xf>
    <xf numFmtId="165" fontId="0" fillId="0" borderId="0" xfId="0" applyNumberFormat="1"/>
    <xf numFmtId="165" fontId="0" fillId="0" borderId="27" xfId="0" applyNumberFormat="1" applyBorder="1"/>
    <xf numFmtId="165" fontId="0" fillId="0" borderId="40" xfId="0" applyNumberFormat="1" applyBorder="1" applyProtection="1">
      <protection locked="0"/>
    </xf>
    <xf numFmtId="165" fontId="0" fillId="0" borderId="41" xfId="0" applyNumberFormat="1" applyBorder="1"/>
    <xf numFmtId="165" fontId="0" fillId="0" borderId="42" xfId="0" applyNumberFormat="1" applyBorder="1"/>
    <xf numFmtId="165" fontId="0" fillId="0" borderId="35" xfId="0" applyNumberFormat="1" applyBorder="1" applyProtection="1">
      <protection locked="0"/>
    </xf>
    <xf numFmtId="165" fontId="0" fillId="0" borderId="36" xfId="0" applyNumberFormat="1" applyBorder="1"/>
    <xf numFmtId="165" fontId="0" fillId="0" borderId="43" xfId="0" applyNumberFormat="1" applyBorder="1"/>
    <xf numFmtId="165" fontId="0" fillId="0" borderId="28" xfId="0" applyNumberFormat="1" applyBorder="1"/>
    <xf numFmtId="165" fontId="35" fillId="0" borderId="10" xfId="0" applyNumberFormat="1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38" xfId="0" applyNumberFormat="1" applyBorder="1"/>
    <xf numFmtId="165" fontId="0" fillId="0" borderId="26" xfId="0" applyNumberFormat="1" applyBorder="1" applyProtection="1">
      <protection locked="0"/>
    </xf>
    <xf numFmtId="165" fontId="25" fillId="0" borderId="19" xfId="0" applyNumberFormat="1" applyFont="1" applyBorder="1"/>
    <xf numFmtId="165" fontId="0" fillId="0" borderId="19" xfId="0" applyNumberFormat="1" applyBorder="1"/>
    <xf numFmtId="165" fontId="0" fillId="0" borderId="20" xfId="0" applyNumberFormat="1" applyBorder="1"/>
    <xf numFmtId="165" fontId="26" fillId="0" borderId="0" xfId="0" applyNumberFormat="1" applyFont="1"/>
    <xf numFmtId="165" fontId="28" fillId="0" borderId="0" xfId="0" applyNumberFormat="1" applyFont="1"/>
    <xf numFmtId="165" fontId="19" fillId="0" borderId="18" xfId="0" applyNumberFormat="1" applyFont="1" applyBorder="1" applyAlignment="1">
      <alignment horizontal="center"/>
    </xf>
    <xf numFmtId="165" fontId="19" fillId="0" borderId="19" xfId="0" applyNumberFormat="1" applyFont="1" applyBorder="1" applyAlignment="1">
      <alignment horizontal="center"/>
    </xf>
    <xf numFmtId="165" fontId="19" fillId="0" borderId="20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left"/>
    </xf>
    <xf numFmtId="165" fontId="20" fillId="0" borderId="18" xfId="0" applyNumberFormat="1" applyFont="1" applyBorder="1" applyProtection="1">
      <protection locked="0"/>
    </xf>
    <xf numFmtId="165" fontId="0" fillId="0" borderId="19" xfId="0" applyNumberFormat="1" applyBorder="1" applyProtection="1">
      <protection locked="0"/>
    </xf>
    <xf numFmtId="165" fontId="23" fillId="0" borderId="18" xfId="0" applyNumberFormat="1" applyFont="1" applyBorder="1" applyProtection="1">
      <protection locked="0"/>
    </xf>
    <xf numFmtId="165" fontId="23" fillId="0" borderId="19" xfId="0" applyNumberFormat="1" applyFont="1" applyBorder="1" applyProtection="1">
      <protection locked="0"/>
    </xf>
    <xf numFmtId="165" fontId="23" fillId="0" borderId="26" xfId="0" applyNumberFormat="1" applyFont="1" applyBorder="1" applyProtection="1">
      <protection locked="0"/>
    </xf>
    <xf numFmtId="165" fontId="23" fillId="0" borderId="0" xfId="0" applyNumberFormat="1" applyFont="1" applyAlignment="1">
      <alignment horizontal="left" shrinkToFit="1"/>
    </xf>
    <xf numFmtId="164" fontId="0" fillId="34" borderId="0" xfId="0" applyNumberFormat="1" applyFill="1"/>
    <xf numFmtId="165" fontId="39" fillId="0" borderId="0" xfId="0" quotePrefix="1" applyNumberFormat="1" applyFont="1" applyAlignment="1">
      <alignment horizontal="center"/>
    </xf>
    <xf numFmtId="165" fontId="39" fillId="0" borderId="0" xfId="0" applyNumberFormat="1" applyFont="1" applyAlignment="1">
      <alignment horizontal="left"/>
    </xf>
    <xf numFmtId="165" fontId="39" fillId="0" borderId="0" xfId="0" applyNumberFormat="1" applyFont="1" applyAlignment="1">
      <alignment horizontal="center"/>
    </xf>
    <xf numFmtId="165" fontId="42" fillId="0" borderId="16" xfId="0" applyNumberFormat="1" applyFont="1" applyBorder="1" applyAlignment="1">
      <alignment horizontal="left"/>
    </xf>
    <xf numFmtId="0" fontId="0" fillId="0" borderId="16" xfId="0" applyBorder="1"/>
    <xf numFmtId="165" fontId="42" fillId="0" borderId="0" xfId="0" applyNumberFormat="1" applyFont="1" applyAlignment="1">
      <alignment horizontal="left"/>
    </xf>
    <xf numFmtId="165" fontId="45" fillId="0" borderId="29" xfId="0" applyNumberFormat="1" applyFont="1" applyBorder="1" applyAlignment="1">
      <alignment horizontal="left" vertical="center"/>
    </xf>
    <xf numFmtId="0" fontId="52" fillId="0" borderId="0" xfId="42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</dxfs>
  <tableStyles count="1" defaultTableStyle="TableStyleMedium2" defaultPivotStyle="PivotStyleLight16">
    <tableStyle name="Table Style 1" pivot="0" count="0" xr9:uid="{58A91627-45B0-48D2-AE55-D8795B9079E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F467590F-7E07-4202-8EBE-C182D382DB6A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3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D025EA65-5203-4F61-A6A4-D111CB65FB2B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4E07A-E146-4CFA-9A88-C2CD3DAF8451}" name="Table1" displayName="Table1" ref="A9:O10" totalsRowShown="0" headerRowDxfId="16" dataDxfId="15">
  <autoFilter ref="A9:O10" xr:uid="{E444E07A-E146-4CFA-9A88-C2CD3DAF8451}"/>
  <tableColumns count="15">
    <tableColumn id="1" xr3:uid="{B23C4D0C-4E7E-4783-B117-CB172D0FC704}" name="PURCHASE ORDER NUMBER:" dataDxfId="14">
      <calculatedColumnFormula>Data!#REF!</calculatedColumnFormula>
    </tableColumn>
    <tableColumn id="2" xr3:uid="{8124D179-A79B-4BBA-85AA-AE868B3BD964}" name="To:" dataDxfId="13">
      <calculatedColumnFormula>Data!#REF!</calculatedColumnFormula>
    </tableColumn>
    <tableColumn id="3" xr3:uid="{8EBF04C7-F5A5-41F6-B822-05A114B738D6}" name="Delivery Required By:" dataDxfId="12">
      <calculatedColumnFormula>Data!#REF!</calculatedColumnFormula>
    </tableColumn>
    <tableColumn id="4" xr3:uid="{94207C95-B5B9-4D03-98C8-D235FD79E913}" name="GRAND TOTAL:" dataDxfId="11">
      <calculatedColumnFormula>Data!#REF!</calculatedColumnFormula>
    </tableColumn>
    <tableColumn id="5" xr3:uid="{BA4D55A0-3AD4-41AB-A885-E603AF47C013}" name="Date of Order:" dataDxfId="10">
      <calculatedColumnFormula>Data!#REF!</calculatedColumnFormula>
    </tableColumn>
    <tableColumn id="6" xr3:uid="{A0A02713-3D1B-42F5-B9B1-C2F7CAD1CD8A}" name="Cost Code:" dataDxfId="9">
      <calculatedColumnFormula>Data!#REF!</calculatedColumnFormula>
    </tableColumn>
    <tableColumn id="7" xr3:uid="{A0C26CD1-312A-48C1-91A6-98B392F4EE1A}" name="Attachments:" dataDxfId="8">
      <calculatedColumnFormula>Data!#REF!</calculatedColumnFormula>
    </tableColumn>
    <tableColumn id="8" xr3:uid="{FA4B2F40-DE43-4B63-8588-76A2ADEA0163}" name="Log 8" dataDxfId="7">
      <calculatedColumnFormula>Data!#REF!</calculatedColumnFormula>
    </tableColumn>
    <tableColumn id="9" xr3:uid="{ABCBA97B-7698-4BC6-B22D-C20F961586D9}" name="Log 9" dataDxfId="6">
      <calculatedColumnFormula>Data!#REF!</calculatedColumnFormula>
    </tableColumn>
    <tableColumn id="10" xr3:uid="{81D57D74-2E42-4EE5-81DF-CA9FB3B847A3}" name="Log 10" dataDxfId="5">
      <calculatedColumnFormula>Data!#REF!</calculatedColumnFormula>
    </tableColumn>
    <tableColumn id="11" xr3:uid="{7545434D-3178-4419-997B-B23FC4D4FC26}" name="Log 11" dataDxfId="4">
      <calculatedColumnFormula>Data!#REF!</calculatedColumnFormula>
    </tableColumn>
    <tableColumn id="12" xr3:uid="{DD6DC635-D4DB-40CC-BA98-BF5DC2398753}" name="Log 12" dataDxfId="3">
      <calculatedColumnFormula>Data!#REF!</calculatedColumnFormula>
    </tableColumn>
    <tableColumn id="13" xr3:uid="{5F4E349E-BA21-453D-B5DD-0ABFC7F4A743}" name="Date Signed:" dataDxfId="2">
      <calculatedColumnFormula>Data!#REF!</calculatedColumnFormula>
    </tableColumn>
    <tableColumn id="14" xr3:uid="{BE6612B1-CE1D-4959-B408-4E4D76914DD0}" name="Acknowledged By:" dataDxfId="1">
      <calculatedColumnFormula>Data!#REF!</calculatedColumnFormula>
    </tableColumn>
    <tableColumn id="15" xr3:uid="{195AD8A8-AA31-4707-93B4-888E58BEA118}" name="Update 3" dataDxfId="0">
      <calculatedColumnFormula>Data!#REF!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525" row="1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e3ff6d-24d5-4929-a3a3-b89a3cee20f0}">
  <we:reference id="77e3ff6d-24d5-4929-a3a3-b89a3cee20f0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7EE4-9131-4CD4-B5DD-4364FEF3FFA5}">
  <dimension ref="A1:R2001"/>
  <sheetViews>
    <sheetView workbookViewId="0">
      <selection activeCell="F34" sqref="F34"/>
    </sheetView>
  </sheetViews>
  <sheetFormatPr defaultRowHeight="14.5" x14ac:dyDescent="0.35"/>
  <cols>
    <col min="1" max="1" width="5.6328125" customWidth="1"/>
    <col min="2" max="2" width="11.453125" customWidth="1"/>
    <col min="3" max="3" width="11" customWidth="1"/>
    <col min="4" max="4" width="14.81640625" customWidth="1"/>
    <col min="5" max="5" width="13.81640625" customWidth="1"/>
    <col min="6" max="6" width="29" customWidth="1"/>
    <col min="7" max="7" width="16.26953125" customWidth="1"/>
    <col min="8" max="8" width="23.1796875" customWidth="1"/>
    <col min="9" max="9" width="14" customWidth="1"/>
    <col min="10" max="10" width="17.453125" bestFit="1" customWidth="1"/>
    <col min="11" max="11" width="14.54296875" bestFit="1" customWidth="1"/>
    <col min="12" max="12" width="25.81640625" bestFit="1" customWidth="1"/>
    <col min="13" max="13" width="21" customWidth="1"/>
    <col min="14" max="14" width="21.26953125" customWidth="1"/>
    <col min="15" max="15" width="26.81640625" customWidth="1"/>
    <col min="16" max="16" width="12.7265625" customWidth="1"/>
    <col min="17" max="17" width="13.54296875" customWidth="1"/>
    <col min="18" max="18" width="21.453125" customWidth="1"/>
  </cols>
  <sheetData>
    <row r="1" spans="1:18" ht="45.5" thickBot="1" x14ac:dyDescent="0.4">
      <c r="A1" s="81"/>
      <c r="B1" s="82"/>
      <c r="C1" s="82"/>
      <c r="D1" s="178" t="str">
        <f>F5</f>
        <v xml:space="preserve"> Project Name</v>
      </c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83"/>
      <c r="P1" s="83"/>
      <c r="Q1" s="83"/>
      <c r="R1" s="83"/>
    </row>
    <row r="2" spans="1:18" ht="45.5" thickTop="1" x14ac:dyDescent="0.35">
      <c r="A2" s="84"/>
      <c r="B2" s="85"/>
      <c r="C2" s="85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87"/>
      <c r="Q2" s="87"/>
      <c r="R2" s="83"/>
    </row>
    <row r="3" spans="1:18" x14ac:dyDescent="0.35">
      <c r="A3" s="88" t="str">
        <f>F3</f>
        <v>Company</v>
      </c>
      <c r="B3" s="89"/>
      <c r="C3" s="90" t="str">
        <f>F3</f>
        <v>Company</v>
      </c>
      <c r="D3" s="91" t="s">
        <v>57</v>
      </c>
      <c r="E3" s="92" t="s">
        <v>58</v>
      </c>
      <c r="F3" s="91" t="s">
        <v>59</v>
      </c>
      <c r="G3" s="92" t="s">
        <v>60</v>
      </c>
      <c r="H3" s="93" t="s">
        <v>61</v>
      </c>
      <c r="I3" s="92" t="s">
        <v>62</v>
      </c>
      <c r="J3" s="93" t="s">
        <v>63</v>
      </c>
      <c r="K3" s="93" t="s">
        <v>64</v>
      </c>
      <c r="L3" s="92" t="s">
        <v>65</v>
      </c>
      <c r="M3" s="93" t="s">
        <v>66</v>
      </c>
      <c r="N3" s="93" t="s">
        <v>67</v>
      </c>
      <c r="O3" s="93" t="s">
        <v>68</v>
      </c>
      <c r="P3" s="93" t="s">
        <v>69</v>
      </c>
      <c r="Q3" s="93" t="s">
        <v>70</v>
      </c>
      <c r="R3" s="94" t="s">
        <v>20</v>
      </c>
    </row>
    <row r="4" spans="1:18" x14ac:dyDescent="0.35">
      <c r="A4" s="88" t="str">
        <f t="shared" ref="A4:A67" si="0">F4</f>
        <v>Your Company Name</v>
      </c>
      <c r="B4" s="89"/>
      <c r="C4" s="90" t="str">
        <f t="shared" ref="C4:C67" si="1">F4</f>
        <v>Your Company Name</v>
      </c>
      <c r="D4" s="95" t="s">
        <v>71</v>
      </c>
      <c r="E4" s="20"/>
      <c r="F4" s="20" t="s">
        <v>19</v>
      </c>
      <c r="G4" s="20"/>
      <c r="H4" s="20"/>
      <c r="I4" s="20"/>
      <c r="J4" s="20" t="s">
        <v>72</v>
      </c>
      <c r="K4" s="20" t="s">
        <v>73</v>
      </c>
      <c r="L4" s="20" t="s">
        <v>74</v>
      </c>
      <c r="M4" s="20" t="s">
        <v>75</v>
      </c>
      <c r="N4" s="20" t="s">
        <v>76</v>
      </c>
      <c r="O4" s="20">
        <v>62523</v>
      </c>
      <c r="P4" s="20"/>
      <c r="Q4" s="20"/>
      <c r="R4" s="42" t="s">
        <v>77</v>
      </c>
    </row>
    <row r="5" spans="1:18" x14ac:dyDescent="0.35">
      <c r="A5" s="88" t="str">
        <f t="shared" si="0"/>
        <v xml:space="preserve"> Project Name</v>
      </c>
      <c r="B5" s="89"/>
      <c r="C5" s="96" t="str">
        <f t="shared" si="1"/>
        <v xml:space="preserve"> Project Name</v>
      </c>
      <c r="D5" s="97"/>
      <c r="E5" s="98"/>
      <c r="F5" s="98" t="s">
        <v>11</v>
      </c>
      <c r="G5" s="98"/>
      <c r="H5" s="98"/>
      <c r="I5" s="98"/>
      <c r="J5" s="98"/>
      <c r="K5" s="98"/>
      <c r="L5" s="98" t="s">
        <v>78</v>
      </c>
      <c r="M5" s="98" t="s">
        <v>75</v>
      </c>
      <c r="N5" s="98" t="s">
        <v>79</v>
      </c>
      <c r="O5" s="98">
        <v>62523</v>
      </c>
      <c r="P5" s="98"/>
      <c r="Q5" s="98"/>
      <c r="R5" s="99"/>
    </row>
    <row r="6" spans="1:18" x14ac:dyDescent="0.35">
      <c r="A6" s="88" t="str">
        <f t="shared" si="0"/>
        <v xml:space="preserve"> A/E / Developer</v>
      </c>
      <c r="B6" s="89"/>
      <c r="C6" s="90" t="str">
        <f t="shared" si="1"/>
        <v xml:space="preserve"> A/E / Developer</v>
      </c>
      <c r="D6" s="97" t="s">
        <v>80</v>
      </c>
      <c r="E6" s="98" t="s">
        <v>81</v>
      </c>
      <c r="F6" s="98" t="s">
        <v>82</v>
      </c>
      <c r="G6" s="98" t="s">
        <v>81</v>
      </c>
      <c r="H6" s="98" t="s">
        <v>81</v>
      </c>
      <c r="I6" s="98" t="s">
        <v>81</v>
      </c>
      <c r="J6" s="98" t="s">
        <v>83</v>
      </c>
      <c r="K6" s="98" t="s">
        <v>84</v>
      </c>
      <c r="L6" s="98" t="s">
        <v>85</v>
      </c>
      <c r="M6" s="98" t="s">
        <v>75</v>
      </c>
      <c r="N6" s="98" t="s">
        <v>76</v>
      </c>
      <c r="O6" s="98">
        <v>62523</v>
      </c>
      <c r="P6" s="98" t="s">
        <v>81</v>
      </c>
      <c r="Q6" s="98" t="s">
        <v>81</v>
      </c>
      <c r="R6" s="99" t="s">
        <v>86</v>
      </c>
    </row>
    <row r="7" spans="1:18" x14ac:dyDescent="0.35">
      <c r="A7" s="88" t="str">
        <f t="shared" si="0"/>
        <v xml:space="preserve"> Owner</v>
      </c>
      <c r="B7" s="89"/>
      <c r="C7" s="90" t="str">
        <f t="shared" si="1"/>
        <v xml:space="preserve"> Owner</v>
      </c>
      <c r="D7" s="97" t="s">
        <v>87</v>
      </c>
      <c r="E7" s="98" t="s">
        <v>81</v>
      </c>
      <c r="F7" s="98" t="s">
        <v>88</v>
      </c>
      <c r="G7" s="98" t="s">
        <v>81</v>
      </c>
      <c r="H7" s="98" t="s">
        <v>81</v>
      </c>
      <c r="I7" s="98" t="s">
        <v>81</v>
      </c>
      <c r="J7" s="98" t="s">
        <v>89</v>
      </c>
      <c r="K7" s="98" t="s">
        <v>90</v>
      </c>
      <c r="L7" s="98" t="s">
        <v>91</v>
      </c>
      <c r="M7" s="98" t="s">
        <v>75</v>
      </c>
      <c r="N7" s="98" t="s">
        <v>76</v>
      </c>
      <c r="O7" s="98">
        <v>62523</v>
      </c>
      <c r="P7" s="98" t="s">
        <v>81</v>
      </c>
      <c r="Q7" s="98" t="s">
        <v>81</v>
      </c>
      <c r="R7" s="99" t="s">
        <v>92</v>
      </c>
    </row>
    <row r="8" spans="1:18" x14ac:dyDescent="0.35">
      <c r="A8" s="88" t="str">
        <f t="shared" si="0"/>
        <v>Example Subcontractor</v>
      </c>
      <c r="B8" s="89"/>
      <c r="C8" s="90" t="str">
        <f t="shared" si="1"/>
        <v>Example Subcontractor</v>
      </c>
      <c r="D8" s="97" t="s">
        <v>93</v>
      </c>
      <c r="E8" s="98" t="s">
        <v>81</v>
      </c>
      <c r="F8" s="98" t="s">
        <v>94</v>
      </c>
      <c r="G8" s="98" t="s">
        <v>81</v>
      </c>
      <c r="H8" s="98" t="s">
        <v>81</v>
      </c>
      <c r="I8" s="98" t="s">
        <v>81</v>
      </c>
      <c r="J8" s="98" t="s">
        <v>95</v>
      </c>
      <c r="K8" s="98" t="s">
        <v>96</v>
      </c>
      <c r="L8" s="98" t="s">
        <v>97</v>
      </c>
      <c r="M8" s="98" t="s">
        <v>75</v>
      </c>
      <c r="N8" s="98" t="s">
        <v>76</v>
      </c>
      <c r="O8" s="98">
        <v>62523</v>
      </c>
      <c r="P8" s="98" t="s">
        <v>81</v>
      </c>
      <c r="Q8" s="98" t="s">
        <v>81</v>
      </c>
      <c r="R8" s="99" t="s">
        <v>98</v>
      </c>
    </row>
    <row r="9" spans="1:18" x14ac:dyDescent="0.35">
      <c r="A9" s="88" t="str">
        <f t="shared" si="0"/>
        <v>Example Supplier/Vendor</v>
      </c>
      <c r="B9" s="89"/>
      <c r="C9" s="90" t="str">
        <f t="shared" si="1"/>
        <v>Example Supplier/Vendor</v>
      </c>
      <c r="D9" s="97" t="s">
        <v>99</v>
      </c>
      <c r="E9" s="98" t="s">
        <v>81</v>
      </c>
      <c r="F9" s="98" t="s">
        <v>9</v>
      </c>
      <c r="G9" s="98" t="s">
        <v>81</v>
      </c>
      <c r="H9" s="98" t="s">
        <v>81</v>
      </c>
      <c r="I9" s="98" t="s">
        <v>81</v>
      </c>
      <c r="J9" s="98" t="s">
        <v>100</v>
      </c>
      <c r="K9" s="98" t="s">
        <v>101</v>
      </c>
      <c r="L9" s="98" t="s">
        <v>102</v>
      </c>
      <c r="M9" s="98" t="s">
        <v>75</v>
      </c>
      <c r="N9" s="98" t="s">
        <v>76</v>
      </c>
      <c r="O9" s="98">
        <v>62523</v>
      </c>
      <c r="P9" s="98" t="s">
        <v>81</v>
      </c>
      <c r="Q9" s="98" t="s">
        <v>81</v>
      </c>
      <c r="R9" s="99" t="s">
        <v>103</v>
      </c>
    </row>
    <row r="10" spans="1:18" x14ac:dyDescent="0.35">
      <c r="A10" s="88">
        <f t="shared" si="0"/>
        <v>0</v>
      </c>
      <c r="B10" s="89"/>
      <c r="C10" s="90">
        <f t="shared" si="1"/>
        <v>0</v>
      </c>
      <c r="D10" s="97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</row>
    <row r="11" spans="1:18" x14ac:dyDescent="0.35">
      <c r="A11" s="88">
        <f t="shared" si="0"/>
        <v>0</v>
      </c>
      <c r="B11" s="89"/>
      <c r="C11" s="90">
        <f t="shared" si="1"/>
        <v>0</v>
      </c>
      <c r="D11" s="97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9"/>
    </row>
    <row r="12" spans="1:18" x14ac:dyDescent="0.35">
      <c r="A12" s="88">
        <f t="shared" si="0"/>
        <v>0</v>
      </c>
      <c r="B12" s="89"/>
      <c r="C12" s="90">
        <f t="shared" si="1"/>
        <v>0</v>
      </c>
      <c r="D12" s="97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</row>
    <row r="13" spans="1:18" x14ac:dyDescent="0.35">
      <c r="A13" s="88">
        <f t="shared" si="0"/>
        <v>0</v>
      </c>
      <c r="B13" s="89"/>
      <c r="C13" s="90">
        <f t="shared" si="1"/>
        <v>0</v>
      </c>
      <c r="D13" s="97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</row>
    <row r="14" spans="1:18" x14ac:dyDescent="0.35">
      <c r="A14" s="88">
        <f t="shared" si="0"/>
        <v>0</v>
      </c>
      <c r="B14" s="89"/>
      <c r="C14" s="90">
        <f t="shared" si="1"/>
        <v>0</v>
      </c>
      <c r="D14" s="97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</row>
    <row r="15" spans="1:18" x14ac:dyDescent="0.35">
      <c r="A15" s="88">
        <f t="shared" si="0"/>
        <v>0</v>
      </c>
      <c r="B15" s="89"/>
      <c r="C15" s="90">
        <f t="shared" si="1"/>
        <v>0</v>
      </c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9"/>
    </row>
    <row r="16" spans="1:18" x14ac:dyDescent="0.35">
      <c r="A16" s="88">
        <f t="shared" si="0"/>
        <v>0</v>
      </c>
      <c r="B16" s="89"/>
      <c r="C16" s="90">
        <f t="shared" si="1"/>
        <v>0</v>
      </c>
      <c r="D16" s="97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</row>
    <row r="17" spans="1:18" x14ac:dyDescent="0.35">
      <c r="A17" s="88">
        <f t="shared" si="0"/>
        <v>0</v>
      </c>
      <c r="B17" s="89"/>
      <c r="C17" s="90">
        <f t="shared" si="1"/>
        <v>0</v>
      </c>
      <c r="D17" s="97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</row>
    <row r="18" spans="1:18" x14ac:dyDescent="0.35">
      <c r="A18" s="88">
        <f t="shared" si="0"/>
        <v>0</v>
      </c>
      <c r="B18" s="89"/>
      <c r="C18" s="90">
        <f t="shared" si="1"/>
        <v>0</v>
      </c>
      <c r="D18" s="97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</row>
    <row r="19" spans="1:18" x14ac:dyDescent="0.35">
      <c r="A19" s="88">
        <f t="shared" si="0"/>
        <v>0</v>
      </c>
      <c r="B19" s="89"/>
      <c r="C19" s="90">
        <f t="shared" si="1"/>
        <v>0</v>
      </c>
      <c r="D19" s="97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9"/>
    </row>
    <row r="20" spans="1:18" x14ac:dyDescent="0.35">
      <c r="A20" s="88">
        <f t="shared" si="0"/>
        <v>0</v>
      </c>
      <c r="B20" s="89"/>
      <c r="C20" s="90">
        <f t="shared" si="1"/>
        <v>0</v>
      </c>
      <c r="D20" s="97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</row>
    <row r="21" spans="1:18" x14ac:dyDescent="0.35">
      <c r="A21" s="88">
        <f t="shared" si="0"/>
        <v>0</v>
      </c>
      <c r="B21" s="89"/>
      <c r="C21" s="90">
        <f t="shared" si="1"/>
        <v>0</v>
      </c>
      <c r="D21" s="97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</row>
    <row r="22" spans="1:18" x14ac:dyDescent="0.35">
      <c r="A22" s="88">
        <f t="shared" si="0"/>
        <v>0</v>
      </c>
      <c r="B22" s="89"/>
      <c r="C22" s="90">
        <f t="shared" si="1"/>
        <v>0</v>
      </c>
      <c r="D22" s="97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9"/>
    </row>
    <row r="23" spans="1:18" x14ac:dyDescent="0.35">
      <c r="A23" s="88">
        <f t="shared" si="0"/>
        <v>0</v>
      </c>
      <c r="B23" s="89"/>
      <c r="C23" s="90">
        <f t="shared" si="1"/>
        <v>0</v>
      </c>
      <c r="D23" s="97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</row>
    <row r="24" spans="1:18" x14ac:dyDescent="0.35">
      <c r="A24" s="88">
        <f t="shared" si="0"/>
        <v>0</v>
      </c>
      <c r="B24" s="89"/>
      <c r="C24" s="90">
        <f t="shared" si="1"/>
        <v>0</v>
      </c>
      <c r="D24" s="97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</row>
    <row r="25" spans="1:18" x14ac:dyDescent="0.35">
      <c r="A25" s="88">
        <f t="shared" si="0"/>
        <v>0</v>
      </c>
      <c r="B25" s="89"/>
      <c r="C25" s="90">
        <f t="shared" si="1"/>
        <v>0</v>
      </c>
      <c r="D25" s="97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9"/>
    </row>
    <row r="26" spans="1:18" x14ac:dyDescent="0.35">
      <c r="A26" s="88">
        <f t="shared" si="0"/>
        <v>0</v>
      </c>
      <c r="B26" s="89"/>
      <c r="C26" s="90">
        <f t="shared" si="1"/>
        <v>0</v>
      </c>
      <c r="D26" s="9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</row>
    <row r="27" spans="1:18" x14ac:dyDescent="0.35">
      <c r="A27" s="88">
        <f t="shared" si="0"/>
        <v>0</v>
      </c>
      <c r="B27" s="89"/>
      <c r="C27" s="90">
        <f t="shared" si="1"/>
        <v>0</v>
      </c>
      <c r="D27" s="97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</row>
    <row r="28" spans="1:18" x14ac:dyDescent="0.35">
      <c r="A28" s="88">
        <f t="shared" si="0"/>
        <v>0</v>
      </c>
      <c r="B28" s="89"/>
      <c r="C28" s="90">
        <f t="shared" si="1"/>
        <v>0</v>
      </c>
      <c r="D28" s="97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</row>
    <row r="29" spans="1:18" x14ac:dyDescent="0.35">
      <c r="A29" s="88">
        <f t="shared" si="0"/>
        <v>0</v>
      </c>
      <c r="B29" s="89"/>
      <c r="C29" s="90">
        <f t="shared" si="1"/>
        <v>0</v>
      </c>
      <c r="D29" s="97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9"/>
    </row>
    <row r="30" spans="1:18" x14ac:dyDescent="0.35">
      <c r="A30" s="88">
        <f t="shared" si="0"/>
        <v>0</v>
      </c>
      <c r="B30" s="89"/>
      <c r="C30" s="90">
        <f t="shared" si="1"/>
        <v>0</v>
      </c>
      <c r="D30" s="97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</row>
    <row r="31" spans="1:18" x14ac:dyDescent="0.35">
      <c r="A31" s="88">
        <f t="shared" si="0"/>
        <v>0</v>
      </c>
      <c r="B31" s="89"/>
      <c r="C31" s="90">
        <f t="shared" si="1"/>
        <v>0</v>
      </c>
      <c r="D31" s="97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</row>
    <row r="32" spans="1:18" x14ac:dyDescent="0.35">
      <c r="A32" s="88">
        <f t="shared" si="0"/>
        <v>0</v>
      </c>
      <c r="B32" s="89"/>
      <c r="C32" s="90">
        <f t="shared" si="1"/>
        <v>0</v>
      </c>
      <c r="D32" s="97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9"/>
    </row>
    <row r="33" spans="1:18" x14ac:dyDescent="0.35">
      <c r="A33" s="88">
        <f t="shared" si="0"/>
        <v>0</v>
      </c>
      <c r="B33" s="89"/>
      <c r="C33" s="90">
        <f t="shared" si="1"/>
        <v>0</v>
      </c>
      <c r="D33" s="97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</row>
    <row r="34" spans="1:18" x14ac:dyDescent="0.35">
      <c r="A34" s="88">
        <f t="shared" si="0"/>
        <v>0</v>
      </c>
      <c r="B34" s="89"/>
      <c r="C34" s="90">
        <f t="shared" si="1"/>
        <v>0</v>
      </c>
      <c r="D34" s="97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</row>
    <row r="35" spans="1:18" x14ac:dyDescent="0.35">
      <c r="A35" s="88">
        <f t="shared" si="0"/>
        <v>0</v>
      </c>
      <c r="B35" s="89"/>
      <c r="C35" s="90">
        <f t="shared" si="1"/>
        <v>0</v>
      </c>
      <c r="D35" s="97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</row>
    <row r="36" spans="1:18" x14ac:dyDescent="0.35">
      <c r="A36" s="88">
        <f t="shared" si="0"/>
        <v>0</v>
      </c>
      <c r="B36" s="89"/>
      <c r="C36" s="90">
        <f t="shared" si="1"/>
        <v>0</v>
      </c>
      <c r="D36" s="97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9"/>
    </row>
    <row r="37" spans="1:18" x14ac:dyDescent="0.35">
      <c r="A37" s="88">
        <f t="shared" si="0"/>
        <v>0</v>
      </c>
      <c r="B37" s="89"/>
      <c r="C37" s="90">
        <f t="shared" si="1"/>
        <v>0</v>
      </c>
      <c r="D37" s="97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</row>
    <row r="38" spans="1:18" x14ac:dyDescent="0.35">
      <c r="A38" s="88">
        <f t="shared" si="0"/>
        <v>0</v>
      </c>
      <c r="B38" s="89"/>
      <c r="C38" s="90">
        <f t="shared" si="1"/>
        <v>0</v>
      </c>
      <c r="D38" s="97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</row>
    <row r="39" spans="1:18" x14ac:dyDescent="0.35">
      <c r="A39" s="88">
        <f t="shared" si="0"/>
        <v>0</v>
      </c>
      <c r="B39" s="89"/>
      <c r="C39" s="90">
        <f t="shared" si="1"/>
        <v>0</v>
      </c>
      <c r="D39" s="97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9"/>
    </row>
    <row r="40" spans="1:18" x14ac:dyDescent="0.35">
      <c r="A40" s="88">
        <f t="shared" si="0"/>
        <v>0</v>
      </c>
      <c r="B40" s="89"/>
      <c r="C40" s="90">
        <f t="shared" si="1"/>
        <v>0</v>
      </c>
      <c r="D40" s="97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</row>
    <row r="41" spans="1:18" x14ac:dyDescent="0.35">
      <c r="A41" s="88">
        <f t="shared" si="0"/>
        <v>0</v>
      </c>
      <c r="B41" s="89"/>
      <c r="C41" s="90">
        <f t="shared" si="1"/>
        <v>0</v>
      </c>
      <c r="D41" s="97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</row>
    <row r="42" spans="1:18" x14ac:dyDescent="0.35">
      <c r="A42" s="88">
        <f t="shared" si="0"/>
        <v>0</v>
      </c>
      <c r="B42" s="89"/>
      <c r="C42" s="90">
        <f t="shared" si="1"/>
        <v>0</v>
      </c>
      <c r="D42" s="97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9"/>
    </row>
    <row r="43" spans="1:18" x14ac:dyDescent="0.35">
      <c r="A43" s="88">
        <f t="shared" si="0"/>
        <v>0</v>
      </c>
      <c r="B43" s="89"/>
      <c r="C43" s="90">
        <f t="shared" si="1"/>
        <v>0</v>
      </c>
      <c r="D43" s="97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</row>
    <row r="44" spans="1:18" x14ac:dyDescent="0.35">
      <c r="A44" s="88">
        <f t="shared" si="0"/>
        <v>0</v>
      </c>
      <c r="B44" s="89"/>
      <c r="C44" s="90">
        <f t="shared" si="1"/>
        <v>0</v>
      </c>
      <c r="D44" s="97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</row>
    <row r="45" spans="1:18" x14ac:dyDescent="0.35">
      <c r="A45" s="88">
        <f t="shared" si="0"/>
        <v>0</v>
      </c>
      <c r="B45" s="89"/>
      <c r="C45" s="90">
        <f t="shared" si="1"/>
        <v>0</v>
      </c>
      <c r="D45" s="97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9"/>
    </row>
    <row r="46" spans="1:18" x14ac:dyDescent="0.35">
      <c r="A46" s="88">
        <f t="shared" si="0"/>
        <v>0</v>
      </c>
      <c r="B46" s="89"/>
      <c r="C46" s="90">
        <f t="shared" si="1"/>
        <v>0</v>
      </c>
      <c r="D46" s="97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</row>
    <row r="47" spans="1:18" x14ac:dyDescent="0.35">
      <c r="A47" s="88">
        <f t="shared" si="0"/>
        <v>0</v>
      </c>
      <c r="B47" s="89"/>
      <c r="C47" s="90">
        <f t="shared" si="1"/>
        <v>0</v>
      </c>
      <c r="D47" s="97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</row>
    <row r="48" spans="1:18" x14ac:dyDescent="0.35">
      <c r="A48" s="88">
        <f t="shared" si="0"/>
        <v>0</v>
      </c>
      <c r="B48" s="89"/>
      <c r="C48" s="90">
        <f t="shared" si="1"/>
        <v>0</v>
      </c>
      <c r="D48" s="97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9"/>
    </row>
    <row r="49" spans="1:18" x14ac:dyDescent="0.35">
      <c r="A49" s="88">
        <f t="shared" si="0"/>
        <v>0</v>
      </c>
      <c r="B49" s="89"/>
      <c r="C49" s="90">
        <f t="shared" si="1"/>
        <v>0</v>
      </c>
      <c r="D49" s="97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</row>
    <row r="50" spans="1:18" x14ac:dyDescent="0.35">
      <c r="A50" s="88">
        <f t="shared" si="0"/>
        <v>0</v>
      </c>
      <c r="B50" s="89"/>
      <c r="C50" s="90">
        <f t="shared" si="1"/>
        <v>0</v>
      </c>
      <c r="D50" s="97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</row>
    <row r="51" spans="1:18" x14ac:dyDescent="0.35">
      <c r="A51" s="88">
        <f t="shared" si="0"/>
        <v>0</v>
      </c>
      <c r="B51" s="89"/>
      <c r="C51" s="90">
        <f t="shared" si="1"/>
        <v>0</v>
      </c>
      <c r="D51" s="97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9"/>
    </row>
    <row r="52" spans="1:18" x14ac:dyDescent="0.35">
      <c r="A52" s="88">
        <f t="shared" si="0"/>
        <v>0</v>
      </c>
      <c r="B52" s="89"/>
      <c r="C52" s="90">
        <f t="shared" si="1"/>
        <v>0</v>
      </c>
      <c r="D52" s="97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</row>
    <row r="53" spans="1:18" x14ac:dyDescent="0.35">
      <c r="A53" s="88">
        <f t="shared" si="0"/>
        <v>0</v>
      </c>
      <c r="B53" s="89"/>
      <c r="C53" s="90">
        <f t="shared" si="1"/>
        <v>0</v>
      </c>
      <c r="D53" s="97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</row>
    <row r="54" spans="1:18" x14ac:dyDescent="0.35">
      <c r="A54" s="88">
        <f t="shared" si="0"/>
        <v>0</v>
      </c>
      <c r="B54" s="89"/>
      <c r="C54" s="90">
        <f t="shared" si="1"/>
        <v>0</v>
      </c>
      <c r="D54" s="97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9"/>
    </row>
    <row r="55" spans="1:18" x14ac:dyDescent="0.35">
      <c r="A55" s="88">
        <f t="shared" si="0"/>
        <v>0</v>
      </c>
      <c r="B55" s="89"/>
      <c r="C55" s="90">
        <f t="shared" si="1"/>
        <v>0</v>
      </c>
      <c r="D55" s="97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</row>
    <row r="56" spans="1:18" x14ac:dyDescent="0.35">
      <c r="A56" s="88">
        <f t="shared" si="0"/>
        <v>0</v>
      </c>
      <c r="B56" s="89"/>
      <c r="C56" s="90">
        <f t="shared" si="1"/>
        <v>0</v>
      </c>
      <c r="D56" s="97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</row>
    <row r="57" spans="1:18" x14ac:dyDescent="0.35">
      <c r="A57" s="88">
        <f t="shared" si="0"/>
        <v>0</v>
      </c>
      <c r="B57" s="89"/>
      <c r="C57" s="90">
        <f t="shared" si="1"/>
        <v>0</v>
      </c>
      <c r="D57" s="97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9"/>
    </row>
    <row r="58" spans="1:18" x14ac:dyDescent="0.35">
      <c r="A58" s="88">
        <f t="shared" si="0"/>
        <v>0</v>
      </c>
      <c r="B58" s="89"/>
      <c r="C58" s="90">
        <f t="shared" si="1"/>
        <v>0</v>
      </c>
      <c r="D58" s="97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</row>
    <row r="59" spans="1:18" x14ac:dyDescent="0.35">
      <c r="A59" s="88">
        <f t="shared" si="0"/>
        <v>0</v>
      </c>
      <c r="B59" s="89"/>
      <c r="C59" s="90">
        <f t="shared" si="1"/>
        <v>0</v>
      </c>
      <c r="D59" s="97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</row>
    <row r="60" spans="1:18" x14ac:dyDescent="0.35">
      <c r="A60" s="88">
        <f t="shared" si="0"/>
        <v>0</v>
      </c>
      <c r="B60" s="89"/>
      <c r="C60" s="90">
        <f t="shared" si="1"/>
        <v>0</v>
      </c>
      <c r="D60" s="97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</row>
    <row r="61" spans="1:18" x14ac:dyDescent="0.35">
      <c r="A61" s="88">
        <f t="shared" si="0"/>
        <v>0</v>
      </c>
      <c r="B61" s="89"/>
      <c r="C61" s="90">
        <f t="shared" si="1"/>
        <v>0</v>
      </c>
      <c r="D61" s="97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9"/>
    </row>
    <row r="62" spans="1:18" x14ac:dyDescent="0.35">
      <c r="A62" s="88">
        <f t="shared" si="0"/>
        <v>0</v>
      </c>
      <c r="B62" s="89"/>
      <c r="C62" s="90">
        <f t="shared" si="1"/>
        <v>0</v>
      </c>
      <c r="D62" s="97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</row>
    <row r="63" spans="1:18" x14ac:dyDescent="0.35">
      <c r="A63" s="88">
        <f t="shared" si="0"/>
        <v>0</v>
      </c>
      <c r="B63" s="89"/>
      <c r="C63" s="90">
        <f t="shared" si="1"/>
        <v>0</v>
      </c>
      <c r="D63" s="97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</row>
    <row r="64" spans="1:18" x14ac:dyDescent="0.35">
      <c r="A64" s="88">
        <f t="shared" si="0"/>
        <v>0</v>
      </c>
      <c r="B64" s="89"/>
      <c r="C64" s="90">
        <f t="shared" si="1"/>
        <v>0</v>
      </c>
      <c r="D64" s="97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9"/>
    </row>
    <row r="65" spans="1:18" x14ac:dyDescent="0.35">
      <c r="A65" s="88">
        <f t="shared" si="0"/>
        <v>0</v>
      </c>
      <c r="B65" s="89"/>
      <c r="C65" s="90">
        <f t="shared" si="1"/>
        <v>0</v>
      </c>
      <c r="D65" s="97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</row>
    <row r="66" spans="1:18" x14ac:dyDescent="0.35">
      <c r="A66" s="88">
        <f t="shared" si="0"/>
        <v>0</v>
      </c>
      <c r="B66" s="89"/>
      <c r="C66" s="90">
        <f t="shared" si="1"/>
        <v>0</v>
      </c>
      <c r="D66" s="97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</row>
    <row r="67" spans="1:18" x14ac:dyDescent="0.35">
      <c r="A67" s="88">
        <f t="shared" si="0"/>
        <v>0</v>
      </c>
      <c r="B67" s="89"/>
      <c r="C67" s="90">
        <f t="shared" si="1"/>
        <v>0</v>
      </c>
      <c r="D67" s="97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</row>
    <row r="68" spans="1:18" x14ac:dyDescent="0.35">
      <c r="A68" s="88">
        <f t="shared" ref="A68:A131" si="2">F68</f>
        <v>0</v>
      </c>
      <c r="B68" s="89"/>
      <c r="C68" s="90">
        <f t="shared" ref="C68:C131" si="3">F68</f>
        <v>0</v>
      </c>
      <c r="D68" s="97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9"/>
    </row>
    <row r="69" spans="1:18" x14ac:dyDescent="0.35">
      <c r="A69" s="88">
        <f t="shared" si="2"/>
        <v>0</v>
      </c>
      <c r="B69" s="89"/>
      <c r="C69" s="90">
        <f t="shared" si="3"/>
        <v>0</v>
      </c>
      <c r="D69" s="97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</row>
    <row r="70" spans="1:18" x14ac:dyDescent="0.35">
      <c r="A70" s="88">
        <f t="shared" si="2"/>
        <v>0</v>
      </c>
      <c r="B70" s="89"/>
      <c r="C70" s="90">
        <f t="shared" si="3"/>
        <v>0</v>
      </c>
      <c r="D70" s="97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</row>
    <row r="71" spans="1:18" x14ac:dyDescent="0.35">
      <c r="A71" s="88">
        <f t="shared" si="2"/>
        <v>0</v>
      </c>
      <c r="B71" s="89"/>
      <c r="C71" s="90">
        <f t="shared" si="3"/>
        <v>0</v>
      </c>
      <c r="D71" s="97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</row>
    <row r="72" spans="1:18" x14ac:dyDescent="0.35">
      <c r="A72" s="88">
        <f t="shared" si="2"/>
        <v>0</v>
      </c>
      <c r="B72" s="89"/>
      <c r="C72" s="90">
        <f t="shared" si="3"/>
        <v>0</v>
      </c>
      <c r="D72" s="97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9"/>
    </row>
    <row r="73" spans="1:18" x14ac:dyDescent="0.35">
      <c r="A73" s="88">
        <f t="shared" si="2"/>
        <v>0</v>
      </c>
      <c r="B73" s="89"/>
      <c r="C73" s="90">
        <f t="shared" si="3"/>
        <v>0</v>
      </c>
      <c r="D73" s="97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</row>
    <row r="74" spans="1:18" x14ac:dyDescent="0.35">
      <c r="A74" s="88">
        <f t="shared" si="2"/>
        <v>0</v>
      </c>
      <c r="B74" s="89"/>
      <c r="C74" s="90">
        <f t="shared" si="3"/>
        <v>0</v>
      </c>
      <c r="D74" s="97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</row>
    <row r="75" spans="1:18" x14ac:dyDescent="0.35">
      <c r="A75" s="88">
        <f t="shared" si="2"/>
        <v>0</v>
      </c>
      <c r="B75" s="89"/>
      <c r="C75" s="90">
        <f t="shared" si="3"/>
        <v>0</v>
      </c>
      <c r="D75" s="97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</row>
    <row r="76" spans="1:18" x14ac:dyDescent="0.35">
      <c r="A76" s="88">
        <f t="shared" si="2"/>
        <v>0</v>
      </c>
      <c r="B76" s="89"/>
      <c r="C76" s="90">
        <f t="shared" si="3"/>
        <v>0</v>
      </c>
      <c r="D76" s="97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</row>
    <row r="77" spans="1:18" x14ac:dyDescent="0.35">
      <c r="A77" s="88">
        <f t="shared" si="2"/>
        <v>0</v>
      </c>
      <c r="B77" s="89"/>
      <c r="C77" s="90">
        <f t="shared" si="3"/>
        <v>0</v>
      </c>
      <c r="D77" s="97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</row>
    <row r="78" spans="1:18" x14ac:dyDescent="0.35">
      <c r="A78" s="88">
        <f t="shared" si="2"/>
        <v>0</v>
      </c>
      <c r="B78" s="89"/>
      <c r="C78" s="90">
        <f t="shared" si="3"/>
        <v>0</v>
      </c>
      <c r="D78" s="97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</row>
    <row r="79" spans="1:18" x14ac:dyDescent="0.35">
      <c r="A79" s="88">
        <f t="shared" si="2"/>
        <v>0</v>
      </c>
      <c r="B79" s="89"/>
      <c r="C79" s="90">
        <f t="shared" si="3"/>
        <v>0</v>
      </c>
      <c r="D79" s="97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</row>
    <row r="80" spans="1:18" x14ac:dyDescent="0.35">
      <c r="A80" s="88">
        <f t="shared" si="2"/>
        <v>0</v>
      </c>
      <c r="B80" s="89"/>
      <c r="C80" s="90">
        <f t="shared" si="3"/>
        <v>0</v>
      </c>
      <c r="D80" s="97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</row>
    <row r="81" spans="1:18" x14ac:dyDescent="0.35">
      <c r="A81" s="88">
        <f t="shared" si="2"/>
        <v>0</v>
      </c>
      <c r="B81" s="89"/>
      <c r="C81" s="90">
        <f t="shared" si="3"/>
        <v>0</v>
      </c>
      <c r="D81" s="97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</row>
    <row r="82" spans="1:18" x14ac:dyDescent="0.35">
      <c r="A82" s="88">
        <f t="shared" si="2"/>
        <v>0</v>
      </c>
      <c r="B82" s="89"/>
      <c r="C82" s="90">
        <f t="shared" si="3"/>
        <v>0</v>
      </c>
      <c r="D82" s="97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</row>
    <row r="83" spans="1:18" x14ac:dyDescent="0.35">
      <c r="A83" s="88">
        <f t="shared" si="2"/>
        <v>0</v>
      </c>
      <c r="B83" s="89"/>
      <c r="C83" s="90">
        <f t="shared" si="3"/>
        <v>0</v>
      </c>
      <c r="D83" s="97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</row>
    <row r="84" spans="1:18" x14ac:dyDescent="0.35">
      <c r="A84" s="88">
        <f t="shared" si="2"/>
        <v>0</v>
      </c>
      <c r="B84" s="89"/>
      <c r="C84" s="90">
        <f t="shared" si="3"/>
        <v>0</v>
      </c>
      <c r="D84" s="97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9"/>
    </row>
    <row r="85" spans="1:18" x14ac:dyDescent="0.35">
      <c r="A85" s="88">
        <f t="shared" si="2"/>
        <v>0</v>
      </c>
      <c r="B85" s="89"/>
      <c r="C85" s="90">
        <f t="shared" si="3"/>
        <v>0</v>
      </c>
      <c r="D85" s="97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</row>
    <row r="86" spans="1:18" x14ac:dyDescent="0.35">
      <c r="A86" s="88">
        <f t="shared" si="2"/>
        <v>0</v>
      </c>
      <c r="B86" s="89"/>
      <c r="C86" s="90">
        <f t="shared" si="3"/>
        <v>0</v>
      </c>
      <c r="D86" s="97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</row>
    <row r="87" spans="1:18" x14ac:dyDescent="0.35">
      <c r="A87" s="88">
        <f t="shared" si="2"/>
        <v>0</v>
      </c>
      <c r="B87" s="89"/>
      <c r="C87" s="90">
        <f t="shared" si="3"/>
        <v>0</v>
      </c>
      <c r="D87" s="97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9"/>
    </row>
    <row r="88" spans="1:18" x14ac:dyDescent="0.35">
      <c r="A88" s="88">
        <f t="shared" si="2"/>
        <v>0</v>
      </c>
      <c r="B88" s="89"/>
      <c r="C88" s="90">
        <f t="shared" si="3"/>
        <v>0</v>
      </c>
      <c r="D88" s="97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</row>
    <row r="89" spans="1:18" x14ac:dyDescent="0.35">
      <c r="A89" s="88">
        <f t="shared" si="2"/>
        <v>0</v>
      </c>
      <c r="B89" s="89"/>
      <c r="C89" s="90">
        <f t="shared" si="3"/>
        <v>0</v>
      </c>
      <c r="D89" s="97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</row>
    <row r="90" spans="1:18" x14ac:dyDescent="0.35">
      <c r="A90" s="88">
        <f t="shared" si="2"/>
        <v>0</v>
      </c>
      <c r="B90" s="89"/>
      <c r="C90" s="90">
        <f t="shared" si="3"/>
        <v>0</v>
      </c>
      <c r="D90" s="97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</row>
    <row r="91" spans="1:18" x14ac:dyDescent="0.35">
      <c r="A91" s="88">
        <f t="shared" si="2"/>
        <v>0</v>
      </c>
      <c r="B91" s="89"/>
      <c r="C91" s="90">
        <f t="shared" si="3"/>
        <v>0</v>
      </c>
      <c r="D91" s="97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</row>
    <row r="92" spans="1:18" x14ac:dyDescent="0.35">
      <c r="A92" s="88">
        <f t="shared" si="2"/>
        <v>0</v>
      </c>
      <c r="B92" s="89"/>
      <c r="C92" s="90">
        <f t="shared" si="3"/>
        <v>0</v>
      </c>
      <c r="D92" s="97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</row>
    <row r="93" spans="1:18" x14ac:dyDescent="0.35">
      <c r="A93" s="88">
        <f t="shared" si="2"/>
        <v>0</v>
      </c>
      <c r="B93" s="89"/>
      <c r="C93" s="90">
        <f t="shared" si="3"/>
        <v>0</v>
      </c>
      <c r="D93" s="97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</row>
    <row r="94" spans="1:18" x14ac:dyDescent="0.35">
      <c r="A94" s="88">
        <f t="shared" si="2"/>
        <v>0</v>
      </c>
      <c r="B94" s="89"/>
      <c r="C94" s="90">
        <f t="shared" si="3"/>
        <v>0</v>
      </c>
      <c r="D94" s="97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</row>
    <row r="95" spans="1:18" x14ac:dyDescent="0.35">
      <c r="A95" s="88">
        <f t="shared" si="2"/>
        <v>0</v>
      </c>
      <c r="B95" s="89"/>
      <c r="C95" s="90">
        <f t="shared" si="3"/>
        <v>0</v>
      </c>
      <c r="D95" s="97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</row>
    <row r="96" spans="1:18" x14ac:dyDescent="0.35">
      <c r="A96" s="88">
        <f t="shared" si="2"/>
        <v>0</v>
      </c>
      <c r="B96" s="89"/>
      <c r="C96" s="90">
        <f t="shared" si="3"/>
        <v>0</v>
      </c>
      <c r="D96" s="97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</row>
    <row r="97" spans="1:18" x14ac:dyDescent="0.35">
      <c r="A97" s="88">
        <f t="shared" si="2"/>
        <v>0</v>
      </c>
      <c r="B97" s="89"/>
      <c r="C97" s="90">
        <f t="shared" si="3"/>
        <v>0</v>
      </c>
      <c r="D97" s="97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9"/>
    </row>
    <row r="98" spans="1:18" x14ac:dyDescent="0.35">
      <c r="A98" s="88">
        <f t="shared" si="2"/>
        <v>0</v>
      </c>
      <c r="B98" s="89"/>
      <c r="C98" s="90">
        <f t="shared" si="3"/>
        <v>0</v>
      </c>
      <c r="D98" s="97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</row>
    <row r="99" spans="1:18" x14ac:dyDescent="0.35">
      <c r="A99" s="88">
        <f t="shared" si="2"/>
        <v>0</v>
      </c>
      <c r="B99" s="89"/>
      <c r="C99" s="90">
        <f t="shared" si="3"/>
        <v>0</v>
      </c>
      <c r="D99" s="97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</row>
    <row r="100" spans="1:18" x14ac:dyDescent="0.35">
      <c r="A100" s="88">
        <f t="shared" si="2"/>
        <v>0</v>
      </c>
      <c r="B100" s="89"/>
      <c r="C100" s="90">
        <f t="shared" si="3"/>
        <v>0</v>
      </c>
      <c r="D100" s="97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9"/>
    </row>
    <row r="101" spans="1:18" x14ac:dyDescent="0.35">
      <c r="A101" s="88">
        <f t="shared" si="2"/>
        <v>0</v>
      </c>
      <c r="B101" s="89"/>
      <c r="C101" s="90">
        <f t="shared" si="3"/>
        <v>0</v>
      </c>
      <c r="D101" s="97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</row>
    <row r="102" spans="1:18" x14ac:dyDescent="0.35">
      <c r="A102" s="88">
        <f t="shared" si="2"/>
        <v>0</v>
      </c>
      <c r="B102" s="89"/>
      <c r="C102" s="90">
        <f t="shared" si="3"/>
        <v>0</v>
      </c>
      <c r="D102" s="97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</row>
    <row r="103" spans="1:18" x14ac:dyDescent="0.35">
      <c r="A103" s="88">
        <f t="shared" si="2"/>
        <v>0</v>
      </c>
      <c r="B103" s="89"/>
      <c r="C103" s="90">
        <f t="shared" si="3"/>
        <v>0</v>
      </c>
      <c r="D103" s="97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9"/>
    </row>
    <row r="104" spans="1:18" x14ac:dyDescent="0.35">
      <c r="A104" s="88">
        <f t="shared" si="2"/>
        <v>0</v>
      </c>
      <c r="B104" s="89"/>
      <c r="C104" s="90">
        <f t="shared" si="3"/>
        <v>0</v>
      </c>
      <c r="D104" s="97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</row>
    <row r="105" spans="1:18" x14ac:dyDescent="0.35">
      <c r="A105" s="88">
        <f t="shared" si="2"/>
        <v>0</v>
      </c>
      <c r="B105" s="89"/>
      <c r="C105" s="90">
        <f t="shared" si="3"/>
        <v>0</v>
      </c>
      <c r="D105" s="97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</row>
    <row r="106" spans="1:18" x14ac:dyDescent="0.35">
      <c r="A106" s="88">
        <f t="shared" si="2"/>
        <v>0</v>
      </c>
      <c r="B106" s="89"/>
      <c r="C106" s="90">
        <f t="shared" si="3"/>
        <v>0</v>
      </c>
      <c r="D106" s="97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9"/>
    </row>
    <row r="107" spans="1:18" x14ac:dyDescent="0.35">
      <c r="A107" s="88">
        <f t="shared" si="2"/>
        <v>0</v>
      </c>
      <c r="B107" s="89"/>
      <c r="C107" s="90">
        <f t="shared" si="3"/>
        <v>0</v>
      </c>
      <c r="D107" s="97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</row>
    <row r="108" spans="1:18" x14ac:dyDescent="0.35">
      <c r="A108" s="88">
        <f t="shared" si="2"/>
        <v>0</v>
      </c>
      <c r="B108" s="89"/>
      <c r="C108" s="90">
        <f t="shared" si="3"/>
        <v>0</v>
      </c>
      <c r="D108" s="97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</row>
    <row r="109" spans="1:18" x14ac:dyDescent="0.35">
      <c r="A109" s="88">
        <f t="shared" si="2"/>
        <v>0</v>
      </c>
      <c r="B109" s="89"/>
      <c r="C109" s="90">
        <f t="shared" si="3"/>
        <v>0</v>
      </c>
      <c r="D109" s="97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</row>
    <row r="110" spans="1:18" x14ac:dyDescent="0.35">
      <c r="A110" s="88">
        <f t="shared" si="2"/>
        <v>0</v>
      </c>
      <c r="B110" s="89"/>
      <c r="C110" s="90">
        <f t="shared" si="3"/>
        <v>0</v>
      </c>
      <c r="D110" s="97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9"/>
    </row>
    <row r="111" spans="1:18" x14ac:dyDescent="0.35">
      <c r="A111" s="88">
        <f t="shared" si="2"/>
        <v>0</v>
      </c>
      <c r="B111" s="89"/>
      <c r="C111" s="90">
        <f t="shared" si="3"/>
        <v>0</v>
      </c>
      <c r="D111" s="97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</row>
    <row r="112" spans="1:18" x14ac:dyDescent="0.35">
      <c r="A112" s="88">
        <f t="shared" si="2"/>
        <v>0</v>
      </c>
      <c r="B112" s="89"/>
      <c r="C112" s="90">
        <f t="shared" si="3"/>
        <v>0</v>
      </c>
      <c r="D112" s="97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</row>
    <row r="113" spans="1:18" x14ac:dyDescent="0.35">
      <c r="A113" s="88">
        <f t="shared" si="2"/>
        <v>0</v>
      </c>
      <c r="B113" s="89"/>
      <c r="C113" s="90">
        <f t="shared" si="3"/>
        <v>0</v>
      </c>
      <c r="D113" s="97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9"/>
    </row>
    <row r="114" spans="1:18" x14ac:dyDescent="0.35">
      <c r="A114" s="88">
        <f t="shared" si="2"/>
        <v>0</v>
      </c>
      <c r="B114" s="89"/>
      <c r="C114" s="90">
        <f t="shared" si="3"/>
        <v>0</v>
      </c>
      <c r="D114" s="97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</row>
    <row r="115" spans="1:18" x14ac:dyDescent="0.35">
      <c r="A115" s="88">
        <f t="shared" si="2"/>
        <v>0</v>
      </c>
      <c r="B115" s="89"/>
      <c r="C115" s="90">
        <f t="shared" si="3"/>
        <v>0</v>
      </c>
      <c r="D115" s="97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</row>
    <row r="116" spans="1:18" x14ac:dyDescent="0.35">
      <c r="A116" s="88">
        <f t="shared" si="2"/>
        <v>0</v>
      </c>
      <c r="B116" s="89"/>
      <c r="C116" s="90">
        <f t="shared" si="3"/>
        <v>0</v>
      </c>
      <c r="D116" s="97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9"/>
    </row>
    <row r="117" spans="1:18" x14ac:dyDescent="0.35">
      <c r="A117" s="88">
        <f t="shared" si="2"/>
        <v>0</v>
      </c>
      <c r="B117" s="89"/>
      <c r="C117" s="90">
        <f t="shared" si="3"/>
        <v>0</v>
      </c>
      <c r="D117" s="97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</row>
    <row r="118" spans="1:18" x14ac:dyDescent="0.35">
      <c r="A118" s="88">
        <f t="shared" si="2"/>
        <v>0</v>
      </c>
      <c r="B118" s="89"/>
      <c r="C118" s="90">
        <f t="shared" si="3"/>
        <v>0</v>
      </c>
      <c r="D118" s="97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</row>
    <row r="119" spans="1:18" x14ac:dyDescent="0.35">
      <c r="A119" s="88">
        <f t="shared" si="2"/>
        <v>0</v>
      </c>
      <c r="B119" s="89"/>
      <c r="C119" s="90">
        <f t="shared" si="3"/>
        <v>0</v>
      </c>
      <c r="D119" s="97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9"/>
    </row>
    <row r="120" spans="1:18" x14ac:dyDescent="0.35">
      <c r="A120" s="88">
        <f t="shared" si="2"/>
        <v>0</v>
      </c>
      <c r="B120" s="89"/>
      <c r="C120" s="90">
        <f t="shared" si="3"/>
        <v>0</v>
      </c>
      <c r="D120" s="97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</row>
    <row r="121" spans="1:18" x14ac:dyDescent="0.35">
      <c r="A121" s="88">
        <f t="shared" si="2"/>
        <v>0</v>
      </c>
      <c r="B121" s="89"/>
      <c r="C121" s="90">
        <f t="shared" si="3"/>
        <v>0</v>
      </c>
      <c r="D121" s="97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</row>
    <row r="122" spans="1:18" x14ac:dyDescent="0.35">
      <c r="A122" s="88">
        <f t="shared" si="2"/>
        <v>0</v>
      </c>
      <c r="B122" s="89"/>
      <c r="C122" s="90">
        <f t="shared" si="3"/>
        <v>0</v>
      </c>
      <c r="D122" s="97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9"/>
    </row>
    <row r="123" spans="1:18" x14ac:dyDescent="0.35">
      <c r="A123" s="88">
        <f t="shared" si="2"/>
        <v>0</v>
      </c>
      <c r="B123" s="89"/>
      <c r="C123" s="90">
        <f t="shared" si="3"/>
        <v>0</v>
      </c>
      <c r="D123" s="97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</row>
    <row r="124" spans="1:18" x14ac:dyDescent="0.35">
      <c r="A124" s="88">
        <f t="shared" si="2"/>
        <v>0</v>
      </c>
      <c r="B124" s="89"/>
      <c r="C124" s="90">
        <f t="shared" si="3"/>
        <v>0</v>
      </c>
      <c r="D124" s="97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</row>
    <row r="125" spans="1:18" x14ac:dyDescent="0.35">
      <c r="A125" s="88">
        <f t="shared" si="2"/>
        <v>0</v>
      </c>
      <c r="B125" s="89"/>
      <c r="C125" s="90">
        <f t="shared" si="3"/>
        <v>0</v>
      </c>
      <c r="D125" s="97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</row>
    <row r="126" spans="1:18" x14ac:dyDescent="0.35">
      <c r="A126" s="88">
        <f t="shared" si="2"/>
        <v>0</v>
      </c>
      <c r="B126" s="89"/>
      <c r="C126" s="90">
        <f t="shared" si="3"/>
        <v>0</v>
      </c>
      <c r="D126" s="97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9"/>
    </row>
    <row r="127" spans="1:18" x14ac:dyDescent="0.35">
      <c r="A127" s="88">
        <f t="shared" si="2"/>
        <v>0</v>
      </c>
      <c r="B127" s="89"/>
      <c r="C127" s="90">
        <f t="shared" si="3"/>
        <v>0</v>
      </c>
      <c r="D127" s="97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</row>
    <row r="128" spans="1:18" x14ac:dyDescent="0.35">
      <c r="A128" s="88">
        <f t="shared" si="2"/>
        <v>0</v>
      </c>
      <c r="B128" s="89"/>
      <c r="C128" s="90">
        <f t="shared" si="3"/>
        <v>0</v>
      </c>
      <c r="D128" s="97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</row>
    <row r="129" spans="1:18" x14ac:dyDescent="0.35">
      <c r="A129" s="88">
        <f t="shared" si="2"/>
        <v>0</v>
      </c>
      <c r="B129" s="89"/>
      <c r="C129" s="90">
        <f t="shared" si="3"/>
        <v>0</v>
      </c>
      <c r="D129" s="97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9"/>
    </row>
    <row r="130" spans="1:18" x14ac:dyDescent="0.35">
      <c r="A130" s="88">
        <f t="shared" si="2"/>
        <v>0</v>
      </c>
      <c r="B130" s="89"/>
      <c r="C130" s="90">
        <f t="shared" si="3"/>
        <v>0</v>
      </c>
      <c r="D130" s="97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</row>
    <row r="131" spans="1:18" x14ac:dyDescent="0.35">
      <c r="A131" s="88">
        <f t="shared" si="2"/>
        <v>0</v>
      </c>
      <c r="B131" s="89"/>
      <c r="C131" s="90">
        <f t="shared" si="3"/>
        <v>0</v>
      </c>
      <c r="D131" s="97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</row>
    <row r="132" spans="1:18" x14ac:dyDescent="0.35">
      <c r="A132" s="88">
        <f t="shared" ref="A132:A195" si="4">F132</f>
        <v>0</v>
      </c>
      <c r="B132" s="89"/>
      <c r="C132" s="90">
        <f t="shared" ref="C132:C195" si="5">F132</f>
        <v>0</v>
      </c>
      <c r="D132" s="97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9"/>
    </row>
    <row r="133" spans="1:18" x14ac:dyDescent="0.35">
      <c r="A133" s="88">
        <f t="shared" si="4"/>
        <v>0</v>
      </c>
      <c r="B133" s="89"/>
      <c r="C133" s="90">
        <f t="shared" si="5"/>
        <v>0</v>
      </c>
      <c r="D133" s="97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</row>
    <row r="134" spans="1:18" x14ac:dyDescent="0.35">
      <c r="A134" s="88">
        <f t="shared" si="4"/>
        <v>0</v>
      </c>
      <c r="B134" s="89"/>
      <c r="C134" s="90">
        <f t="shared" si="5"/>
        <v>0</v>
      </c>
      <c r="D134" s="97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</row>
    <row r="135" spans="1:18" x14ac:dyDescent="0.35">
      <c r="A135" s="88">
        <f t="shared" si="4"/>
        <v>0</v>
      </c>
      <c r="B135" s="89"/>
      <c r="C135" s="90">
        <f t="shared" si="5"/>
        <v>0</v>
      </c>
      <c r="D135" s="97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9"/>
    </row>
    <row r="136" spans="1:18" x14ac:dyDescent="0.35">
      <c r="A136" s="88">
        <f t="shared" si="4"/>
        <v>0</v>
      </c>
      <c r="B136" s="89"/>
      <c r="C136" s="90">
        <f t="shared" si="5"/>
        <v>0</v>
      </c>
      <c r="D136" s="97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</row>
    <row r="137" spans="1:18" x14ac:dyDescent="0.35">
      <c r="A137" s="88">
        <f t="shared" si="4"/>
        <v>0</v>
      </c>
      <c r="B137" s="89"/>
      <c r="C137" s="90">
        <f t="shared" si="5"/>
        <v>0</v>
      </c>
      <c r="D137" s="97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</row>
    <row r="138" spans="1:18" x14ac:dyDescent="0.35">
      <c r="A138" s="88">
        <f t="shared" si="4"/>
        <v>0</v>
      </c>
      <c r="B138" s="89"/>
      <c r="C138" s="90">
        <f t="shared" si="5"/>
        <v>0</v>
      </c>
      <c r="D138" s="97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</row>
    <row r="139" spans="1:18" x14ac:dyDescent="0.35">
      <c r="A139" s="88">
        <f t="shared" si="4"/>
        <v>0</v>
      </c>
      <c r="B139" s="89"/>
      <c r="C139" s="90">
        <f t="shared" si="5"/>
        <v>0</v>
      </c>
      <c r="D139" s="97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</row>
    <row r="140" spans="1:18" x14ac:dyDescent="0.35">
      <c r="A140" s="88">
        <f t="shared" si="4"/>
        <v>0</v>
      </c>
      <c r="B140" s="89"/>
      <c r="C140" s="90">
        <f t="shared" si="5"/>
        <v>0</v>
      </c>
      <c r="D140" s="97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</row>
    <row r="141" spans="1:18" x14ac:dyDescent="0.35">
      <c r="A141" s="88">
        <f t="shared" si="4"/>
        <v>0</v>
      </c>
      <c r="B141" s="89"/>
      <c r="C141" s="90">
        <f t="shared" si="5"/>
        <v>0</v>
      </c>
      <c r="D141" s="97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</row>
    <row r="142" spans="1:18" x14ac:dyDescent="0.35">
      <c r="A142" s="88">
        <f t="shared" si="4"/>
        <v>0</v>
      </c>
      <c r="B142" s="89"/>
      <c r="C142" s="90">
        <f t="shared" si="5"/>
        <v>0</v>
      </c>
      <c r="D142" s="97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</row>
    <row r="143" spans="1:18" x14ac:dyDescent="0.35">
      <c r="A143" s="88">
        <f t="shared" si="4"/>
        <v>0</v>
      </c>
      <c r="B143" s="89"/>
      <c r="C143" s="90">
        <f t="shared" si="5"/>
        <v>0</v>
      </c>
      <c r="D143" s="97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</row>
    <row r="144" spans="1:18" x14ac:dyDescent="0.35">
      <c r="A144" s="88">
        <f t="shared" si="4"/>
        <v>0</v>
      </c>
      <c r="B144" s="89"/>
      <c r="C144" s="90">
        <f t="shared" si="5"/>
        <v>0</v>
      </c>
      <c r="D144" s="97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</row>
    <row r="145" spans="1:18" x14ac:dyDescent="0.35">
      <c r="A145" s="88">
        <f t="shared" si="4"/>
        <v>0</v>
      </c>
      <c r="B145" s="89"/>
      <c r="C145" s="90">
        <f t="shared" si="5"/>
        <v>0</v>
      </c>
      <c r="D145" s="97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</row>
    <row r="146" spans="1:18" x14ac:dyDescent="0.35">
      <c r="A146" s="88">
        <f t="shared" si="4"/>
        <v>0</v>
      </c>
      <c r="B146" s="89"/>
      <c r="C146" s="90">
        <f t="shared" si="5"/>
        <v>0</v>
      </c>
      <c r="D146" s="97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</row>
    <row r="147" spans="1:18" x14ac:dyDescent="0.35">
      <c r="A147" s="88">
        <f t="shared" si="4"/>
        <v>0</v>
      </c>
      <c r="B147" s="89"/>
      <c r="C147" s="90">
        <f t="shared" si="5"/>
        <v>0</v>
      </c>
      <c r="D147" s="97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</row>
    <row r="148" spans="1:18" x14ac:dyDescent="0.35">
      <c r="A148" s="88">
        <f t="shared" si="4"/>
        <v>0</v>
      </c>
      <c r="B148" s="89"/>
      <c r="C148" s="90">
        <f t="shared" si="5"/>
        <v>0</v>
      </c>
      <c r="D148" s="97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</row>
    <row r="149" spans="1:18" x14ac:dyDescent="0.35">
      <c r="A149" s="88">
        <f t="shared" si="4"/>
        <v>0</v>
      </c>
      <c r="B149" s="89"/>
      <c r="C149" s="90">
        <f t="shared" si="5"/>
        <v>0</v>
      </c>
      <c r="D149" s="97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</row>
    <row r="150" spans="1:18" x14ac:dyDescent="0.35">
      <c r="A150" s="88">
        <f t="shared" si="4"/>
        <v>0</v>
      </c>
      <c r="B150" s="89"/>
      <c r="C150" s="90">
        <f t="shared" si="5"/>
        <v>0</v>
      </c>
      <c r="D150" s="97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</row>
    <row r="151" spans="1:18" x14ac:dyDescent="0.35">
      <c r="A151" s="88">
        <f t="shared" si="4"/>
        <v>0</v>
      </c>
      <c r="B151" s="89"/>
      <c r="C151" s="90">
        <f t="shared" si="5"/>
        <v>0</v>
      </c>
      <c r="D151" s="97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</row>
    <row r="152" spans="1:18" x14ac:dyDescent="0.35">
      <c r="A152" s="88">
        <f t="shared" si="4"/>
        <v>0</v>
      </c>
      <c r="B152" s="89"/>
      <c r="C152" s="90">
        <f t="shared" si="5"/>
        <v>0</v>
      </c>
      <c r="D152" s="97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</row>
    <row r="153" spans="1:18" x14ac:dyDescent="0.35">
      <c r="A153" s="88">
        <f t="shared" si="4"/>
        <v>0</v>
      </c>
      <c r="B153" s="89"/>
      <c r="C153" s="90">
        <f t="shared" si="5"/>
        <v>0</v>
      </c>
      <c r="D153" s="97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</row>
    <row r="154" spans="1:18" x14ac:dyDescent="0.35">
      <c r="A154" s="88">
        <f t="shared" si="4"/>
        <v>0</v>
      </c>
      <c r="B154" s="89"/>
      <c r="C154" s="90">
        <f t="shared" si="5"/>
        <v>0</v>
      </c>
      <c r="D154" s="97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</row>
    <row r="155" spans="1:18" x14ac:dyDescent="0.35">
      <c r="A155" s="88">
        <f t="shared" si="4"/>
        <v>0</v>
      </c>
      <c r="B155" s="89"/>
      <c r="C155" s="90">
        <f t="shared" si="5"/>
        <v>0</v>
      </c>
      <c r="D155" s="97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</row>
    <row r="156" spans="1:18" x14ac:dyDescent="0.35">
      <c r="A156" s="88">
        <f t="shared" si="4"/>
        <v>0</v>
      </c>
      <c r="B156" s="89"/>
      <c r="C156" s="90">
        <f t="shared" si="5"/>
        <v>0</v>
      </c>
      <c r="D156" s="97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</row>
    <row r="157" spans="1:18" x14ac:dyDescent="0.35">
      <c r="A157" s="88">
        <f t="shared" si="4"/>
        <v>0</v>
      </c>
      <c r="B157" s="89"/>
      <c r="C157" s="90">
        <f t="shared" si="5"/>
        <v>0</v>
      </c>
      <c r="D157" s="97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</row>
    <row r="158" spans="1:18" x14ac:dyDescent="0.35">
      <c r="A158" s="88">
        <f t="shared" si="4"/>
        <v>0</v>
      </c>
      <c r="B158" s="89"/>
      <c r="C158" s="90">
        <f t="shared" si="5"/>
        <v>0</v>
      </c>
      <c r="D158" s="97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</row>
    <row r="159" spans="1:18" x14ac:dyDescent="0.35">
      <c r="A159" s="88">
        <f t="shared" si="4"/>
        <v>0</v>
      </c>
      <c r="B159" s="89"/>
      <c r="C159" s="90">
        <f t="shared" si="5"/>
        <v>0</v>
      </c>
      <c r="D159" s="97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</row>
    <row r="160" spans="1:18" x14ac:dyDescent="0.35">
      <c r="A160" s="88">
        <f t="shared" si="4"/>
        <v>0</v>
      </c>
      <c r="B160" s="89"/>
      <c r="C160" s="90">
        <f t="shared" si="5"/>
        <v>0</v>
      </c>
      <c r="D160" s="97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</row>
    <row r="161" spans="1:18" x14ac:dyDescent="0.35">
      <c r="A161" s="88">
        <f t="shared" si="4"/>
        <v>0</v>
      </c>
      <c r="B161" s="89"/>
      <c r="C161" s="90">
        <f t="shared" si="5"/>
        <v>0</v>
      </c>
      <c r="D161" s="97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</row>
    <row r="162" spans="1:18" x14ac:dyDescent="0.35">
      <c r="A162" s="88">
        <f t="shared" si="4"/>
        <v>0</v>
      </c>
      <c r="B162" s="89"/>
      <c r="C162" s="90">
        <f t="shared" si="5"/>
        <v>0</v>
      </c>
      <c r="D162" s="97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9"/>
    </row>
    <row r="163" spans="1:18" x14ac:dyDescent="0.35">
      <c r="A163" s="88">
        <f t="shared" si="4"/>
        <v>0</v>
      </c>
      <c r="B163" s="89"/>
      <c r="C163" s="90">
        <f t="shared" si="5"/>
        <v>0</v>
      </c>
      <c r="D163" s="97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</row>
    <row r="164" spans="1:18" x14ac:dyDescent="0.35">
      <c r="A164" s="88">
        <f t="shared" si="4"/>
        <v>0</v>
      </c>
      <c r="B164" s="89"/>
      <c r="C164" s="90">
        <f t="shared" si="5"/>
        <v>0</v>
      </c>
      <c r="D164" s="97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</row>
    <row r="165" spans="1:18" x14ac:dyDescent="0.35">
      <c r="A165" s="88">
        <f t="shared" si="4"/>
        <v>0</v>
      </c>
      <c r="B165" s="89"/>
      <c r="C165" s="90">
        <f t="shared" si="5"/>
        <v>0</v>
      </c>
      <c r="D165" s="97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</row>
    <row r="166" spans="1:18" x14ac:dyDescent="0.35">
      <c r="A166" s="88">
        <f t="shared" si="4"/>
        <v>0</v>
      </c>
      <c r="B166" s="89"/>
      <c r="C166" s="90">
        <f t="shared" si="5"/>
        <v>0</v>
      </c>
      <c r="D166" s="97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9"/>
    </row>
    <row r="167" spans="1:18" x14ac:dyDescent="0.35">
      <c r="A167" s="88">
        <f t="shared" si="4"/>
        <v>0</v>
      </c>
      <c r="B167" s="89"/>
      <c r="C167" s="90">
        <f t="shared" si="5"/>
        <v>0</v>
      </c>
      <c r="D167" s="97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</row>
    <row r="168" spans="1:18" x14ac:dyDescent="0.35">
      <c r="A168" s="88">
        <f t="shared" si="4"/>
        <v>0</v>
      </c>
      <c r="B168" s="89"/>
      <c r="C168" s="90">
        <f t="shared" si="5"/>
        <v>0</v>
      </c>
      <c r="D168" s="97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</row>
    <row r="169" spans="1:18" x14ac:dyDescent="0.35">
      <c r="A169" s="88">
        <f t="shared" si="4"/>
        <v>0</v>
      </c>
      <c r="B169" s="89"/>
      <c r="C169" s="90">
        <f t="shared" si="5"/>
        <v>0</v>
      </c>
      <c r="D169" s="97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9"/>
    </row>
    <row r="170" spans="1:18" x14ac:dyDescent="0.35">
      <c r="A170" s="88">
        <f t="shared" si="4"/>
        <v>0</v>
      </c>
      <c r="B170" s="89"/>
      <c r="C170" s="90">
        <f t="shared" si="5"/>
        <v>0</v>
      </c>
      <c r="D170" s="97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</row>
    <row r="171" spans="1:18" x14ac:dyDescent="0.35">
      <c r="A171" s="88">
        <f t="shared" si="4"/>
        <v>0</v>
      </c>
      <c r="B171" s="89"/>
      <c r="C171" s="90">
        <f t="shared" si="5"/>
        <v>0</v>
      </c>
      <c r="D171" s="97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</row>
    <row r="172" spans="1:18" x14ac:dyDescent="0.35">
      <c r="A172" s="88">
        <f t="shared" si="4"/>
        <v>0</v>
      </c>
      <c r="B172" s="89"/>
      <c r="C172" s="90">
        <f t="shared" si="5"/>
        <v>0</v>
      </c>
      <c r="D172" s="97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</row>
    <row r="173" spans="1:18" x14ac:dyDescent="0.35">
      <c r="A173" s="88">
        <f t="shared" si="4"/>
        <v>0</v>
      </c>
      <c r="B173" s="89"/>
      <c r="C173" s="90">
        <f t="shared" si="5"/>
        <v>0</v>
      </c>
      <c r="D173" s="97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9"/>
    </row>
    <row r="174" spans="1:18" x14ac:dyDescent="0.35">
      <c r="A174" s="88">
        <f t="shared" si="4"/>
        <v>0</v>
      </c>
      <c r="B174" s="89"/>
      <c r="C174" s="90">
        <f t="shared" si="5"/>
        <v>0</v>
      </c>
      <c r="D174" s="97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</row>
    <row r="175" spans="1:18" x14ac:dyDescent="0.35">
      <c r="A175" s="88">
        <f t="shared" si="4"/>
        <v>0</v>
      </c>
      <c r="B175" s="89"/>
      <c r="C175" s="90">
        <f t="shared" si="5"/>
        <v>0</v>
      </c>
      <c r="D175" s="97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</row>
    <row r="176" spans="1:18" x14ac:dyDescent="0.35">
      <c r="A176" s="88">
        <f t="shared" si="4"/>
        <v>0</v>
      </c>
      <c r="B176" s="89"/>
      <c r="C176" s="90">
        <f t="shared" si="5"/>
        <v>0</v>
      </c>
      <c r="D176" s="97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</row>
    <row r="177" spans="1:18" x14ac:dyDescent="0.35">
      <c r="A177" s="88">
        <f t="shared" si="4"/>
        <v>0</v>
      </c>
      <c r="B177" s="89"/>
      <c r="C177" s="90">
        <f t="shared" si="5"/>
        <v>0</v>
      </c>
      <c r="D177" s="97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9"/>
    </row>
    <row r="178" spans="1:18" x14ac:dyDescent="0.35">
      <c r="A178" s="88">
        <f t="shared" si="4"/>
        <v>0</v>
      </c>
      <c r="B178" s="89"/>
      <c r="C178" s="90">
        <f t="shared" si="5"/>
        <v>0</v>
      </c>
      <c r="D178" s="97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</row>
    <row r="179" spans="1:18" x14ac:dyDescent="0.35">
      <c r="A179" s="88">
        <f t="shared" si="4"/>
        <v>0</v>
      </c>
      <c r="B179" s="89"/>
      <c r="C179" s="90">
        <f t="shared" si="5"/>
        <v>0</v>
      </c>
      <c r="D179" s="97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</row>
    <row r="180" spans="1:18" x14ac:dyDescent="0.35">
      <c r="A180" s="88">
        <f t="shared" si="4"/>
        <v>0</v>
      </c>
      <c r="B180" s="89"/>
      <c r="C180" s="90">
        <f t="shared" si="5"/>
        <v>0</v>
      </c>
      <c r="D180" s="97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</row>
    <row r="181" spans="1:18" x14ac:dyDescent="0.35">
      <c r="A181" s="88">
        <f t="shared" si="4"/>
        <v>0</v>
      </c>
      <c r="B181" s="89"/>
      <c r="C181" s="90">
        <f t="shared" si="5"/>
        <v>0</v>
      </c>
      <c r="D181" s="97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9"/>
    </row>
    <row r="182" spans="1:18" x14ac:dyDescent="0.35">
      <c r="A182" s="88">
        <f t="shared" si="4"/>
        <v>0</v>
      </c>
      <c r="B182" s="89"/>
      <c r="C182" s="90">
        <f t="shared" si="5"/>
        <v>0</v>
      </c>
      <c r="D182" s="97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</row>
    <row r="183" spans="1:18" x14ac:dyDescent="0.35">
      <c r="A183" s="88">
        <f t="shared" si="4"/>
        <v>0</v>
      </c>
      <c r="B183" s="89"/>
      <c r="C183" s="90">
        <f t="shared" si="5"/>
        <v>0</v>
      </c>
      <c r="D183" s="97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</row>
    <row r="184" spans="1:18" x14ac:dyDescent="0.35">
      <c r="A184" s="88">
        <f t="shared" si="4"/>
        <v>0</v>
      </c>
      <c r="B184" s="89"/>
      <c r="C184" s="90">
        <f t="shared" si="5"/>
        <v>0</v>
      </c>
      <c r="D184" s="97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9"/>
    </row>
    <row r="185" spans="1:18" x14ac:dyDescent="0.35">
      <c r="A185" s="88">
        <f t="shared" si="4"/>
        <v>0</v>
      </c>
      <c r="B185" s="89"/>
      <c r="C185" s="90">
        <f t="shared" si="5"/>
        <v>0</v>
      </c>
      <c r="D185" s="97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</row>
    <row r="186" spans="1:18" x14ac:dyDescent="0.35">
      <c r="A186" s="88">
        <f t="shared" si="4"/>
        <v>0</v>
      </c>
      <c r="B186" s="89"/>
      <c r="C186" s="90">
        <f t="shared" si="5"/>
        <v>0</v>
      </c>
      <c r="D186" s="97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</row>
    <row r="187" spans="1:18" x14ac:dyDescent="0.35">
      <c r="A187" s="88">
        <f t="shared" si="4"/>
        <v>0</v>
      </c>
      <c r="B187" s="89"/>
      <c r="C187" s="90">
        <f t="shared" si="5"/>
        <v>0</v>
      </c>
      <c r="D187" s="97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9"/>
    </row>
    <row r="188" spans="1:18" x14ac:dyDescent="0.35">
      <c r="A188" s="88">
        <f t="shared" si="4"/>
        <v>0</v>
      </c>
      <c r="B188" s="89"/>
      <c r="C188" s="90">
        <f t="shared" si="5"/>
        <v>0</v>
      </c>
      <c r="D188" s="97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</row>
    <row r="189" spans="1:18" x14ac:dyDescent="0.35">
      <c r="A189" s="88">
        <f t="shared" si="4"/>
        <v>0</v>
      </c>
      <c r="B189" s="89"/>
      <c r="C189" s="90">
        <f t="shared" si="5"/>
        <v>0</v>
      </c>
      <c r="D189" s="97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</row>
    <row r="190" spans="1:18" x14ac:dyDescent="0.35">
      <c r="A190" s="88">
        <f t="shared" si="4"/>
        <v>0</v>
      </c>
      <c r="B190" s="89"/>
      <c r="C190" s="90">
        <f t="shared" si="5"/>
        <v>0</v>
      </c>
      <c r="D190" s="97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9"/>
    </row>
    <row r="191" spans="1:18" x14ac:dyDescent="0.35">
      <c r="A191" s="88">
        <f t="shared" si="4"/>
        <v>0</v>
      </c>
      <c r="B191" s="89"/>
      <c r="C191" s="90">
        <f t="shared" si="5"/>
        <v>0</v>
      </c>
      <c r="D191" s="97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</row>
    <row r="192" spans="1:18" x14ac:dyDescent="0.35">
      <c r="A192" s="88">
        <f t="shared" si="4"/>
        <v>0</v>
      </c>
      <c r="B192" s="89"/>
      <c r="C192" s="90">
        <f t="shared" si="5"/>
        <v>0</v>
      </c>
      <c r="D192" s="97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</row>
    <row r="193" spans="1:18" x14ac:dyDescent="0.35">
      <c r="A193" s="88">
        <f t="shared" si="4"/>
        <v>0</v>
      </c>
      <c r="B193" s="89"/>
      <c r="C193" s="90">
        <f t="shared" si="5"/>
        <v>0</v>
      </c>
      <c r="D193" s="97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9"/>
    </row>
    <row r="194" spans="1:18" x14ac:dyDescent="0.35">
      <c r="A194" s="88">
        <f t="shared" si="4"/>
        <v>0</v>
      </c>
      <c r="B194" s="89"/>
      <c r="C194" s="90">
        <f t="shared" si="5"/>
        <v>0</v>
      </c>
      <c r="D194" s="97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</row>
    <row r="195" spans="1:18" x14ac:dyDescent="0.35">
      <c r="A195" s="88">
        <f t="shared" si="4"/>
        <v>0</v>
      </c>
      <c r="B195" s="89"/>
      <c r="C195" s="90">
        <f t="shared" si="5"/>
        <v>0</v>
      </c>
      <c r="D195" s="97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</row>
    <row r="196" spans="1:18" x14ac:dyDescent="0.35">
      <c r="A196" s="88">
        <f t="shared" ref="A196:A259" si="6">F196</f>
        <v>0</v>
      </c>
      <c r="B196" s="89"/>
      <c r="C196" s="90">
        <f t="shared" ref="C196:C259" si="7">F196</f>
        <v>0</v>
      </c>
      <c r="D196" s="97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</row>
    <row r="197" spans="1:18" x14ac:dyDescent="0.35">
      <c r="A197" s="88">
        <f t="shared" si="6"/>
        <v>0</v>
      </c>
      <c r="B197" s="89"/>
      <c r="C197" s="90">
        <f t="shared" si="7"/>
        <v>0</v>
      </c>
      <c r="D197" s="97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9"/>
    </row>
    <row r="198" spans="1:18" x14ac:dyDescent="0.35">
      <c r="A198" s="88">
        <f t="shared" si="6"/>
        <v>0</v>
      </c>
      <c r="B198" s="89"/>
      <c r="C198" s="90">
        <f t="shared" si="7"/>
        <v>0</v>
      </c>
      <c r="D198" s="97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</row>
    <row r="199" spans="1:18" x14ac:dyDescent="0.35">
      <c r="A199" s="88">
        <f t="shared" si="6"/>
        <v>0</v>
      </c>
      <c r="B199" s="89"/>
      <c r="C199" s="90">
        <f t="shared" si="7"/>
        <v>0</v>
      </c>
      <c r="D199" s="97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</row>
    <row r="200" spans="1:18" x14ac:dyDescent="0.35">
      <c r="A200" s="88">
        <f t="shared" si="6"/>
        <v>0</v>
      </c>
      <c r="B200" s="89"/>
      <c r="C200" s="90">
        <f t="shared" si="7"/>
        <v>0</v>
      </c>
      <c r="D200" s="97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9"/>
    </row>
    <row r="201" spans="1:18" x14ac:dyDescent="0.35">
      <c r="A201" s="88">
        <f t="shared" si="6"/>
        <v>0</v>
      </c>
      <c r="B201" s="89"/>
      <c r="C201" s="90">
        <f t="shared" si="7"/>
        <v>0</v>
      </c>
      <c r="D201" s="97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</row>
    <row r="202" spans="1:18" x14ac:dyDescent="0.35">
      <c r="A202" s="88">
        <f t="shared" si="6"/>
        <v>0</v>
      </c>
      <c r="B202" s="89"/>
      <c r="C202" s="90">
        <f t="shared" si="7"/>
        <v>0</v>
      </c>
      <c r="D202" s="97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</row>
    <row r="203" spans="1:18" x14ac:dyDescent="0.35">
      <c r="A203" s="88">
        <f t="shared" si="6"/>
        <v>0</v>
      </c>
      <c r="B203" s="89"/>
      <c r="C203" s="90">
        <f t="shared" si="7"/>
        <v>0</v>
      </c>
      <c r="D203" s="97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</row>
    <row r="204" spans="1:18" x14ac:dyDescent="0.35">
      <c r="A204" s="88">
        <f t="shared" si="6"/>
        <v>0</v>
      </c>
      <c r="B204" s="89"/>
      <c r="C204" s="90">
        <f t="shared" si="7"/>
        <v>0</v>
      </c>
      <c r="D204" s="97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9"/>
    </row>
    <row r="205" spans="1:18" x14ac:dyDescent="0.35">
      <c r="A205" s="88">
        <f t="shared" si="6"/>
        <v>0</v>
      </c>
      <c r="B205" s="89"/>
      <c r="C205" s="90">
        <f t="shared" si="7"/>
        <v>0</v>
      </c>
      <c r="D205" s="97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</row>
    <row r="206" spans="1:18" x14ac:dyDescent="0.35">
      <c r="A206" s="88">
        <f t="shared" si="6"/>
        <v>0</v>
      </c>
      <c r="B206" s="89"/>
      <c r="C206" s="90">
        <f t="shared" si="7"/>
        <v>0</v>
      </c>
      <c r="D206" s="97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</row>
    <row r="207" spans="1:18" x14ac:dyDescent="0.35">
      <c r="A207" s="88">
        <f t="shared" si="6"/>
        <v>0</v>
      </c>
      <c r="B207" s="89"/>
      <c r="C207" s="90">
        <f t="shared" si="7"/>
        <v>0</v>
      </c>
      <c r="D207" s="97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</row>
    <row r="208" spans="1:18" x14ac:dyDescent="0.35">
      <c r="A208" s="88">
        <f t="shared" si="6"/>
        <v>0</v>
      </c>
      <c r="B208" s="89"/>
      <c r="C208" s="90">
        <f t="shared" si="7"/>
        <v>0</v>
      </c>
      <c r="D208" s="97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9"/>
    </row>
    <row r="209" spans="1:18" x14ac:dyDescent="0.35">
      <c r="A209" s="88">
        <f t="shared" si="6"/>
        <v>0</v>
      </c>
      <c r="B209" s="89"/>
      <c r="C209" s="90">
        <f t="shared" si="7"/>
        <v>0</v>
      </c>
      <c r="D209" s="97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</row>
    <row r="210" spans="1:18" x14ac:dyDescent="0.35">
      <c r="A210" s="88">
        <f t="shared" si="6"/>
        <v>0</v>
      </c>
      <c r="B210" s="89"/>
      <c r="C210" s="90">
        <f t="shared" si="7"/>
        <v>0</v>
      </c>
      <c r="D210" s="97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</row>
    <row r="211" spans="1:18" x14ac:dyDescent="0.35">
      <c r="A211" s="88">
        <f t="shared" si="6"/>
        <v>0</v>
      </c>
      <c r="B211" s="89"/>
      <c r="C211" s="90">
        <f t="shared" si="7"/>
        <v>0</v>
      </c>
      <c r="D211" s="97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</row>
    <row r="212" spans="1:18" x14ac:dyDescent="0.35">
      <c r="A212" s="88">
        <f t="shared" si="6"/>
        <v>0</v>
      </c>
      <c r="B212" s="89"/>
      <c r="C212" s="90">
        <f t="shared" si="7"/>
        <v>0</v>
      </c>
      <c r="D212" s="97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9"/>
    </row>
    <row r="213" spans="1:18" x14ac:dyDescent="0.35">
      <c r="A213" s="88">
        <f t="shared" si="6"/>
        <v>0</v>
      </c>
      <c r="B213" s="89"/>
      <c r="C213" s="90">
        <f t="shared" si="7"/>
        <v>0</v>
      </c>
      <c r="D213" s="97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</row>
    <row r="214" spans="1:18" x14ac:dyDescent="0.35">
      <c r="A214" s="88">
        <f t="shared" si="6"/>
        <v>0</v>
      </c>
      <c r="B214" s="89"/>
      <c r="C214" s="90">
        <f t="shared" si="7"/>
        <v>0</v>
      </c>
      <c r="D214" s="97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</row>
    <row r="215" spans="1:18" x14ac:dyDescent="0.35">
      <c r="A215" s="88">
        <f t="shared" si="6"/>
        <v>0</v>
      </c>
      <c r="B215" s="89"/>
      <c r="C215" s="90">
        <f t="shared" si="7"/>
        <v>0</v>
      </c>
      <c r="D215" s="97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9"/>
    </row>
    <row r="216" spans="1:18" x14ac:dyDescent="0.35">
      <c r="A216" s="88">
        <f t="shared" si="6"/>
        <v>0</v>
      </c>
      <c r="B216" s="89"/>
      <c r="C216" s="90">
        <f t="shared" si="7"/>
        <v>0</v>
      </c>
      <c r="D216" s="97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</row>
    <row r="217" spans="1:18" x14ac:dyDescent="0.35">
      <c r="A217" s="88">
        <f t="shared" si="6"/>
        <v>0</v>
      </c>
      <c r="B217" s="89"/>
      <c r="C217" s="90">
        <f t="shared" si="7"/>
        <v>0</v>
      </c>
      <c r="D217" s="97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</row>
    <row r="218" spans="1:18" x14ac:dyDescent="0.35">
      <c r="A218" s="88">
        <f t="shared" si="6"/>
        <v>0</v>
      </c>
      <c r="B218" s="89"/>
      <c r="C218" s="90">
        <f t="shared" si="7"/>
        <v>0</v>
      </c>
      <c r="D218" s="97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</row>
    <row r="219" spans="1:18" x14ac:dyDescent="0.35">
      <c r="A219" s="88">
        <f t="shared" si="6"/>
        <v>0</v>
      </c>
      <c r="B219" s="89"/>
      <c r="C219" s="90">
        <f t="shared" si="7"/>
        <v>0</v>
      </c>
      <c r="D219" s="97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9"/>
    </row>
    <row r="220" spans="1:18" x14ac:dyDescent="0.35">
      <c r="A220" s="88">
        <f t="shared" si="6"/>
        <v>0</v>
      </c>
      <c r="B220" s="89"/>
      <c r="C220" s="90">
        <f t="shared" si="7"/>
        <v>0</v>
      </c>
      <c r="D220" s="97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</row>
    <row r="221" spans="1:18" x14ac:dyDescent="0.35">
      <c r="A221" s="88">
        <f t="shared" si="6"/>
        <v>0</v>
      </c>
      <c r="B221" s="89"/>
      <c r="C221" s="90">
        <f t="shared" si="7"/>
        <v>0</v>
      </c>
      <c r="D221" s="97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</row>
    <row r="222" spans="1:18" x14ac:dyDescent="0.35">
      <c r="A222" s="88">
        <f t="shared" si="6"/>
        <v>0</v>
      </c>
      <c r="B222" s="89"/>
      <c r="C222" s="90">
        <f t="shared" si="7"/>
        <v>0</v>
      </c>
      <c r="D222" s="97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9"/>
    </row>
    <row r="223" spans="1:18" x14ac:dyDescent="0.35">
      <c r="A223" s="88">
        <f t="shared" si="6"/>
        <v>0</v>
      </c>
      <c r="B223" s="89"/>
      <c r="C223" s="90">
        <f t="shared" si="7"/>
        <v>0</v>
      </c>
      <c r="D223" s="97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9"/>
    </row>
    <row r="224" spans="1:18" x14ac:dyDescent="0.35">
      <c r="A224" s="88">
        <f t="shared" si="6"/>
        <v>0</v>
      </c>
      <c r="B224" s="89"/>
      <c r="C224" s="90">
        <f t="shared" si="7"/>
        <v>0</v>
      </c>
      <c r="D224" s="97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9"/>
    </row>
    <row r="225" spans="1:18" x14ac:dyDescent="0.35">
      <c r="A225" s="88">
        <f t="shared" si="6"/>
        <v>0</v>
      </c>
      <c r="B225" s="89"/>
      <c r="C225" s="90">
        <f t="shared" si="7"/>
        <v>0</v>
      </c>
      <c r="D225" s="97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9"/>
    </row>
    <row r="226" spans="1:18" x14ac:dyDescent="0.35">
      <c r="A226" s="88">
        <f t="shared" si="6"/>
        <v>0</v>
      </c>
      <c r="B226" s="89"/>
      <c r="C226" s="90">
        <f t="shared" si="7"/>
        <v>0</v>
      </c>
      <c r="D226" s="97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9"/>
    </row>
    <row r="227" spans="1:18" x14ac:dyDescent="0.35">
      <c r="A227" s="88">
        <f t="shared" si="6"/>
        <v>0</v>
      </c>
      <c r="B227" s="89"/>
      <c r="C227" s="90">
        <f t="shared" si="7"/>
        <v>0</v>
      </c>
      <c r="D227" s="97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9"/>
    </row>
    <row r="228" spans="1:18" x14ac:dyDescent="0.35">
      <c r="A228" s="88">
        <f t="shared" si="6"/>
        <v>0</v>
      </c>
      <c r="B228" s="89"/>
      <c r="C228" s="90">
        <f t="shared" si="7"/>
        <v>0</v>
      </c>
      <c r="D228" s="97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9"/>
    </row>
    <row r="229" spans="1:18" x14ac:dyDescent="0.35">
      <c r="A229" s="88">
        <f t="shared" si="6"/>
        <v>0</v>
      </c>
      <c r="B229" s="89"/>
      <c r="C229" s="90">
        <f t="shared" si="7"/>
        <v>0</v>
      </c>
      <c r="D229" s="97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9"/>
    </row>
    <row r="230" spans="1:18" x14ac:dyDescent="0.35">
      <c r="A230" s="88">
        <f t="shared" si="6"/>
        <v>0</v>
      </c>
      <c r="B230" s="89"/>
      <c r="C230" s="90">
        <f t="shared" si="7"/>
        <v>0</v>
      </c>
      <c r="D230" s="97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9"/>
    </row>
    <row r="231" spans="1:18" x14ac:dyDescent="0.35">
      <c r="A231" s="88">
        <f t="shared" si="6"/>
        <v>0</v>
      </c>
      <c r="B231" s="89"/>
      <c r="C231" s="90">
        <f t="shared" si="7"/>
        <v>0</v>
      </c>
      <c r="D231" s="97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9"/>
    </row>
    <row r="232" spans="1:18" x14ac:dyDescent="0.35">
      <c r="A232" s="88">
        <f t="shared" si="6"/>
        <v>0</v>
      </c>
      <c r="B232" s="89"/>
      <c r="C232" s="90">
        <f t="shared" si="7"/>
        <v>0</v>
      </c>
      <c r="D232" s="97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9"/>
    </row>
    <row r="233" spans="1:18" x14ac:dyDescent="0.35">
      <c r="A233" s="88">
        <f t="shared" si="6"/>
        <v>0</v>
      </c>
      <c r="B233" s="89"/>
      <c r="C233" s="90">
        <f t="shared" si="7"/>
        <v>0</v>
      </c>
      <c r="D233" s="97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9"/>
    </row>
    <row r="234" spans="1:18" x14ac:dyDescent="0.35">
      <c r="A234" s="88">
        <f t="shared" si="6"/>
        <v>0</v>
      </c>
      <c r="B234" s="89"/>
      <c r="C234" s="90">
        <f t="shared" si="7"/>
        <v>0</v>
      </c>
      <c r="D234" s="97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9"/>
    </row>
    <row r="235" spans="1:18" x14ac:dyDescent="0.35">
      <c r="A235" s="88">
        <f t="shared" si="6"/>
        <v>0</v>
      </c>
      <c r="B235" s="89"/>
      <c r="C235" s="90">
        <f t="shared" si="7"/>
        <v>0</v>
      </c>
      <c r="D235" s="97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9"/>
    </row>
    <row r="236" spans="1:18" x14ac:dyDescent="0.35">
      <c r="A236" s="88">
        <f t="shared" si="6"/>
        <v>0</v>
      </c>
      <c r="B236" s="89"/>
      <c r="C236" s="90">
        <f t="shared" si="7"/>
        <v>0</v>
      </c>
      <c r="D236" s="97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9"/>
    </row>
    <row r="237" spans="1:18" x14ac:dyDescent="0.35">
      <c r="A237" s="88">
        <f t="shared" si="6"/>
        <v>0</v>
      </c>
      <c r="B237" s="89"/>
      <c r="C237" s="90">
        <f t="shared" si="7"/>
        <v>0</v>
      </c>
      <c r="D237" s="97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9"/>
    </row>
    <row r="238" spans="1:18" x14ac:dyDescent="0.35">
      <c r="A238" s="88">
        <f t="shared" si="6"/>
        <v>0</v>
      </c>
      <c r="B238" s="89"/>
      <c r="C238" s="90">
        <f t="shared" si="7"/>
        <v>0</v>
      </c>
      <c r="D238" s="97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9"/>
    </row>
    <row r="239" spans="1:18" x14ac:dyDescent="0.35">
      <c r="A239" s="88">
        <f t="shared" si="6"/>
        <v>0</v>
      </c>
      <c r="B239" s="89"/>
      <c r="C239" s="90">
        <f t="shared" si="7"/>
        <v>0</v>
      </c>
      <c r="D239" s="97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9"/>
    </row>
    <row r="240" spans="1:18" x14ac:dyDescent="0.35">
      <c r="A240" s="88">
        <f t="shared" si="6"/>
        <v>0</v>
      </c>
      <c r="B240" s="89"/>
      <c r="C240" s="90">
        <f t="shared" si="7"/>
        <v>0</v>
      </c>
      <c r="D240" s="97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9"/>
    </row>
    <row r="241" spans="1:18" x14ac:dyDescent="0.35">
      <c r="A241" s="88">
        <f t="shared" si="6"/>
        <v>0</v>
      </c>
      <c r="B241" s="89"/>
      <c r="C241" s="90">
        <f t="shared" si="7"/>
        <v>0</v>
      </c>
      <c r="D241" s="97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9"/>
    </row>
    <row r="242" spans="1:18" x14ac:dyDescent="0.35">
      <c r="A242" s="88">
        <f t="shared" si="6"/>
        <v>0</v>
      </c>
      <c r="B242" s="89"/>
      <c r="C242" s="90">
        <f t="shared" si="7"/>
        <v>0</v>
      </c>
      <c r="D242" s="97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9"/>
    </row>
    <row r="243" spans="1:18" x14ac:dyDescent="0.35">
      <c r="A243" s="88">
        <f t="shared" si="6"/>
        <v>0</v>
      </c>
      <c r="B243" s="89"/>
      <c r="C243" s="90">
        <f t="shared" si="7"/>
        <v>0</v>
      </c>
      <c r="D243" s="97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9"/>
    </row>
    <row r="244" spans="1:18" x14ac:dyDescent="0.35">
      <c r="A244" s="88">
        <f t="shared" si="6"/>
        <v>0</v>
      </c>
      <c r="B244" s="89"/>
      <c r="C244" s="90">
        <f t="shared" si="7"/>
        <v>0</v>
      </c>
      <c r="D244" s="97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9"/>
    </row>
    <row r="245" spans="1:18" x14ac:dyDescent="0.35">
      <c r="A245" s="88">
        <f t="shared" si="6"/>
        <v>0</v>
      </c>
      <c r="B245" s="89"/>
      <c r="C245" s="90">
        <f t="shared" si="7"/>
        <v>0</v>
      </c>
      <c r="D245" s="97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9"/>
    </row>
    <row r="246" spans="1:18" x14ac:dyDescent="0.35">
      <c r="A246" s="88">
        <f t="shared" si="6"/>
        <v>0</v>
      </c>
      <c r="B246" s="89"/>
      <c r="C246" s="90">
        <f t="shared" si="7"/>
        <v>0</v>
      </c>
      <c r="D246" s="97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9"/>
    </row>
    <row r="247" spans="1:18" x14ac:dyDescent="0.35">
      <c r="A247" s="88">
        <f t="shared" si="6"/>
        <v>0</v>
      </c>
      <c r="B247" s="89"/>
      <c r="C247" s="90">
        <f t="shared" si="7"/>
        <v>0</v>
      </c>
      <c r="D247" s="97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9"/>
    </row>
    <row r="248" spans="1:18" x14ac:dyDescent="0.35">
      <c r="A248" s="88">
        <f t="shared" si="6"/>
        <v>0</v>
      </c>
      <c r="B248" s="89"/>
      <c r="C248" s="90">
        <f t="shared" si="7"/>
        <v>0</v>
      </c>
      <c r="D248" s="97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9"/>
    </row>
    <row r="249" spans="1:18" x14ac:dyDescent="0.35">
      <c r="A249" s="88">
        <f t="shared" si="6"/>
        <v>0</v>
      </c>
      <c r="B249" s="89"/>
      <c r="C249" s="90">
        <f t="shared" si="7"/>
        <v>0</v>
      </c>
      <c r="D249" s="97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9"/>
    </row>
    <row r="250" spans="1:18" x14ac:dyDescent="0.35">
      <c r="A250" s="88">
        <f t="shared" si="6"/>
        <v>0</v>
      </c>
      <c r="B250" s="89"/>
      <c r="C250" s="90">
        <f t="shared" si="7"/>
        <v>0</v>
      </c>
      <c r="D250" s="97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9"/>
    </row>
    <row r="251" spans="1:18" x14ac:dyDescent="0.35">
      <c r="A251" s="88">
        <f t="shared" si="6"/>
        <v>0</v>
      </c>
      <c r="B251" s="89"/>
      <c r="C251" s="90">
        <f t="shared" si="7"/>
        <v>0</v>
      </c>
      <c r="D251" s="97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9"/>
    </row>
    <row r="252" spans="1:18" x14ac:dyDescent="0.35">
      <c r="A252" s="88">
        <f t="shared" si="6"/>
        <v>0</v>
      </c>
      <c r="B252" s="89"/>
      <c r="C252" s="90">
        <f t="shared" si="7"/>
        <v>0</v>
      </c>
      <c r="D252" s="97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9"/>
    </row>
    <row r="253" spans="1:18" x14ac:dyDescent="0.35">
      <c r="A253" s="88">
        <f t="shared" si="6"/>
        <v>0</v>
      </c>
      <c r="B253" s="89"/>
      <c r="C253" s="90">
        <f t="shared" si="7"/>
        <v>0</v>
      </c>
      <c r="D253" s="97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9"/>
    </row>
    <row r="254" spans="1:18" x14ac:dyDescent="0.35">
      <c r="A254" s="88">
        <f t="shared" si="6"/>
        <v>0</v>
      </c>
      <c r="B254" s="89"/>
      <c r="C254" s="90">
        <f t="shared" si="7"/>
        <v>0</v>
      </c>
      <c r="D254" s="97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9"/>
    </row>
    <row r="255" spans="1:18" x14ac:dyDescent="0.35">
      <c r="A255" s="88">
        <f t="shared" si="6"/>
        <v>0</v>
      </c>
      <c r="B255" s="89"/>
      <c r="C255" s="90">
        <f t="shared" si="7"/>
        <v>0</v>
      </c>
      <c r="D255" s="97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9"/>
    </row>
    <row r="256" spans="1:18" x14ac:dyDescent="0.35">
      <c r="A256" s="88">
        <f t="shared" si="6"/>
        <v>0</v>
      </c>
      <c r="B256" s="89"/>
      <c r="C256" s="90">
        <f t="shared" si="7"/>
        <v>0</v>
      </c>
      <c r="D256" s="97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9"/>
    </row>
    <row r="257" spans="1:18" x14ac:dyDescent="0.35">
      <c r="A257" s="88">
        <f t="shared" si="6"/>
        <v>0</v>
      </c>
      <c r="B257" s="89"/>
      <c r="C257" s="90">
        <f t="shared" si="7"/>
        <v>0</v>
      </c>
      <c r="D257" s="97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9"/>
    </row>
    <row r="258" spans="1:18" x14ac:dyDescent="0.35">
      <c r="A258" s="88">
        <f t="shared" si="6"/>
        <v>0</v>
      </c>
      <c r="B258" s="89"/>
      <c r="C258" s="90">
        <f t="shared" si="7"/>
        <v>0</v>
      </c>
      <c r="D258" s="97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9"/>
    </row>
    <row r="259" spans="1:18" x14ac:dyDescent="0.35">
      <c r="A259" s="88">
        <f t="shared" si="6"/>
        <v>0</v>
      </c>
      <c r="B259" s="89"/>
      <c r="C259" s="90">
        <f t="shared" si="7"/>
        <v>0</v>
      </c>
      <c r="D259" s="97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9"/>
    </row>
    <row r="260" spans="1:18" x14ac:dyDescent="0.35">
      <c r="A260" s="88">
        <f t="shared" ref="A260:A323" si="8">F260</f>
        <v>0</v>
      </c>
      <c r="B260" s="89"/>
      <c r="C260" s="90">
        <f t="shared" ref="C260:C323" si="9">F260</f>
        <v>0</v>
      </c>
      <c r="D260" s="97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9"/>
    </row>
    <row r="261" spans="1:18" x14ac:dyDescent="0.35">
      <c r="A261" s="88">
        <f t="shared" si="8"/>
        <v>0</v>
      </c>
      <c r="B261" s="89"/>
      <c r="C261" s="90">
        <f t="shared" si="9"/>
        <v>0</v>
      </c>
      <c r="D261" s="97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9"/>
    </row>
    <row r="262" spans="1:18" x14ac:dyDescent="0.35">
      <c r="A262" s="88">
        <f t="shared" si="8"/>
        <v>0</v>
      </c>
      <c r="B262" s="89"/>
      <c r="C262" s="90">
        <f t="shared" si="9"/>
        <v>0</v>
      </c>
      <c r="D262" s="97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9"/>
    </row>
    <row r="263" spans="1:18" x14ac:dyDescent="0.35">
      <c r="A263" s="88">
        <f t="shared" si="8"/>
        <v>0</v>
      </c>
      <c r="B263" s="89"/>
      <c r="C263" s="90">
        <f t="shared" si="9"/>
        <v>0</v>
      </c>
      <c r="D263" s="97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9"/>
    </row>
    <row r="264" spans="1:18" x14ac:dyDescent="0.35">
      <c r="A264" s="88">
        <f t="shared" si="8"/>
        <v>0</v>
      </c>
      <c r="B264" s="89"/>
      <c r="C264" s="90">
        <f t="shared" si="9"/>
        <v>0</v>
      </c>
      <c r="D264" s="97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9"/>
    </row>
    <row r="265" spans="1:18" x14ac:dyDescent="0.35">
      <c r="A265" s="88">
        <f t="shared" si="8"/>
        <v>0</v>
      </c>
      <c r="B265" s="89"/>
      <c r="C265" s="90">
        <f t="shared" si="9"/>
        <v>0</v>
      </c>
      <c r="D265" s="97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9"/>
    </row>
    <row r="266" spans="1:18" x14ac:dyDescent="0.35">
      <c r="A266" s="88">
        <f t="shared" si="8"/>
        <v>0</v>
      </c>
      <c r="B266" s="89"/>
      <c r="C266" s="90">
        <f t="shared" si="9"/>
        <v>0</v>
      </c>
      <c r="D266" s="97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9"/>
    </row>
    <row r="267" spans="1:18" x14ac:dyDescent="0.35">
      <c r="A267" s="88">
        <f t="shared" si="8"/>
        <v>0</v>
      </c>
      <c r="B267" s="89"/>
      <c r="C267" s="90">
        <f t="shared" si="9"/>
        <v>0</v>
      </c>
      <c r="D267" s="97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9"/>
    </row>
    <row r="268" spans="1:18" x14ac:dyDescent="0.35">
      <c r="A268" s="88">
        <f t="shared" si="8"/>
        <v>0</v>
      </c>
      <c r="B268" s="89"/>
      <c r="C268" s="90">
        <f t="shared" si="9"/>
        <v>0</v>
      </c>
      <c r="D268" s="97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9"/>
    </row>
    <row r="269" spans="1:18" x14ac:dyDescent="0.35">
      <c r="A269" s="88">
        <f t="shared" si="8"/>
        <v>0</v>
      </c>
      <c r="B269" s="89"/>
      <c r="C269" s="90">
        <f t="shared" si="9"/>
        <v>0</v>
      </c>
      <c r="D269" s="97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9"/>
    </row>
    <row r="270" spans="1:18" x14ac:dyDescent="0.35">
      <c r="A270" s="88">
        <f t="shared" si="8"/>
        <v>0</v>
      </c>
      <c r="B270" s="89"/>
      <c r="C270" s="90">
        <f t="shared" si="9"/>
        <v>0</v>
      </c>
      <c r="D270" s="97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9"/>
    </row>
    <row r="271" spans="1:18" x14ac:dyDescent="0.35">
      <c r="A271" s="88">
        <f t="shared" si="8"/>
        <v>0</v>
      </c>
      <c r="B271" s="89"/>
      <c r="C271" s="90">
        <f t="shared" si="9"/>
        <v>0</v>
      </c>
      <c r="D271" s="97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9"/>
    </row>
    <row r="272" spans="1:18" x14ac:dyDescent="0.35">
      <c r="A272" s="88">
        <f t="shared" si="8"/>
        <v>0</v>
      </c>
      <c r="B272" s="89"/>
      <c r="C272" s="90">
        <f t="shared" si="9"/>
        <v>0</v>
      </c>
      <c r="D272" s="97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9"/>
    </row>
    <row r="273" spans="1:18" x14ac:dyDescent="0.35">
      <c r="A273" s="88">
        <f t="shared" si="8"/>
        <v>0</v>
      </c>
      <c r="B273" s="89"/>
      <c r="C273" s="90">
        <f t="shared" si="9"/>
        <v>0</v>
      </c>
      <c r="D273" s="97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9"/>
    </row>
    <row r="274" spans="1:18" x14ac:dyDescent="0.35">
      <c r="A274" s="88">
        <f t="shared" si="8"/>
        <v>0</v>
      </c>
      <c r="B274" s="89"/>
      <c r="C274" s="90">
        <f t="shared" si="9"/>
        <v>0</v>
      </c>
      <c r="D274" s="97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9"/>
    </row>
    <row r="275" spans="1:18" x14ac:dyDescent="0.35">
      <c r="A275" s="88">
        <f t="shared" si="8"/>
        <v>0</v>
      </c>
      <c r="B275" s="89"/>
      <c r="C275" s="90">
        <f t="shared" si="9"/>
        <v>0</v>
      </c>
      <c r="D275" s="97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9"/>
    </row>
    <row r="276" spans="1:18" x14ac:dyDescent="0.35">
      <c r="A276" s="88">
        <f t="shared" si="8"/>
        <v>0</v>
      </c>
      <c r="B276" s="89"/>
      <c r="C276" s="90">
        <f t="shared" si="9"/>
        <v>0</v>
      </c>
      <c r="D276" s="97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9"/>
    </row>
    <row r="277" spans="1:18" x14ac:dyDescent="0.35">
      <c r="A277" s="88">
        <f t="shared" si="8"/>
        <v>0</v>
      </c>
      <c r="B277" s="89"/>
      <c r="C277" s="90">
        <f t="shared" si="9"/>
        <v>0</v>
      </c>
      <c r="D277" s="97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9"/>
    </row>
    <row r="278" spans="1:18" x14ac:dyDescent="0.35">
      <c r="A278" s="88">
        <f t="shared" si="8"/>
        <v>0</v>
      </c>
      <c r="B278" s="89"/>
      <c r="C278" s="90">
        <f t="shared" si="9"/>
        <v>0</v>
      </c>
      <c r="D278" s="97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9"/>
    </row>
    <row r="279" spans="1:18" x14ac:dyDescent="0.35">
      <c r="A279" s="88">
        <f t="shared" si="8"/>
        <v>0</v>
      </c>
      <c r="B279" s="89"/>
      <c r="C279" s="90">
        <f t="shared" si="9"/>
        <v>0</v>
      </c>
      <c r="D279" s="97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9"/>
    </row>
    <row r="280" spans="1:18" x14ac:dyDescent="0.35">
      <c r="A280" s="88">
        <f t="shared" si="8"/>
        <v>0</v>
      </c>
      <c r="B280" s="89"/>
      <c r="C280" s="90">
        <f t="shared" si="9"/>
        <v>0</v>
      </c>
      <c r="D280" s="97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9"/>
    </row>
    <row r="281" spans="1:18" x14ac:dyDescent="0.35">
      <c r="A281" s="88">
        <f t="shared" si="8"/>
        <v>0</v>
      </c>
      <c r="B281" s="89"/>
      <c r="C281" s="90">
        <f t="shared" si="9"/>
        <v>0</v>
      </c>
      <c r="D281" s="97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9"/>
    </row>
    <row r="282" spans="1:18" x14ac:dyDescent="0.35">
      <c r="A282" s="88">
        <f t="shared" si="8"/>
        <v>0</v>
      </c>
      <c r="B282" s="89"/>
      <c r="C282" s="90">
        <f t="shared" si="9"/>
        <v>0</v>
      </c>
      <c r="D282" s="97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9"/>
    </row>
    <row r="283" spans="1:18" x14ac:dyDescent="0.35">
      <c r="A283" s="88">
        <f t="shared" si="8"/>
        <v>0</v>
      </c>
      <c r="B283" s="89"/>
      <c r="C283" s="90">
        <f t="shared" si="9"/>
        <v>0</v>
      </c>
      <c r="D283" s="97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9"/>
    </row>
    <row r="284" spans="1:18" x14ac:dyDescent="0.35">
      <c r="A284" s="88">
        <f t="shared" si="8"/>
        <v>0</v>
      </c>
      <c r="B284" s="89"/>
      <c r="C284" s="90">
        <f t="shared" si="9"/>
        <v>0</v>
      </c>
      <c r="D284" s="97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9"/>
    </row>
    <row r="285" spans="1:18" x14ac:dyDescent="0.35">
      <c r="A285" s="88">
        <f t="shared" si="8"/>
        <v>0</v>
      </c>
      <c r="B285" s="89"/>
      <c r="C285" s="90">
        <f t="shared" si="9"/>
        <v>0</v>
      </c>
      <c r="D285" s="97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9"/>
    </row>
    <row r="286" spans="1:18" x14ac:dyDescent="0.35">
      <c r="A286" s="88">
        <f t="shared" si="8"/>
        <v>0</v>
      </c>
      <c r="B286" s="89"/>
      <c r="C286" s="90">
        <f t="shared" si="9"/>
        <v>0</v>
      </c>
      <c r="D286" s="97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9"/>
    </row>
    <row r="287" spans="1:18" x14ac:dyDescent="0.35">
      <c r="A287" s="88">
        <f t="shared" si="8"/>
        <v>0</v>
      </c>
      <c r="B287" s="89"/>
      <c r="C287" s="90">
        <f t="shared" si="9"/>
        <v>0</v>
      </c>
      <c r="D287" s="97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9"/>
    </row>
    <row r="288" spans="1:18" x14ac:dyDescent="0.35">
      <c r="A288" s="88">
        <f t="shared" si="8"/>
        <v>0</v>
      </c>
      <c r="B288" s="89"/>
      <c r="C288" s="90">
        <f t="shared" si="9"/>
        <v>0</v>
      </c>
      <c r="D288" s="97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9"/>
    </row>
    <row r="289" spans="1:18" x14ac:dyDescent="0.35">
      <c r="A289" s="88">
        <f t="shared" si="8"/>
        <v>0</v>
      </c>
      <c r="B289" s="89"/>
      <c r="C289" s="90">
        <f t="shared" si="9"/>
        <v>0</v>
      </c>
      <c r="D289" s="97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9"/>
    </row>
    <row r="290" spans="1:18" x14ac:dyDescent="0.35">
      <c r="A290" s="88">
        <f t="shared" si="8"/>
        <v>0</v>
      </c>
      <c r="B290" s="89"/>
      <c r="C290" s="90">
        <f t="shared" si="9"/>
        <v>0</v>
      </c>
      <c r="D290" s="97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9"/>
    </row>
    <row r="291" spans="1:18" x14ac:dyDescent="0.35">
      <c r="A291" s="88">
        <f t="shared" si="8"/>
        <v>0</v>
      </c>
      <c r="B291" s="89"/>
      <c r="C291" s="90">
        <f t="shared" si="9"/>
        <v>0</v>
      </c>
      <c r="D291" s="97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9"/>
    </row>
    <row r="292" spans="1:18" x14ac:dyDescent="0.35">
      <c r="A292" s="88">
        <f t="shared" si="8"/>
        <v>0</v>
      </c>
      <c r="B292" s="89"/>
      <c r="C292" s="90">
        <f t="shared" si="9"/>
        <v>0</v>
      </c>
      <c r="D292" s="97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9"/>
    </row>
    <row r="293" spans="1:18" x14ac:dyDescent="0.35">
      <c r="A293" s="88">
        <f t="shared" si="8"/>
        <v>0</v>
      </c>
      <c r="B293" s="89"/>
      <c r="C293" s="90">
        <f t="shared" si="9"/>
        <v>0</v>
      </c>
      <c r="D293" s="97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9"/>
    </row>
    <row r="294" spans="1:18" x14ac:dyDescent="0.35">
      <c r="A294" s="88">
        <f t="shared" si="8"/>
        <v>0</v>
      </c>
      <c r="B294" s="89"/>
      <c r="C294" s="90">
        <f t="shared" si="9"/>
        <v>0</v>
      </c>
      <c r="D294" s="97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9"/>
    </row>
    <row r="295" spans="1:18" x14ac:dyDescent="0.35">
      <c r="A295" s="88">
        <f t="shared" si="8"/>
        <v>0</v>
      </c>
      <c r="B295" s="89"/>
      <c r="C295" s="90">
        <f t="shared" si="9"/>
        <v>0</v>
      </c>
      <c r="D295" s="97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9"/>
    </row>
    <row r="296" spans="1:18" x14ac:dyDescent="0.35">
      <c r="A296" s="88">
        <f t="shared" si="8"/>
        <v>0</v>
      </c>
      <c r="B296" s="89"/>
      <c r="C296" s="90">
        <f t="shared" si="9"/>
        <v>0</v>
      </c>
      <c r="D296" s="97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9"/>
    </row>
    <row r="297" spans="1:18" x14ac:dyDescent="0.35">
      <c r="A297" s="88">
        <f t="shared" si="8"/>
        <v>0</v>
      </c>
      <c r="B297" s="89"/>
      <c r="C297" s="90">
        <f t="shared" si="9"/>
        <v>0</v>
      </c>
      <c r="D297" s="97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9"/>
    </row>
    <row r="298" spans="1:18" x14ac:dyDescent="0.35">
      <c r="A298" s="88">
        <f t="shared" si="8"/>
        <v>0</v>
      </c>
      <c r="B298" s="89"/>
      <c r="C298" s="90">
        <f t="shared" si="9"/>
        <v>0</v>
      </c>
      <c r="D298" s="97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9"/>
    </row>
    <row r="299" spans="1:18" x14ac:dyDescent="0.35">
      <c r="A299" s="88">
        <f t="shared" si="8"/>
        <v>0</v>
      </c>
      <c r="B299" s="89"/>
      <c r="C299" s="90">
        <f t="shared" si="9"/>
        <v>0</v>
      </c>
      <c r="D299" s="97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9"/>
    </row>
    <row r="300" spans="1:18" x14ac:dyDescent="0.35">
      <c r="A300" s="88">
        <f t="shared" si="8"/>
        <v>0</v>
      </c>
      <c r="B300" s="89"/>
      <c r="C300" s="90">
        <f t="shared" si="9"/>
        <v>0</v>
      </c>
      <c r="D300" s="97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9"/>
    </row>
    <row r="301" spans="1:18" x14ac:dyDescent="0.35">
      <c r="A301" s="88">
        <f t="shared" si="8"/>
        <v>0</v>
      </c>
      <c r="B301" s="89"/>
      <c r="C301" s="90">
        <f t="shared" si="9"/>
        <v>0</v>
      </c>
      <c r="D301" s="97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9"/>
    </row>
    <row r="302" spans="1:18" x14ac:dyDescent="0.35">
      <c r="A302" s="88">
        <f t="shared" si="8"/>
        <v>0</v>
      </c>
      <c r="B302" s="89"/>
      <c r="C302" s="90">
        <f t="shared" si="9"/>
        <v>0</v>
      </c>
      <c r="D302" s="97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9"/>
    </row>
    <row r="303" spans="1:18" x14ac:dyDescent="0.35">
      <c r="A303" s="88">
        <f t="shared" si="8"/>
        <v>0</v>
      </c>
      <c r="B303" s="89"/>
      <c r="C303" s="90">
        <f t="shared" si="9"/>
        <v>0</v>
      </c>
      <c r="D303" s="97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9"/>
    </row>
    <row r="304" spans="1:18" x14ac:dyDescent="0.35">
      <c r="A304" s="88">
        <f t="shared" si="8"/>
        <v>0</v>
      </c>
      <c r="B304" s="89"/>
      <c r="C304" s="90">
        <f t="shared" si="9"/>
        <v>0</v>
      </c>
      <c r="D304" s="97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9"/>
    </row>
    <row r="305" spans="1:18" x14ac:dyDescent="0.35">
      <c r="A305" s="88">
        <f t="shared" si="8"/>
        <v>0</v>
      </c>
      <c r="B305" s="89"/>
      <c r="C305" s="90">
        <f t="shared" si="9"/>
        <v>0</v>
      </c>
      <c r="D305" s="97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9"/>
    </row>
    <row r="306" spans="1:18" x14ac:dyDescent="0.35">
      <c r="A306" s="88">
        <f t="shared" si="8"/>
        <v>0</v>
      </c>
      <c r="B306" s="89"/>
      <c r="C306" s="90">
        <f t="shared" si="9"/>
        <v>0</v>
      </c>
      <c r="D306" s="97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9"/>
    </row>
    <row r="307" spans="1:18" x14ac:dyDescent="0.35">
      <c r="A307" s="88">
        <f t="shared" si="8"/>
        <v>0</v>
      </c>
      <c r="B307" s="89"/>
      <c r="C307" s="90">
        <f t="shared" si="9"/>
        <v>0</v>
      </c>
      <c r="D307" s="97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9"/>
    </row>
    <row r="308" spans="1:18" x14ac:dyDescent="0.35">
      <c r="A308" s="88">
        <f t="shared" si="8"/>
        <v>0</v>
      </c>
      <c r="B308" s="89"/>
      <c r="C308" s="90">
        <f t="shared" si="9"/>
        <v>0</v>
      </c>
      <c r="D308" s="97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9"/>
    </row>
    <row r="309" spans="1:18" x14ac:dyDescent="0.35">
      <c r="A309" s="88">
        <f t="shared" si="8"/>
        <v>0</v>
      </c>
      <c r="B309" s="89"/>
      <c r="C309" s="90">
        <f t="shared" si="9"/>
        <v>0</v>
      </c>
      <c r="D309" s="97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9"/>
    </row>
    <row r="310" spans="1:18" x14ac:dyDescent="0.35">
      <c r="A310" s="88">
        <f t="shared" si="8"/>
        <v>0</v>
      </c>
      <c r="B310" s="89"/>
      <c r="C310" s="90">
        <f t="shared" si="9"/>
        <v>0</v>
      </c>
      <c r="D310" s="97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9"/>
    </row>
    <row r="311" spans="1:18" x14ac:dyDescent="0.35">
      <c r="A311" s="88">
        <f t="shared" si="8"/>
        <v>0</v>
      </c>
      <c r="B311" s="89"/>
      <c r="C311" s="90">
        <f t="shared" si="9"/>
        <v>0</v>
      </c>
      <c r="D311" s="97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9"/>
    </row>
    <row r="312" spans="1:18" x14ac:dyDescent="0.35">
      <c r="A312" s="88">
        <f t="shared" si="8"/>
        <v>0</v>
      </c>
      <c r="B312" s="89"/>
      <c r="C312" s="90">
        <f t="shared" si="9"/>
        <v>0</v>
      </c>
      <c r="D312" s="97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9"/>
    </row>
    <row r="313" spans="1:18" x14ac:dyDescent="0.35">
      <c r="A313" s="88">
        <f t="shared" si="8"/>
        <v>0</v>
      </c>
      <c r="B313" s="89"/>
      <c r="C313" s="90">
        <f t="shared" si="9"/>
        <v>0</v>
      </c>
      <c r="D313" s="97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9"/>
    </row>
    <row r="314" spans="1:18" x14ac:dyDescent="0.35">
      <c r="A314" s="88">
        <f t="shared" si="8"/>
        <v>0</v>
      </c>
      <c r="B314" s="89"/>
      <c r="C314" s="90">
        <f t="shared" si="9"/>
        <v>0</v>
      </c>
      <c r="D314" s="97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9"/>
    </row>
    <row r="315" spans="1:18" x14ac:dyDescent="0.35">
      <c r="A315" s="88">
        <f t="shared" si="8"/>
        <v>0</v>
      </c>
      <c r="B315" s="89"/>
      <c r="C315" s="90">
        <f t="shared" si="9"/>
        <v>0</v>
      </c>
      <c r="D315" s="97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9"/>
    </row>
    <row r="316" spans="1:18" x14ac:dyDescent="0.35">
      <c r="A316" s="88">
        <f t="shared" si="8"/>
        <v>0</v>
      </c>
      <c r="B316" s="89"/>
      <c r="C316" s="90">
        <f t="shared" si="9"/>
        <v>0</v>
      </c>
      <c r="D316" s="97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9"/>
    </row>
    <row r="317" spans="1:18" x14ac:dyDescent="0.35">
      <c r="A317" s="88">
        <f t="shared" si="8"/>
        <v>0</v>
      </c>
      <c r="B317" s="89"/>
      <c r="C317" s="90">
        <f t="shared" si="9"/>
        <v>0</v>
      </c>
      <c r="D317" s="97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9"/>
    </row>
    <row r="318" spans="1:18" x14ac:dyDescent="0.35">
      <c r="A318" s="88">
        <f t="shared" si="8"/>
        <v>0</v>
      </c>
      <c r="B318" s="89"/>
      <c r="C318" s="90">
        <f t="shared" si="9"/>
        <v>0</v>
      </c>
      <c r="D318" s="97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9"/>
    </row>
    <row r="319" spans="1:18" x14ac:dyDescent="0.35">
      <c r="A319" s="88">
        <f t="shared" si="8"/>
        <v>0</v>
      </c>
      <c r="B319" s="89"/>
      <c r="C319" s="90">
        <f t="shared" si="9"/>
        <v>0</v>
      </c>
      <c r="D319" s="97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9"/>
    </row>
    <row r="320" spans="1:18" x14ac:dyDescent="0.35">
      <c r="A320" s="88">
        <f t="shared" si="8"/>
        <v>0</v>
      </c>
      <c r="B320" s="89"/>
      <c r="C320" s="90">
        <f t="shared" si="9"/>
        <v>0</v>
      </c>
      <c r="D320" s="97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9"/>
    </row>
    <row r="321" spans="1:18" x14ac:dyDescent="0.35">
      <c r="A321" s="88">
        <f t="shared" si="8"/>
        <v>0</v>
      </c>
      <c r="B321" s="89"/>
      <c r="C321" s="90">
        <f t="shared" si="9"/>
        <v>0</v>
      </c>
      <c r="D321" s="97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9"/>
    </row>
    <row r="322" spans="1:18" x14ac:dyDescent="0.35">
      <c r="A322" s="88">
        <f t="shared" si="8"/>
        <v>0</v>
      </c>
      <c r="B322" s="89"/>
      <c r="C322" s="90">
        <f t="shared" si="9"/>
        <v>0</v>
      </c>
      <c r="D322" s="97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9"/>
    </row>
    <row r="323" spans="1:18" x14ac:dyDescent="0.35">
      <c r="A323" s="88">
        <f t="shared" si="8"/>
        <v>0</v>
      </c>
      <c r="B323" s="89"/>
      <c r="C323" s="90">
        <f t="shared" si="9"/>
        <v>0</v>
      </c>
      <c r="D323" s="97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9"/>
    </row>
    <row r="324" spans="1:18" x14ac:dyDescent="0.35">
      <c r="A324" s="88">
        <f t="shared" ref="A324:A387" si="10">F324</f>
        <v>0</v>
      </c>
      <c r="B324" s="89"/>
      <c r="C324" s="90">
        <f t="shared" ref="C324:C387" si="11">F324</f>
        <v>0</v>
      </c>
      <c r="D324" s="97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9"/>
    </row>
    <row r="325" spans="1:18" x14ac:dyDescent="0.35">
      <c r="A325" s="88">
        <f t="shared" si="10"/>
        <v>0</v>
      </c>
      <c r="B325" s="89"/>
      <c r="C325" s="90">
        <f t="shared" si="11"/>
        <v>0</v>
      </c>
      <c r="D325" s="97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9"/>
    </row>
    <row r="326" spans="1:18" x14ac:dyDescent="0.35">
      <c r="A326" s="88">
        <f t="shared" si="10"/>
        <v>0</v>
      </c>
      <c r="B326" s="89"/>
      <c r="C326" s="90">
        <f t="shared" si="11"/>
        <v>0</v>
      </c>
      <c r="D326" s="97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9"/>
    </row>
    <row r="327" spans="1:18" x14ac:dyDescent="0.35">
      <c r="A327" s="88">
        <f t="shared" si="10"/>
        <v>0</v>
      </c>
      <c r="B327" s="89"/>
      <c r="C327" s="90">
        <f t="shared" si="11"/>
        <v>0</v>
      </c>
      <c r="D327" s="97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9"/>
    </row>
    <row r="328" spans="1:18" x14ac:dyDescent="0.35">
      <c r="A328" s="88">
        <f t="shared" si="10"/>
        <v>0</v>
      </c>
      <c r="B328" s="89"/>
      <c r="C328" s="90">
        <f t="shared" si="11"/>
        <v>0</v>
      </c>
      <c r="D328" s="97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9"/>
    </row>
    <row r="329" spans="1:18" x14ac:dyDescent="0.35">
      <c r="A329" s="88">
        <f t="shared" si="10"/>
        <v>0</v>
      </c>
      <c r="B329" s="89"/>
      <c r="C329" s="90">
        <f t="shared" si="11"/>
        <v>0</v>
      </c>
      <c r="D329" s="97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9"/>
    </row>
    <row r="330" spans="1:18" x14ac:dyDescent="0.35">
      <c r="A330" s="88">
        <f t="shared" si="10"/>
        <v>0</v>
      </c>
      <c r="B330" s="89"/>
      <c r="C330" s="90">
        <f t="shared" si="11"/>
        <v>0</v>
      </c>
      <c r="D330" s="97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9"/>
    </row>
    <row r="331" spans="1:18" x14ac:dyDescent="0.35">
      <c r="A331" s="88">
        <f t="shared" si="10"/>
        <v>0</v>
      </c>
      <c r="B331" s="89"/>
      <c r="C331" s="90">
        <f t="shared" si="11"/>
        <v>0</v>
      </c>
      <c r="D331" s="97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9"/>
    </row>
    <row r="332" spans="1:18" x14ac:dyDescent="0.35">
      <c r="A332" s="88">
        <f t="shared" si="10"/>
        <v>0</v>
      </c>
      <c r="B332" s="89"/>
      <c r="C332" s="90">
        <f t="shared" si="11"/>
        <v>0</v>
      </c>
      <c r="D332" s="97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9"/>
    </row>
    <row r="333" spans="1:18" x14ac:dyDescent="0.35">
      <c r="A333" s="88">
        <f t="shared" si="10"/>
        <v>0</v>
      </c>
      <c r="B333" s="89"/>
      <c r="C333" s="90">
        <f t="shared" si="11"/>
        <v>0</v>
      </c>
      <c r="D333" s="97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9"/>
    </row>
    <row r="334" spans="1:18" x14ac:dyDescent="0.35">
      <c r="A334" s="88">
        <f t="shared" si="10"/>
        <v>0</v>
      </c>
      <c r="B334" s="89"/>
      <c r="C334" s="90">
        <f t="shared" si="11"/>
        <v>0</v>
      </c>
      <c r="D334" s="97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9"/>
    </row>
    <row r="335" spans="1:18" x14ac:dyDescent="0.35">
      <c r="A335" s="88">
        <f t="shared" si="10"/>
        <v>0</v>
      </c>
      <c r="B335" s="89"/>
      <c r="C335" s="90">
        <f t="shared" si="11"/>
        <v>0</v>
      </c>
      <c r="D335" s="97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9"/>
    </row>
    <row r="336" spans="1:18" x14ac:dyDescent="0.35">
      <c r="A336" s="88">
        <f t="shared" si="10"/>
        <v>0</v>
      </c>
      <c r="B336" s="89"/>
      <c r="C336" s="90">
        <f t="shared" si="11"/>
        <v>0</v>
      </c>
      <c r="D336" s="97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9"/>
    </row>
    <row r="337" spans="1:18" x14ac:dyDescent="0.35">
      <c r="A337" s="88">
        <f t="shared" si="10"/>
        <v>0</v>
      </c>
      <c r="B337" s="89"/>
      <c r="C337" s="90">
        <f t="shared" si="11"/>
        <v>0</v>
      </c>
      <c r="D337" s="97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9"/>
    </row>
    <row r="338" spans="1:18" x14ac:dyDescent="0.35">
      <c r="A338" s="88">
        <f t="shared" si="10"/>
        <v>0</v>
      </c>
      <c r="B338" s="89"/>
      <c r="C338" s="90">
        <f t="shared" si="11"/>
        <v>0</v>
      </c>
      <c r="D338" s="97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9"/>
    </row>
    <row r="339" spans="1:18" x14ac:dyDescent="0.35">
      <c r="A339" s="88">
        <f t="shared" si="10"/>
        <v>0</v>
      </c>
      <c r="B339" s="89"/>
      <c r="C339" s="90">
        <f t="shared" si="11"/>
        <v>0</v>
      </c>
      <c r="D339" s="97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9"/>
    </row>
    <row r="340" spans="1:18" x14ac:dyDescent="0.35">
      <c r="A340" s="88">
        <f t="shared" si="10"/>
        <v>0</v>
      </c>
      <c r="B340" s="89"/>
      <c r="C340" s="90">
        <f t="shared" si="11"/>
        <v>0</v>
      </c>
      <c r="D340" s="97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9"/>
    </row>
    <row r="341" spans="1:18" x14ac:dyDescent="0.35">
      <c r="A341" s="88">
        <f t="shared" si="10"/>
        <v>0</v>
      </c>
      <c r="B341" s="89"/>
      <c r="C341" s="90">
        <f t="shared" si="11"/>
        <v>0</v>
      </c>
      <c r="D341" s="97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9"/>
    </row>
    <row r="342" spans="1:18" x14ac:dyDescent="0.35">
      <c r="A342" s="88">
        <f t="shared" si="10"/>
        <v>0</v>
      </c>
      <c r="B342" s="89"/>
      <c r="C342" s="90">
        <f t="shared" si="11"/>
        <v>0</v>
      </c>
      <c r="D342" s="97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9"/>
    </row>
    <row r="343" spans="1:18" x14ac:dyDescent="0.35">
      <c r="A343" s="88">
        <f t="shared" si="10"/>
        <v>0</v>
      </c>
      <c r="B343" s="89"/>
      <c r="C343" s="90">
        <f t="shared" si="11"/>
        <v>0</v>
      </c>
      <c r="D343" s="97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9"/>
    </row>
    <row r="344" spans="1:18" x14ac:dyDescent="0.35">
      <c r="A344" s="88">
        <f t="shared" si="10"/>
        <v>0</v>
      </c>
      <c r="B344" s="89"/>
      <c r="C344" s="90">
        <f t="shared" si="11"/>
        <v>0</v>
      </c>
      <c r="D344" s="97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9"/>
    </row>
    <row r="345" spans="1:18" x14ac:dyDescent="0.35">
      <c r="A345" s="88">
        <f t="shared" si="10"/>
        <v>0</v>
      </c>
      <c r="B345" s="89"/>
      <c r="C345" s="90">
        <f t="shared" si="11"/>
        <v>0</v>
      </c>
      <c r="D345" s="97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9"/>
    </row>
    <row r="346" spans="1:18" x14ac:dyDescent="0.35">
      <c r="A346" s="88">
        <f t="shared" si="10"/>
        <v>0</v>
      </c>
      <c r="B346" s="89"/>
      <c r="C346" s="90">
        <f t="shared" si="11"/>
        <v>0</v>
      </c>
      <c r="D346" s="97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9"/>
    </row>
    <row r="347" spans="1:18" x14ac:dyDescent="0.35">
      <c r="A347" s="88">
        <f t="shared" si="10"/>
        <v>0</v>
      </c>
      <c r="B347" s="89"/>
      <c r="C347" s="90">
        <f t="shared" si="11"/>
        <v>0</v>
      </c>
      <c r="D347" s="97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9"/>
    </row>
    <row r="348" spans="1:18" x14ac:dyDescent="0.35">
      <c r="A348" s="88">
        <f t="shared" si="10"/>
        <v>0</v>
      </c>
      <c r="B348" s="89"/>
      <c r="C348" s="90">
        <f t="shared" si="11"/>
        <v>0</v>
      </c>
      <c r="D348" s="97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9"/>
    </row>
    <row r="349" spans="1:18" x14ac:dyDescent="0.35">
      <c r="A349" s="88">
        <f t="shared" si="10"/>
        <v>0</v>
      </c>
      <c r="B349" s="89"/>
      <c r="C349" s="90">
        <f t="shared" si="11"/>
        <v>0</v>
      </c>
      <c r="D349" s="97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9"/>
    </row>
    <row r="350" spans="1:18" x14ac:dyDescent="0.35">
      <c r="A350" s="88">
        <f t="shared" si="10"/>
        <v>0</v>
      </c>
      <c r="B350" s="89"/>
      <c r="C350" s="90">
        <f t="shared" si="11"/>
        <v>0</v>
      </c>
      <c r="D350" s="97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9"/>
    </row>
    <row r="351" spans="1:18" x14ac:dyDescent="0.35">
      <c r="A351" s="88">
        <f t="shared" si="10"/>
        <v>0</v>
      </c>
      <c r="B351" s="89"/>
      <c r="C351" s="90">
        <f t="shared" si="11"/>
        <v>0</v>
      </c>
      <c r="D351" s="97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9"/>
    </row>
    <row r="352" spans="1:18" x14ac:dyDescent="0.35">
      <c r="A352" s="88">
        <f t="shared" si="10"/>
        <v>0</v>
      </c>
      <c r="B352" s="89"/>
      <c r="C352" s="90">
        <f t="shared" si="11"/>
        <v>0</v>
      </c>
      <c r="D352" s="97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9"/>
    </row>
    <row r="353" spans="1:18" x14ac:dyDescent="0.35">
      <c r="A353" s="88">
        <f t="shared" si="10"/>
        <v>0</v>
      </c>
      <c r="B353" s="89"/>
      <c r="C353" s="90">
        <f t="shared" si="11"/>
        <v>0</v>
      </c>
      <c r="D353" s="97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9"/>
    </row>
    <row r="354" spans="1:18" x14ac:dyDescent="0.35">
      <c r="A354" s="88">
        <f t="shared" si="10"/>
        <v>0</v>
      </c>
      <c r="B354" s="89"/>
      <c r="C354" s="90">
        <f t="shared" si="11"/>
        <v>0</v>
      </c>
      <c r="D354" s="97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9"/>
    </row>
    <row r="355" spans="1:18" x14ac:dyDescent="0.35">
      <c r="A355" s="88">
        <f t="shared" si="10"/>
        <v>0</v>
      </c>
      <c r="B355" s="89"/>
      <c r="C355" s="90">
        <f t="shared" si="11"/>
        <v>0</v>
      </c>
      <c r="D355" s="97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9"/>
    </row>
    <row r="356" spans="1:18" x14ac:dyDescent="0.35">
      <c r="A356" s="88">
        <f t="shared" si="10"/>
        <v>0</v>
      </c>
      <c r="B356" s="89"/>
      <c r="C356" s="90">
        <f t="shared" si="11"/>
        <v>0</v>
      </c>
      <c r="D356" s="97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9"/>
    </row>
    <row r="357" spans="1:18" x14ac:dyDescent="0.35">
      <c r="A357" s="88">
        <f t="shared" si="10"/>
        <v>0</v>
      </c>
      <c r="B357" s="89"/>
      <c r="C357" s="90">
        <f t="shared" si="11"/>
        <v>0</v>
      </c>
      <c r="D357" s="97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9"/>
    </row>
    <row r="358" spans="1:18" x14ac:dyDescent="0.35">
      <c r="A358" s="88">
        <f t="shared" si="10"/>
        <v>0</v>
      </c>
      <c r="B358" s="89"/>
      <c r="C358" s="90">
        <f t="shared" si="11"/>
        <v>0</v>
      </c>
      <c r="D358" s="97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9"/>
    </row>
    <row r="359" spans="1:18" x14ac:dyDescent="0.35">
      <c r="A359" s="88">
        <f t="shared" si="10"/>
        <v>0</v>
      </c>
      <c r="B359" s="89"/>
      <c r="C359" s="90">
        <f t="shared" si="11"/>
        <v>0</v>
      </c>
      <c r="D359" s="97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9"/>
    </row>
    <row r="360" spans="1:18" x14ac:dyDescent="0.35">
      <c r="A360" s="88">
        <f t="shared" si="10"/>
        <v>0</v>
      </c>
      <c r="B360" s="89"/>
      <c r="C360" s="90">
        <f t="shared" si="11"/>
        <v>0</v>
      </c>
      <c r="D360" s="97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9"/>
    </row>
    <row r="361" spans="1:18" x14ac:dyDescent="0.35">
      <c r="A361" s="88">
        <f t="shared" si="10"/>
        <v>0</v>
      </c>
      <c r="B361" s="89"/>
      <c r="C361" s="90">
        <f t="shared" si="11"/>
        <v>0</v>
      </c>
      <c r="D361" s="97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9"/>
    </row>
    <row r="362" spans="1:18" x14ac:dyDescent="0.35">
      <c r="A362" s="88">
        <f t="shared" si="10"/>
        <v>0</v>
      </c>
      <c r="B362" s="89"/>
      <c r="C362" s="90">
        <f t="shared" si="11"/>
        <v>0</v>
      </c>
      <c r="D362" s="97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9"/>
    </row>
    <row r="363" spans="1:18" x14ac:dyDescent="0.35">
      <c r="A363" s="88">
        <f t="shared" si="10"/>
        <v>0</v>
      </c>
      <c r="B363" s="89"/>
      <c r="C363" s="90">
        <f t="shared" si="11"/>
        <v>0</v>
      </c>
      <c r="D363" s="97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9"/>
    </row>
    <row r="364" spans="1:18" x14ac:dyDescent="0.35">
      <c r="A364" s="88">
        <f t="shared" si="10"/>
        <v>0</v>
      </c>
      <c r="B364" s="89"/>
      <c r="C364" s="90">
        <f t="shared" si="11"/>
        <v>0</v>
      </c>
      <c r="D364" s="97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9"/>
    </row>
    <row r="365" spans="1:18" x14ac:dyDescent="0.35">
      <c r="A365" s="88">
        <f t="shared" si="10"/>
        <v>0</v>
      </c>
      <c r="B365" s="89"/>
      <c r="C365" s="90">
        <f t="shared" si="11"/>
        <v>0</v>
      </c>
      <c r="D365" s="97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9"/>
    </row>
    <row r="366" spans="1:18" x14ac:dyDescent="0.35">
      <c r="A366" s="88">
        <f t="shared" si="10"/>
        <v>0</v>
      </c>
      <c r="B366" s="89"/>
      <c r="C366" s="90">
        <f t="shared" si="11"/>
        <v>0</v>
      </c>
      <c r="D366" s="97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9"/>
    </row>
    <row r="367" spans="1:18" x14ac:dyDescent="0.35">
      <c r="A367" s="88">
        <f t="shared" si="10"/>
        <v>0</v>
      </c>
      <c r="B367" s="89"/>
      <c r="C367" s="90">
        <f t="shared" si="11"/>
        <v>0</v>
      </c>
      <c r="D367" s="97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9"/>
    </row>
    <row r="368" spans="1:18" x14ac:dyDescent="0.35">
      <c r="A368" s="88">
        <f t="shared" si="10"/>
        <v>0</v>
      </c>
      <c r="B368" s="89"/>
      <c r="C368" s="90">
        <f t="shared" si="11"/>
        <v>0</v>
      </c>
      <c r="D368" s="97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9"/>
    </row>
    <row r="369" spans="1:18" x14ac:dyDescent="0.35">
      <c r="A369" s="88">
        <f t="shared" si="10"/>
        <v>0</v>
      </c>
      <c r="B369" s="89"/>
      <c r="C369" s="90">
        <f t="shared" si="11"/>
        <v>0</v>
      </c>
      <c r="D369" s="97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9"/>
    </row>
    <row r="370" spans="1:18" x14ac:dyDescent="0.35">
      <c r="A370" s="88">
        <f t="shared" si="10"/>
        <v>0</v>
      </c>
      <c r="B370" s="89"/>
      <c r="C370" s="90">
        <f t="shared" si="11"/>
        <v>0</v>
      </c>
      <c r="D370" s="97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9"/>
    </row>
    <row r="371" spans="1:18" x14ac:dyDescent="0.35">
      <c r="A371" s="88">
        <f t="shared" si="10"/>
        <v>0</v>
      </c>
      <c r="B371" s="89"/>
      <c r="C371" s="90">
        <f t="shared" si="11"/>
        <v>0</v>
      </c>
      <c r="D371" s="97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9"/>
    </row>
    <row r="372" spans="1:18" x14ac:dyDescent="0.35">
      <c r="A372" s="88">
        <f t="shared" si="10"/>
        <v>0</v>
      </c>
      <c r="B372" s="89"/>
      <c r="C372" s="90">
        <f t="shared" si="11"/>
        <v>0</v>
      </c>
      <c r="D372" s="97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9"/>
    </row>
    <row r="373" spans="1:18" x14ac:dyDescent="0.35">
      <c r="A373" s="88">
        <f t="shared" si="10"/>
        <v>0</v>
      </c>
      <c r="B373" s="89"/>
      <c r="C373" s="90">
        <f t="shared" si="11"/>
        <v>0</v>
      </c>
      <c r="D373" s="97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9"/>
    </row>
    <row r="374" spans="1:18" x14ac:dyDescent="0.35">
      <c r="A374" s="88">
        <f t="shared" si="10"/>
        <v>0</v>
      </c>
      <c r="B374" s="89"/>
      <c r="C374" s="90">
        <f t="shared" si="11"/>
        <v>0</v>
      </c>
      <c r="D374" s="97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9"/>
    </row>
    <row r="375" spans="1:18" x14ac:dyDescent="0.35">
      <c r="A375" s="88">
        <f t="shared" si="10"/>
        <v>0</v>
      </c>
      <c r="B375" s="89"/>
      <c r="C375" s="90">
        <f t="shared" si="11"/>
        <v>0</v>
      </c>
      <c r="D375" s="97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9"/>
    </row>
    <row r="376" spans="1:18" x14ac:dyDescent="0.35">
      <c r="A376" s="88">
        <f t="shared" si="10"/>
        <v>0</v>
      </c>
      <c r="B376" s="89"/>
      <c r="C376" s="90">
        <f t="shared" si="11"/>
        <v>0</v>
      </c>
      <c r="D376" s="97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9"/>
    </row>
    <row r="377" spans="1:18" x14ac:dyDescent="0.35">
      <c r="A377" s="88">
        <f t="shared" si="10"/>
        <v>0</v>
      </c>
      <c r="B377" s="89"/>
      <c r="C377" s="90">
        <f t="shared" si="11"/>
        <v>0</v>
      </c>
      <c r="D377" s="97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9"/>
    </row>
    <row r="378" spans="1:18" x14ac:dyDescent="0.35">
      <c r="A378" s="88">
        <f t="shared" si="10"/>
        <v>0</v>
      </c>
      <c r="B378" s="89"/>
      <c r="C378" s="90">
        <f t="shared" si="11"/>
        <v>0</v>
      </c>
      <c r="D378" s="97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9"/>
    </row>
    <row r="379" spans="1:18" x14ac:dyDescent="0.35">
      <c r="A379" s="88">
        <f t="shared" si="10"/>
        <v>0</v>
      </c>
      <c r="B379" s="89"/>
      <c r="C379" s="90">
        <f t="shared" si="11"/>
        <v>0</v>
      </c>
      <c r="D379" s="97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9"/>
    </row>
    <row r="380" spans="1:18" x14ac:dyDescent="0.35">
      <c r="A380" s="88">
        <f t="shared" si="10"/>
        <v>0</v>
      </c>
      <c r="B380" s="89"/>
      <c r="C380" s="90">
        <f t="shared" si="11"/>
        <v>0</v>
      </c>
      <c r="D380" s="97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9"/>
    </row>
    <row r="381" spans="1:18" x14ac:dyDescent="0.35">
      <c r="A381" s="88">
        <f t="shared" si="10"/>
        <v>0</v>
      </c>
      <c r="B381" s="89"/>
      <c r="C381" s="90">
        <f t="shared" si="11"/>
        <v>0</v>
      </c>
      <c r="D381" s="97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9"/>
    </row>
    <row r="382" spans="1:18" x14ac:dyDescent="0.35">
      <c r="A382" s="88">
        <f t="shared" si="10"/>
        <v>0</v>
      </c>
      <c r="B382" s="89"/>
      <c r="C382" s="90">
        <f t="shared" si="11"/>
        <v>0</v>
      </c>
      <c r="D382" s="97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9"/>
    </row>
    <row r="383" spans="1:18" x14ac:dyDescent="0.35">
      <c r="A383" s="88">
        <f t="shared" si="10"/>
        <v>0</v>
      </c>
      <c r="B383" s="89"/>
      <c r="C383" s="90">
        <f t="shared" si="11"/>
        <v>0</v>
      </c>
      <c r="D383" s="97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9"/>
    </row>
    <row r="384" spans="1:18" x14ac:dyDescent="0.35">
      <c r="A384" s="88">
        <f t="shared" si="10"/>
        <v>0</v>
      </c>
      <c r="B384" s="89"/>
      <c r="C384" s="90">
        <f t="shared" si="11"/>
        <v>0</v>
      </c>
      <c r="D384" s="97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9"/>
    </row>
    <row r="385" spans="1:18" x14ac:dyDescent="0.35">
      <c r="A385" s="88">
        <f t="shared" si="10"/>
        <v>0</v>
      </c>
      <c r="B385" s="89"/>
      <c r="C385" s="90">
        <f t="shared" si="11"/>
        <v>0</v>
      </c>
      <c r="D385" s="97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9"/>
    </row>
    <row r="386" spans="1:18" x14ac:dyDescent="0.35">
      <c r="A386" s="88">
        <f t="shared" si="10"/>
        <v>0</v>
      </c>
      <c r="B386" s="89"/>
      <c r="C386" s="90">
        <f t="shared" si="11"/>
        <v>0</v>
      </c>
      <c r="D386" s="97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9"/>
    </row>
    <row r="387" spans="1:18" x14ac:dyDescent="0.35">
      <c r="A387" s="88">
        <f t="shared" si="10"/>
        <v>0</v>
      </c>
      <c r="B387" s="89"/>
      <c r="C387" s="90">
        <f t="shared" si="11"/>
        <v>0</v>
      </c>
      <c r="D387" s="97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9"/>
    </row>
    <row r="388" spans="1:18" x14ac:dyDescent="0.35">
      <c r="A388" s="88">
        <f t="shared" ref="A388:A451" si="12">F388</f>
        <v>0</v>
      </c>
      <c r="B388" s="89"/>
      <c r="C388" s="90">
        <f t="shared" ref="C388:C451" si="13">F388</f>
        <v>0</v>
      </c>
      <c r="D388" s="97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9"/>
    </row>
    <row r="389" spans="1:18" x14ac:dyDescent="0.35">
      <c r="A389" s="88">
        <f t="shared" si="12"/>
        <v>0</v>
      </c>
      <c r="B389" s="89"/>
      <c r="C389" s="90">
        <f t="shared" si="13"/>
        <v>0</v>
      </c>
      <c r="D389" s="97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9"/>
    </row>
    <row r="390" spans="1:18" x14ac:dyDescent="0.35">
      <c r="A390" s="88">
        <f t="shared" si="12"/>
        <v>0</v>
      </c>
      <c r="B390" s="89"/>
      <c r="C390" s="90">
        <f t="shared" si="13"/>
        <v>0</v>
      </c>
      <c r="D390" s="97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9"/>
    </row>
    <row r="391" spans="1:18" x14ac:dyDescent="0.35">
      <c r="A391" s="88">
        <f t="shared" si="12"/>
        <v>0</v>
      </c>
      <c r="B391" s="89"/>
      <c r="C391" s="90">
        <f t="shared" si="13"/>
        <v>0</v>
      </c>
      <c r="D391" s="97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9"/>
    </row>
    <row r="392" spans="1:18" x14ac:dyDescent="0.35">
      <c r="A392" s="88">
        <f t="shared" si="12"/>
        <v>0</v>
      </c>
      <c r="B392" s="89"/>
      <c r="C392" s="90">
        <f t="shared" si="13"/>
        <v>0</v>
      </c>
      <c r="D392" s="97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9"/>
    </row>
    <row r="393" spans="1:18" x14ac:dyDescent="0.35">
      <c r="A393" s="88">
        <f t="shared" si="12"/>
        <v>0</v>
      </c>
      <c r="B393" s="89"/>
      <c r="C393" s="90">
        <f t="shared" si="13"/>
        <v>0</v>
      </c>
      <c r="D393" s="97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9"/>
    </row>
    <row r="394" spans="1:18" x14ac:dyDescent="0.35">
      <c r="A394" s="88">
        <f t="shared" si="12"/>
        <v>0</v>
      </c>
      <c r="B394" s="89"/>
      <c r="C394" s="90">
        <f t="shared" si="13"/>
        <v>0</v>
      </c>
      <c r="D394" s="97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9"/>
    </row>
    <row r="395" spans="1:18" x14ac:dyDescent="0.35">
      <c r="A395" s="88">
        <f t="shared" si="12"/>
        <v>0</v>
      </c>
      <c r="B395" s="89"/>
      <c r="C395" s="90">
        <f t="shared" si="13"/>
        <v>0</v>
      </c>
      <c r="D395" s="97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9"/>
    </row>
    <row r="396" spans="1:18" x14ac:dyDescent="0.35">
      <c r="A396" s="88">
        <f t="shared" si="12"/>
        <v>0</v>
      </c>
      <c r="B396" s="89"/>
      <c r="C396" s="90">
        <f t="shared" si="13"/>
        <v>0</v>
      </c>
      <c r="D396" s="97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9"/>
    </row>
    <row r="397" spans="1:18" x14ac:dyDescent="0.35">
      <c r="A397" s="88">
        <f t="shared" si="12"/>
        <v>0</v>
      </c>
      <c r="B397" s="89"/>
      <c r="C397" s="90">
        <f t="shared" si="13"/>
        <v>0</v>
      </c>
      <c r="D397" s="97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9"/>
    </row>
    <row r="398" spans="1:18" x14ac:dyDescent="0.35">
      <c r="A398" s="88">
        <f t="shared" si="12"/>
        <v>0</v>
      </c>
      <c r="B398" s="89"/>
      <c r="C398" s="90">
        <f t="shared" si="13"/>
        <v>0</v>
      </c>
      <c r="D398" s="97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9"/>
    </row>
    <row r="399" spans="1:18" x14ac:dyDescent="0.35">
      <c r="A399" s="88">
        <f t="shared" si="12"/>
        <v>0</v>
      </c>
      <c r="B399" s="89"/>
      <c r="C399" s="90">
        <f t="shared" si="13"/>
        <v>0</v>
      </c>
      <c r="D399" s="97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9"/>
    </row>
    <row r="400" spans="1:18" x14ac:dyDescent="0.35">
      <c r="A400" s="88">
        <f t="shared" si="12"/>
        <v>0</v>
      </c>
      <c r="B400" s="89"/>
      <c r="C400" s="90">
        <f t="shared" si="13"/>
        <v>0</v>
      </c>
      <c r="D400" s="97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9"/>
    </row>
    <row r="401" spans="1:18" x14ac:dyDescent="0.35">
      <c r="A401" s="88">
        <f t="shared" si="12"/>
        <v>0</v>
      </c>
      <c r="B401" s="89"/>
      <c r="C401" s="90">
        <f t="shared" si="13"/>
        <v>0</v>
      </c>
      <c r="D401" s="97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9"/>
    </row>
    <row r="402" spans="1:18" x14ac:dyDescent="0.35">
      <c r="A402" s="88">
        <f t="shared" si="12"/>
        <v>0</v>
      </c>
      <c r="B402" s="89"/>
      <c r="C402" s="90">
        <f t="shared" si="13"/>
        <v>0</v>
      </c>
      <c r="D402" s="97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9"/>
    </row>
    <row r="403" spans="1:18" x14ac:dyDescent="0.35">
      <c r="A403" s="88">
        <f t="shared" si="12"/>
        <v>0</v>
      </c>
      <c r="B403" s="89"/>
      <c r="C403" s="90">
        <f t="shared" si="13"/>
        <v>0</v>
      </c>
      <c r="D403" s="97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9"/>
    </row>
    <row r="404" spans="1:18" x14ac:dyDescent="0.35">
      <c r="A404" s="88">
        <f t="shared" si="12"/>
        <v>0</v>
      </c>
      <c r="B404" s="89"/>
      <c r="C404" s="90">
        <f t="shared" si="13"/>
        <v>0</v>
      </c>
      <c r="D404" s="97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9"/>
    </row>
    <row r="405" spans="1:18" x14ac:dyDescent="0.35">
      <c r="A405" s="88">
        <f t="shared" si="12"/>
        <v>0</v>
      </c>
      <c r="B405" s="89"/>
      <c r="C405" s="90">
        <f t="shared" si="13"/>
        <v>0</v>
      </c>
      <c r="D405" s="97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9"/>
    </row>
    <row r="406" spans="1:18" x14ac:dyDescent="0.35">
      <c r="A406" s="88">
        <f t="shared" si="12"/>
        <v>0</v>
      </c>
      <c r="B406" s="89"/>
      <c r="C406" s="90">
        <f t="shared" si="13"/>
        <v>0</v>
      </c>
      <c r="D406" s="97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9"/>
    </row>
    <row r="407" spans="1:18" x14ac:dyDescent="0.35">
      <c r="A407" s="88">
        <f t="shared" si="12"/>
        <v>0</v>
      </c>
      <c r="B407" s="89"/>
      <c r="C407" s="90">
        <f t="shared" si="13"/>
        <v>0</v>
      </c>
      <c r="D407" s="97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9"/>
    </row>
    <row r="408" spans="1:18" x14ac:dyDescent="0.35">
      <c r="A408" s="88">
        <f t="shared" si="12"/>
        <v>0</v>
      </c>
      <c r="B408" s="89"/>
      <c r="C408" s="90">
        <f t="shared" si="13"/>
        <v>0</v>
      </c>
      <c r="D408" s="97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9"/>
    </row>
    <row r="409" spans="1:18" x14ac:dyDescent="0.35">
      <c r="A409" s="88">
        <f t="shared" si="12"/>
        <v>0</v>
      </c>
      <c r="B409" s="89"/>
      <c r="C409" s="90">
        <f t="shared" si="13"/>
        <v>0</v>
      </c>
      <c r="D409" s="97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9"/>
    </row>
    <row r="410" spans="1:18" x14ac:dyDescent="0.35">
      <c r="A410" s="88">
        <f t="shared" si="12"/>
        <v>0</v>
      </c>
      <c r="B410" s="89"/>
      <c r="C410" s="90">
        <f t="shared" si="13"/>
        <v>0</v>
      </c>
      <c r="D410" s="97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9"/>
    </row>
    <row r="411" spans="1:18" x14ac:dyDescent="0.35">
      <c r="A411" s="88">
        <f t="shared" si="12"/>
        <v>0</v>
      </c>
      <c r="B411" s="89"/>
      <c r="C411" s="90">
        <f t="shared" si="13"/>
        <v>0</v>
      </c>
      <c r="D411" s="97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9"/>
    </row>
    <row r="412" spans="1:18" x14ac:dyDescent="0.35">
      <c r="A412" s="88">
        <f t="shared" si="12"/>
        <v>0</v>
      </c>
      <c r="B412" s="89"/>
      <c r="C412" s="90">
        <f t="shared" si="13"/>
        <v>0</v>
      </c>
      <c r="D412" s="97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9"/>
    </row>
    <row r="413" spans="1:18" x14ac:dyDescent="0.35">
      <c r="A413" s="88">
        <f t="shared" si="12"/>
        <v>0</v>
      </c>
      <c r="B413" s="89"/>
      <c r="C413" s="90">
        <f t="shared" si="13"/>
        <v>0</v>
      </c>
      <c r="D413" s="97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9"/>
    </row>
    <row r="414" spans="1:18" x14ac:dyDescent="0.35">
      <c r="A414" s="88">
        <f t="shared" si="12"/>
        <v>0</v>
      </c>
      <c r="B414" s="89"/>
      <c r="C414" s="90">
        <f t="shared" si="13"/>
        <v>0</v>
      </c>
      <c r="D414" s="97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9"/>
    </row>
    <row r="415" spans="1:18" x14ac:dyDescent="0.35">
      <c r="A415" s="88">
        <f t="shared" si="12"/>
        <v>0</v>
      </c>
      <c r="B415" s="89"/>
      <c r="C415" s="90">
        <f t="shared" si="13"/>
        <v>0</v>
      </c>
      <c r="D415" s="97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9"/>
    </row>
    <row r="416" spans="1:18" x14ac:dyDescent="0.35">
      <c r="A416" s="88">
        <f t="shared" si="12"/>
        <v>0</v>
      </c>
      <c r="B416" s="89"/>
      <c r="C416" s="90">
        <f t="shared" si="13"/>
        <v>0</v>
      </c>
      <c r="D416" s="97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9"/>
    </row>
    <row r="417" spans="1:18" x14ac:dyDescent="0.35">
      <c r="A417" s="88">
        <f t="shared" si="12"/>
        <v>0</v>
      </c>
      <c r="B417" s="89"/>
      <c r="C417" s="90">
        <f t="shared" si="13"/>
        <v>0</v>
      </c>
      <c r="D417" s="97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9"/>
    </row>
    <row r="418" spans="1:18" x14ac:dyDescent="0.35">
      <c r="A418" s="88">
        <f t="shared" si="12"/>
        <v>0</v>
      </c>
      <c r="B418" s="89"/>
      <c r="C418" s="90">
        <f t="shared" si="13"/>
        <v>0</v>
      </c>
      <c r="D418" s="97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9"/>
    </row>
    <row r="419" spans="1:18" x14ac:dyDescent="0.35">
      <c r="A419" s="88">
        <f t="shared" si="12"/>
        <v>0</v>
      </c>
      <c r="B419" s="89"/>
      <c r="C419" s="90">
        <f t="shared" si="13"/>
        <v>0</v>
      </c>
      <c r="D419" s="97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9"/>
    </row>
    <row r="420" spans="1:18" x14ac:dyDescent="0.35">
      <c r="A420" s="88">
        <f t="shared" si="12"/>
        <v>0</v>
      </c>
      <c r="B420" s="89"/>
      <c r="C420" s="90">
        <f t="shared" si="13"/>
        <v>0</v>
      </c>
      <c r="D420" s="97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9"/>
    </row>
    <row r="421" spans="1:18" x14ac:dyDescent="0.35">
      <c r="A421" s="88">
        <f t="shared" si="12"/>
        <v>0</v>
      </c>
      <c r="B421" s="89"/>
      <c r="C421" s="90">
        <f t="shared" si="13"/>
        <v>0</v>
      </c>
      <c r="D421" s="97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9"/>
    </row>
    <row r="422" spans="1:18" x14ac:dyDescent="0.35">
      <c r="A422" s="88">
        <f t="shared" si="12"/>
        <v>0</v>
      </c>
      <c r="B422" s="89"/>
      <c r="C422" s="90">
        <f t="shared" si="13"/>
        <v>0</v>
      </c>
      <c r="D422" s="97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9"/>
    </row>
    <row r="423" spans="1:18" x14ac:dyDescent="0.35">
      <c r="A423" s="88">
        <f t="shared" si="12"/>
        <v>0</v>
      </c>
      <c r="B423" s="89"/>
      <c r="C423" s="90">
        <f t="shared" si="13"/>
        <v>0</v>
      </c>
      <c r="D423" s="97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9"/>
    </row>
    <row r="424" spans="1:18" x14ac:dyDescent="0.35">
      <c r="A424" s="88">
        <f t="shared" si="12"/>
        <v>0</v>
      </c>
      <c r="B424" s="89"/>
      <c r="C424" s="90">
        <f t="shared" si="13"/>
        <v>0</v>
      </c>
      <c r="D424" s="97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9"/>
    </row>
    <row r="425" spans="1:18" x14ac:dyDescent="0.35">
      <c r="A425" s="88">
        <f t="shared" si="12"/>
        <v>0</v>
      </c>
      <c r="B425" s="89"/>
      <c r="C425" s="90">
        <f t="shared" si="13"/>
        <v>0</v>
      </c>
      <c r="D425" s="97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9"/>
    </row>
    <row r="426" spans="1:18" x14ac:dyDescent="0.35">
      <c r="A426" s="88">
        <f t="shared" si="12"/>
        <v>0</v>
      </c>
      <c r="B426" s="89"/>
      <c r="C426" s="90">
        <f t="shared" si="13"/>
        <v>0</v>
      </c>
      <c r="D426" s="97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9"/>
    </row>
    <row r="427" spans="1:18" x14ac:dyDescent="0.35">
      <c r="A427" s="88">
        <f t="shared" si="12"/>
        <v>0</v>
      </c>
      <c r="B427" s="89"/>
      <c r="C427" s="90">
        <f t="shared" si="13"/>
        <v>0</v>
      </c>
      <c r="D427" s="97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9"/>
    </row>
    <row r="428" spans="1:18" x14ac:dyDescent="0.35">
      <c r="A428" s="88">
        <f t="shared" si="12"/>
        <v>0</v>
      </c>
      <c r="B428" s="89"/>
      <c r="C428" s="90">
        <f t="shared" si="13"/>
        <v>0</v>
      </c>
      <c r="D428" s="97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9"/>
    </row>
    <row r="429" spans="1:18" x14ac:dyDescent="0.35">
      <c r="A429" s="88">
        <f t="shared" si="12"/>
        <v>0</v>
      </c>
      <c r="B429" s="89"/>
      <c r="C429" s="90">
        <f t="shared" si="13"/>
        <v>0</v>
      </c>
      <c r="D429" s="97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9"/>
    </row>
    <row r="430" spans="1:18" x14ac:dyDescent="0.35">
      <c r="A430" s="88">
        <f t="shared" si="12"/>
        <v>0</v>
      </c>
      <c r="B430" s="89"/>
      <c r="C430" s="90">
        <f t="shared" si="13"/>
        <v>0</v>
      </c>
      <c r="D430" s="97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9"/>
    </row>
    <row r="431" spans="1:18" x14ac:dyDescent="0.35">
      <c r="A431" s="88">
        <f t="shared" si="12"/>
        <v>0</v>
      </c>
      <c r="B431" s="89"/>
      <c r="C431" s="90">
        <f t="shared" si="13"/>
        <v>0</v>
      </c>
      <c r="D431" s="97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9"/>
    </row>
    <row r="432" spans="1:18" x14ac:dyDescent="0.35">
      <c r="A432" s="88">
        <f t="shared" si="12"/>
        <v>0</v>
      </c>
      <c r="B432" s="89"/>
      <c r="C432" s="90">
        <f t="shared" si="13"/>
        <v>0</v>
      </c>
      <c r="D432" s="97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9"/>
    </row>
    <row r="433" spans="1:18" x14ac:dyDescent="0.35">
      <c r="A433" s="88">
        <f t="shared" si="12"/>
        <v>0</v>
      </c>
      <c r="B433" s="89"/>
      <c r="C433" s="90">
        <f t="shared" si="13"/>
        <v>0</v>
      </c>
      <c r="D433" s="97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9"/>
    </row>
    <row r="434" spans="1:18" x14ac:dyDescent="0.35">
      <c r="A434" s="88">
        <f t="shared" si="12"/>
        <v>0</v>
      </c>
      <c r="B434" s="89"/>
      <c r="C434" s="90">
        <f t="shared" si="13"/>
        <v>0</v>
      </c>
      <c r="D434" s="97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9"/>
    </row>
    <row r="435" spans="1:18" x14ac:dyDescent="0.35">
      <c r="A435" s="88">
        <f t="shared" si="12"/>
        <v>0</v>
      </c>
      <c r="B435" s="89"/>
      <c r="C435" s="90">
        <f t="shared" si="13"/>
        <v>0</v>
      </c>
      <c r="D435" s="97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9"/>
    </row>
    <row r="436" spans="1:18" x14ac:dyDescent="0.35">
      <c r="A436" s="88">
        <f t="shared" si="12"/>
        <v>0</v>
      </c>
      <c r="B436" s="89"/>
      <c r="C436" s="90">
        <f t="shared" si="13"/>
        <v>0</v>
      </c>
      <c r="D436" s="97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9"/>
    </row>
    <row r="437" spans="1:18" x14ac:dyDescent="0.35">
      <c r="A437" s="88">
        <f t="shared" si="12"/>
        <v>0</v>
      </c>
      <c r="B437" s="89"/>
      <c r="C437" s="90">
        <f t="shared" si="13"/>
        <v>0</v>
      </c>
      <c r="D437" s="97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9"/>
    </row>
    <row r="438" spans="1:18" x14ac:dyDescent="0.35">
      <c r="A438" s="88">
        <f t="shared" si="12"/>
        <v>0</v>
      </c>
      <c r="B438" s="89"/>
      <c r="C438" s="90">
        <f t="shared" si="13"/>
        <v>0</v>
      </c>
      <c r="D438" s="97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9"/>
    </row>
    <row r="439" spans="1:18" x14ac:dyDescent="0.35">
      <c r="A439" s="88">
        <f t="shared" si="12"/>
        <v>0</v>
      </c>
      <c r="B439" s="89"/>
      <c r="C439" s="90">
        <f t="shared" si="13"/>
        <v>0</v>
      </c>
      <c r="D439" s="97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9"/>
    </row>
    <row r="440" spans="1:18" x14ac:dyDescent="0.35">
      <c r="A440" s="88">
        <f t="shared" si="12"/>
        <v>0</v>
      </c>
      <c r="B440" s="89"/>
      <c r="C440" s="90">
        <f t="shared" si="13"/>
        <v>0</v>
      </c>
      <c r="D440" s="97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9"/>
    </row>
    <row r="441" spans="1:18" x14ac:dyDescent="0.35">
      <c r="A441" s="88">
        <f t="shared" si="12"/>
        <v>0</v>
      </c>
      <c r="B441" s="89"/>
      <c r="C441" s="90">
        <f t="shared" si="13"/>
        <v>0</v>
      </c>
      <c r="D441" s="97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9"/>
    </row>
    <row r="442" spans="1:18" x14ac:dyDescent="0.35">
      <c r="A442" s="88">
        <f t="shared" si="12"/>
        <v>0</v>
      </c>
      <c r="B442" s="89"/>
      <c r="C442" s="90">
        <f t="shared" si="13"/>
        <v>0</v>
      </c>
      <c r="D442" s="97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9"/>
    </row>
    <row r="443" spans="1:18" x14ac:dyDescent="0.35">
      <c r="A443" s="88">
        <f t="shared" si="12"/>
        <v>0</v>
      </c>
      <c r="B443" s="89"/>
      <c r="C443" s="90">
        <f t="shared" si="13"/>
        <v>0</v>
      </c>
      <c r="D443" s="97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9"/>
    </row>
    <row r="444" spans="1:18" x14ac:dyDescent="0.35">
      <c r="A444" s="88">
        <f t="shared" si="12"/>
        <v>0</v>
      </c>
      <c r="B444" s="89"/>
      <c r="C444" s="90">
        <f t="shared" si="13"/>
        <v>0</v>
      </c>
      <c r="D444" s="97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9"/>
    </row>
    <row r="445" spans="1:18" x14ac:dyDescent="0.35">
      <c r="A445" s="88">
        <f t="shared" si="12"/>
        <v>0</v>
      </c>
      <c r="B445" s="89"/>
      <c r="C445" s="90">
        <f t="shared" si="13"/>
        <v>0</v>
      </c>
      <c r="D445" s="97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9"/>
    </row>
    <row r="446" spans="1:18" x14ac:dyDescent="0.35">
      <c r="A446" s="88">
        <f t="shared" si="12"/>
        <v>0</v>
      </c>
      <c r="B446" s="89"/>
      <c r="C446" s="90">
        <f t="shared" si="13"/>
        <v>0</v>
      </c>
      <c r="D446" s="97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9"/>
    </row>
    <row r="447" spans="1:18" x14ac:dyDescent="0.35">
      <c r="A447" s="88">
        <f t="shared" si="12"/>
        <v>0</v>
      </c>
      <c r="B447" s="89"/>
      <c r="C447" s="90">
        <f t="shared" si="13"/>
        <v>0</v>
      </c>
      <c r="D447" s="97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9"/>
    </row>
    <row r="448" spans="1:18" x14ac:dyDescent="0.35">
      <c r="A448" s="88">
        <f t="shared" si="12"/>
        <v>0</v>
      </c>
      <c r="B448" s="89"/>
      <c r="C448" s="90">
        <f t="shared" si="13"/>
        <v>0</v>
      </c>
      <c r="D448" s="97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9"/>
    </row>
    <row r="449" spans="1:18" x14ac:dyDescent="0.35">
      <c r="A449" s="88">
        <f t="shared" si="12"/>
        <v>0</v>
      </c>
      <c r="B449" s="89"/>
      <c r="C449" s="90">
        <f t="shared" si="13"/>
        <v>0</v>
      </c>
      <c r="D449" s="97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9"/>
    </row>
    <row r="450" spans="1:18" x14ac:dyDescent="0.35">
      <c r="A450" s="88">
        <f t="shared" si="12"/>
        <v>0</v>
      </c>
      <c r="B450" s="89"/>
      <c r="C450" s="90">
        <f t="shared" si="13"/>
        <v>0</v>
      </c>
      <c r="D450" s="97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9"/>
    </row>
    <row r="451" spans="1:18" x14ac:dyDescent="0.35">
      <c r="A451" s="88">
        <f t="shared" si="12"/>
        <v>0</v>
      </c>
      <c r="B451" s="89"/>
      <c r="C451" s="90">
        <f t="shared" si="13"/>
        <v>0</v>
      </c>
      <c r="D451" s="97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9"/>
    </row>
    <row r="452" spans="1:18" x14ac:dyDescent="0.35">
      <c r="A452" s="88">
        <f t="shared" ref="A452:A515" si="14">F452</f>
        <v>0</v>
      </c>
      <c r="B452" s="89"/>
      <c r="C452" s="90">
        <f t="shared" ref="C452:C515" si="15">F452</f>
        <v>0</v>
      </c>
      <c r="D452" s="97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9"/>
    </row>
    <row r="453" spans="1:18" x14ac:dyDescent="0.35">
      <c r="A453" s="88">
        <f t="shared" si="14"/>
        <v>0</v>
      </c>
      <c r="B453" s="89"/>
      <c r="C453" s="90">
        <f t="shared" si="15"/>
        <v>0</v>
      </c>
      <c r="D453" s="97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9"/>
    </row>
    <row r="454" spans="1:18" x14ac:dyDescent="0.35">
      <c r="A454" s="88">
        <f t="shared" si="14"/>
        <v>0</v>
      </c>
      <c r="B454" s="89"/>
      <c r="C454" s="90">
        <f t="shared" si="15"/>
        <v>0</v>
      </c>
      <c r="D454" s="97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9"/>
    </row>
    <row r="455" spans="1:18" x14ac:dyDescent="0.35">
      <c r="A455" s="88">
        <f t="shared" si="14"/>
        <v>0</v>
      </c>
      <c r="B455" s="89"/>
      <c r="C455" s="90">
        <f t="shared" si="15"/>
        <v>0</v>
      </c>
      <c r="D455" s="97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9"/>
    </row>
    <row r="456" spans="1:18" x14ac:dyDescent="0.35">
      <c r="A456" s="88">
        <f t="shared" si="14"/>
        <v>0</v>
      </c>
      <c r="B456" s="89"/>
      <c r="C456" s="90">
        <f t="shared" si="15"/>
        <v>0</v>
      </c>
      <c r="D456" s="97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9"/>
    </row>
    <row r="457" spans="1:18" x14ac:dyDescent="0.35">
      <c r="A457" s="88">
        <f t="shared" si="14"/>
        <v>0</v>
      </c>
      <c r="B457" s="89"/>
      <c r="C457" s="90">
        <f t="shared" si="15"/>
        <v>0</v>
      </c>
      <c r="D457" s="97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9"/>
    </row>
    <row r="458" spans="1:18" x14ac:dyDescent="0.35">
      <c r="A458" s="88">
        <f t="shared" si="14"/>
        <v>0</v>
      </c>
      <c r="B458" s="89"/>
      <c r="C458" s="90">
        <f t="shared" si="15"/>
        <v>0</v>
      </c>
      <c r="D458" s="97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9"/>
    </row>
    <row r="459" spans="1:18" x14ac:dyDescent="0.35">
      <c r="A459" s="88">
        <f t="shared" si="14"/>
        <v>0</v>
      </c>
      <c r="B459" s="89"/>
      <c r="C459" s="90">
        <f t="shared" si="15"/>
        <v>0</v>
      </c>
      <c r="D459" s="97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9"/>
    </row>
    <row r="460" spans="1:18" x14ac:dyDescent="0.35">
      <c r="A460" s="88">
        <f t="shared" si="14"/>
        <v>0</v>
      </c>
      <c r="B460" s="89"/>
      <c r="C460" s="90">
        <f t="shared" si="15"/>
        <v>0</v>
      </c>
      <c r="D460" s="97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9"/>
    </row>
    <row r="461" spans="1:18" x14ac:dyDescent="0.35">
      <c r="A461" s="88">
        <f t="shared" si="14"/>
        <v>0</v>
      </c>
      <c r="B461" s="89"/>
      <c r="C461" s="90">
        <f t="shared" si="15"/>
        <v>0</v>
      </c>
      <c r="D461" s="97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9"/>
    </row>
    <row r="462" spans="1:18" x14ac:dyDescent="0.35">
      <c r="A462" s="88">
        <f t="shared" si="14"/>
        <v>0</v>
      </c>
      <c r="B462" s="89"/>
      <c r="C462" s="90">
        <f t="shared" si="15"/>
        <v>0</v>
      </c>
      <c r="D462" s="97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9"/>
    </row>
    <row r="463" spans="1:18" x14ac:dyDescent="0.35">
      <c r="A463" s="88">
        <f t="shared" si="14"/>
        <v>0</v>
      </c>
      <c r="B463" s="89"/>
      <c r="C463" s="90">
        <f t="shared" si="15"/>
        <v>0</v>
      </c>
      <c r="D463" s="97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9"/>
    </row>
    <row r="464" spans="1:18" x14ac:dyDescent="0.35">
      <c r="A464" s="88">
        <f t="shared" si="14"/>
        <v>0</v>
      </c>
      <c r="B464" s="89"/>
      <c r="C464" s="90">
        <f t="shared" si="15"/>
        <v>0</v>
      </c>
      <c r="D464" s="97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9"/>
    </row>
    <row r="465" spans="1:18" x14ac:dyDescent="0.35">
      <c r="A465" s="88">
        <f t="shared" si="14"/>
        <v>0</v>
      </c>
      <c r="B465" s="89"/>
      <c r="C465" s="90">
        <f t="shared" si="15"/>
        <v>0</v>
      </c>
      <c r="D465" s="97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9"/>
    </row>
    <row r="466" spans="1:18" x14ac:dyDescent="0.35">
      <c r="A466" s="88">
        <f t="shared" si="14"/>
        <v>0</v>
      </c>
      <c r="B466" s="89"/>
      <c r="C466" s="90">
        <f t="shared" si="15"/>
        <v>0</v>
      </c>
      <c r="D466" s="97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9"/>
    </row>
    <row r="467" spans="1:18" x14ac:dyDescent="0.35">
      <c r="A467" s="88">
        <f t="shared" si="14"/>
        <v>0</v>
      </c>
      <c r="B467" s="89"/>
      <c r="C467" s="90">
        <f t="shared" si="15"/>
        <v>0</v>
      </c>
      <c r="D467" s="97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9"/>
    </row>
    <row r="468" spans="1:18" x14ac:dyDescent="0.35">
      <c r="A468" s="88">
        <f t="shared" si="14"/>
        <v>0</v>
      </c>
      <c r="B468" s="89"/>
      <c r="C468" s="90">
        <f t="shared" si="15"/>
        <v>0</v>
      </c>
      <c r="D468" s="97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9"/>
    </row>
    <row r="469" spans="1:18" x14ac:dyDescent="0.35">
      <c r="A469" s="88">
        <f t="shared" si="14"/>
        <v>0</v>
      </c>
      <c r="B469" s="89"/>
      <c r="C469" s="90">
        <f t="shared" si="15"/>
        <v>0</v>
      </c>
      <c r="D469" s="97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9"/>
    </row>
    <row r="470" spans="1:18" x14ac:dyDescent="0.35">
      <c r="A470" s="88">
        <f t="shared" si="14"/>
        <v>0</v>
      </c>
      <c r="B470" s="89"/>
      <c r="C470" s="90">
        <f t="shared" si="15"/>
        <v>0</v>
      </c>
      <c r="D470" s="97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9"/>
    </row>
    <row r="471" spans="1:18" x14ac:dyDescent="0.35">
      <c r="A471" s="88">
        <f t="shared" si="14"/>
        <v>0</v>
      </c>
      <c r="B471" s="89"/>
      <c r="C471" s="90">
        <f t="shared" si="15"/>
        <v>0</v>
      </c>
      <c r="D471" s="97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9"/>
    </row>
    <row r="472" spans="1:18" x14ac:dyDescent="0.35">
      <c r="A472" s="88">
        <f t="shared" si="14"/>
        <v>0</v>
      </c>
      <c r="B472" s="89"/>
      <c r="C472" s="90">
        <f t="shared" si="15"/>
        <v>0</v>
      </c>
      <c r="D472" s="97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9"/>
    </row>
    <row r="473" spans="1:18" x14ac:dyDescent="0.35">
      <c r="A473" s="88">
        <f t="shared" si="14"/>
        <v>0</v>
      </c>
      <c r="B473" s="89"/>
      <c r="C473" s="90">
        <f t="shared" si="15"/>
        <v>0</v>
      </c>
      <c r="D473" s="97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9"/>
    </row>
    <row r="474" spans="1:18" x14ac:dyDescent="0.35">
      <c r="A474" s="88">
        <f t="shared" si="14"/>
        <v>0</v>
      </c>
      <c r="B474" s="89"/>
      <c r="C474" s="90">
        <f t="shared" si="15"/>
        <v>0</v>
      </c>
      <c r="D474" s="97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9"/>
    </row>
    <row r="475" spans="1:18" x14ac:dyDescent="0.35">
      <c r="A475" s="88">
        <f t="shared" si="14"/>
        <v>0</v>
      </c>
      <c r="B475" s="89"/>
      <c r="C475" s="90">
        <f t="shared" si="15"/>
        <v>0</v>
      </c>
      <c r="D475" s="97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9"/>
    </row>
    <row r="476" spans="1:18" x14ac:dyDescent="0.35">
      <c r="A476" s="88">
        <f t="shared" si="14"/>
        <v>0</v>
      </c>
      <c r="B476" s="89"/>
      <c r="C476" s="90">
        <f t="shared" si="15"/>
        <v>0</v>
      </c>
      <c r="D476" s="97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9"/>
    </row>
    <row r="477" spans="1:18" x14ac:dyDescent="0.35">
      <c r="A477" s="88">
        <f t="shared" si="14"/>
        <v>0</v>
      </c>
      <c r="B477" s="89"/>
      <c r="C477" s="90">
        <f t="shared" si="15"/>
        <v>0</v>
      </c>
      <c r="D477" s="97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9"/>
    </row>
    <row r="478" spans="1:18" x14ac:dyDescent="0.35">
      <c r="A478" s="88">
        <f t="shared" si="14"/>
        <v>0</v>
      </c>
      <c r="B478" s="89"/>
      <c r="C478" s="90">
        <f t="shared" si="15"/>
        <v>0</v>
      </c>
      <c r="D478" s="97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9"/>
    </row>
    <row r="479" spans="1:18" x14ac:dyDescent="0.35">
      <c r="A479" s="88">
        <f t="shared" si="14"/>
        <v>0</v>
      </c>
      <c r="B479" s="89"/>
      <c r="C479" s="90">
        <f t="shared" si="15"/>
        <v>0</v>
      </c>
      <c r="D479" s="97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9"/>
    </row>
    <row r="480" spans="1:18" x14ac:dyDescent="0.35">
      <c r="A480" s="88">
        <f t="shared" si="14"/>
        <v>0</v>
      </c>
      <c r="B480" s="89"/>
      <c r="C480" s="90">
        <f t="shared" si="15"/>
        <v>0</v>
      </c>
      <c r="D480" s="97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9"/>
    </row>
    <row r="481" spans="1:18" x14ac:dyDescent="0.35">
      <c r="A481" s="88">
        <f t="shared" si="14"/>
        <v>0</v>
      </c>
      <c r="B481" s="89"/>
      <c r="C481" s="90">
        <f t="shared" si="15"/>
        <v>0</v>
      </c>
      <c r="D481" s="97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9"/>
    </row>
    <row r="482" spans="1:18" x14ac:dyDescent="0.35">
      <c r="A482" s="88">
        <f t="shared" si="14"/>
        <v>0</v>
      </c>
      <c r="B482" s="89"/>
      <c r="C482" s="90">
        <f t="shared" si="15"/>
        <v>0</v>
      </c>
      <c r="D482" s="97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9"/>
    </row>
    <row r="483" spans="1:18" x14ac:dyDescent="0.35">
      <c r="A483" s="88">
        <f t="shared" si="14"/>
        <v>0</v>
      </c>
      <c r="B483" s="89"/>
      <c r="C483" s="90">
        <f t="shared" si="15"/>
        <v>0</v>
      </c>
      <c r="D483" s="97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9"/>
    </row>
    <row r="484" spans="1:18" x14ac:dyDescent="0.35">
      <c r="A484" s="88">
        <f t="shared" si="14"/>
        <v>0</v>
      </c>
      <c r="B484" s="89"/>
      <c r="C484" s="90">
        <f t="shared" si="15"/>
        <v>0</v>
      </c>
      <c r="D484" s="97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9"/>
    </row>
    <row r="485" spans="1:18" x14ac:dyDescent="0.35">
      <c r="A485" s="88">
        <f t="shared" si="14"/>
        <v>0</v>
      </c>
      <c r="B485" s="89"/>
      <c r="C485" s="90">
        <f t="shared" si="15"/>
        <v>0</v>
      </c>
      <c r="D485" s="97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9"/>
    </row>
    <row r="486" spans="1:18" x14ac:dyDescent="0.35">
      <c r="A486" s="88">
        <f t="shared" si="14"/>
        <v>0</v>
      </c>
      <c r="B486" s="89"/>
      <c r="C486" s="90">
        <f t="shared" si="15"/>
        <v>0</v>
      </c>
      <c r="D486" s="97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9"/>
    </row>
    <row r="487" spans="1:18" x14ac:dyDescent="0.35">
      <c r="A487" s="88">
        <f t="shared" si="14"/>
        <v>0</v>
      </c>
      <c r="B487" s="89"/>
      <c r="C487" s="90">
        <f t="shared" si="15"/>
        <v>0</v>
      </c>
      <c r="D487" s="97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9"/>
    </row>
    <row r="488" spans="1:18" x14ac:dyDescent="0.35">
      <c r="A488" s="88">
        <f t="shared" si="14"/>
        <v>0</v>
      </c>
      <c r="B488" s="89"/>
      <c r="C488" s="90">
        <f t="shared" si="15"/>
        <v>0</v>
      </c>
      <c r="D488" s="97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9"/>
    </row>
    <row r="489" spans="1:18" x14ac:dyDescent="0.35">
      <c r="A489" s="88">
        <f t="shared" si="14"/>
        <v>0</v>
      </c>
      <c r="B489" s="89"/>
      <c r="C489" s="90">
        <f t="shared" si="15"/>
        <v>0</v>
      </c>
      <c r="D489" s="97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9"/>
    </row>
    <row r="490" spans="1:18" x14ac:dyDescent="0.35">
      <c r="A490" s="88">
        <f t="shared" si="14"/>
        <v>0</v>
      </c>
      <c r="B490" s="89"/>
      <c r="C490" s="90">
        <f t="shared" si="15"/>
        <v>0</v>
      </c>
      <c r="D490" s="97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9"/>
    </row>
    <row r="491" spans="1:18" x14ac:dyDescent="0.35">
      <c r="A491" s="88">
        <f t="shared" si="14"/>
        <v>0</v>
      </c>
      <c r="B491" s="89"/>
      <c r="C491" s="90">
        <f t="shared" si="15"/>
        <v>0</v>
      </c>
      <c r="D491" s="97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9"/>
    </row>
    <row r="492" spans="1:18" x14ac:dyDescent="0.35">
      <c r="A492" s="88">
        <f t="shared" si="14"/>
        <v>0</v>
      </c>
      <c r="B492" s="89"/>
      <c r="C492" s="90">
        <f t="shared" si="15"/>
        <v>0</v>
      </c>
      <c r="D492" s="97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9"/>
    </row>
    <row r="493" spans="1:18" x14ac:dyDescent="0.35">
      <c r="A493" s="88">
        <f t="shared" si="14"/>
        <v>0</v>
      </c>
      <c r="B493" s="89"/>
      <c r="C493" s="90">
        <f t="shared" si="15"/>
        <v>0</v>
      </c>
      <c r="D493" s="97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9"/>
    </row>
    <row r="494" spans="1:18" x14ac:dyDescent="0.35">
      <c r="A494" s="88">
        <f t="shared" si="14"/>
        <v>0</v>
      </c>
      <c r="B494" s="89"/>
      <c r="C494" s="90">
        <f t="shared" si="15"/>
        <v>0</v>
      </c>
      <c r="D494" s="97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9"/>
    </row>
    <row r="495" spans="1:18" x14ac:dyDescent="0.35">
      <c r="A495" s="88">
        <f t="shared" si="14"/>
        <v>0</v>
      </c>
      <c r="B495" s="89"/>
      <c r="C495" s="90">
        <f t="shared" si="15"/>
        <v>0</v>
      </c>
      <c r="D495" s="97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9"/>
    </row>
    <row r="496" spans="1:18" x14ac:dyDescent="0.35">
      <c r="A496" s="88">
        <f t="shared" si="14"/>
        <v>0</v>
      </c>
      <c r="B496" s="89"/>
      <c r="C496" s="90">
        <f t="shared" si="15"/>
        <v>0</v>
      </c>
      <c r="D496" s="97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9"/>
    </row>
    <row r="497" spans="1:18" x14ac:dyDescent="0.35">
      <c r="A497" s="88">
        <f t="shared" si="14"/>
        <v>0</v>
      </c>
      <c r="B497" s="89"/>
      <c r="C497" s="90">
        <f t="shared" si="15"/>
        <v>0</v>
      </c>
      <c r="D497" s="97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9"/>
    </row>
    <row r="498" spans="1:18" x14ac:dyDescent="0.35">
      <c r="A498" s="88">
        <f t="shared" si="14"/>
        <v>0</v>
      </c>
      <c r="B498" s="89"/>
      <c r="C498" s="90">
        <f t="shared" si="15"/>
        <v>0</v>
      </c>
      <c r="D498" s="97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9"/>
    </row>
    <row r="499" spans="1:18" x14ac:dyDescent="0.35">
      <c r="A499" s="88">
        <f t="shared" si="14"/>
        <v>0</v>
      </c>
      <c r="B499" s="89"/>
      <c r="C499" s="90">
        <f t="shared" si="15"/>
        <v>0</v>
      </c>
      <c r="D499" s="97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9"/>
    </row>
    <row r="500" spans="1:18" x14ac:dyDescent="0.35">
      <c r="A500" s="88">
        <f t="shared" si="14"/>
        <v>0</v>
      </c>
      <c r="B500" s="89"/>
      <c r="C500" s="90">
        <f t="shared" si="15"/>
        <v>0</v>
      </c>
      <c r="D500" s="97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9"/>
    </row>
    <row r="501" spans="1:18" x14ac:dyDescent="0.35">
      <c r="A501" s="88">
        <f t="shared" si="14"/>
        <v>0</v>
      </c>
      <c r="B501" s="89"/>
      <c r="C501" s="90">
        <f t="shared" si="15"/>
        <v>0</v>
      </c>
      <c r="D501" s="97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9"/>
    </row>
    <row r="502" spans="1:18" x14ac:dyDescent="0.35">
      <c r="A502" s="88">
        <f t="shared" si="14"/>
        <v>0</v>
      </c>
      <c r="B502" s="89"/>
      <c r="C502" s="90">
        <f t="shared" si="15"/>
        <v>0</v>
      </c>
      <c r="D502" s="97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9"/>
    </row>
    <row r="503" spans="1:18" x14ac:dyDescent="0.35">
      <c r="A503" s="88">
        <f t="shared" si="14"/>
        <v>0</v>
      </c>
      <c r="B503" s="89"/>
      <c r="C503" s="90">
        <f t="shared" si="15"/>
        <v>0</v>
      </c>
      <c r="D503" s="97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9"/>
    </row>
    <row r="504" spans="1:18" x14ac:dyDescent="0.35">
      <c r="A504" s="88">
        <f t="shared" si="14"/>
        <v>0</v>
      </c>
      <c r="B504" s="89"/>
      <c r="C504" s="90">
        <f t="shared" si="15"/>
        <v>0</v>
      </c>
      <c r="D504" s="97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9"/>
    </row>
    <row r="505" spans="1:18" x14ac:dyDescent="0.35">
      <c r="A505" s="88">
        <f t="shared" si="14"/>
        <v>0</v>
      </c>
      <c r="B505" s="89"/>
      <c r="C505" s="90">
        <f t="shared" si="15"/>
        <v>0</v>
      </c>
      <c r="D505" s="97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9"/>
    </row>
    <row r="506" spans="1:18" x14ac:dyDescent="0.35">
      <c r="A506" s="88">
        <f t="shared" si="14"/>
        <v>0</v>
      </c>
      <c r="B506" s="89"/>
      <c r="C506" s="90">
        <f t="shared" si="15"/>
        <v>0</v>
      </c>
      <c r="D506" s="97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9"/>
    </row>
    <row r="507" spans="1:18" x14ac:dyDescent="0.35">
      <c r="A507" s="88">
        <f t="shared" si="14"/>
        <v>0</v>
      </c>
      <c r="B507" s="89"/>
      <c r="C507" s="90">
        <f t="shared" si="15"/>
        <v>0</v>
      </c>
      <c r="D507" s="97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9"/>
    </row>
    <row r="508" spans="1:18" x14ac:dyDescent="0.35">
      <c r="A508" s="88">
        <f t="shared" si="14"/>
        <v>0</v>
      </c>
      <c r="B508" s="89"/>
      <c r="C508" s="90">
        <f t="shared" si="15"/>
        <v>0</v>
      </c>
      <c r="D508" s="97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9"/>
    </row>
    <row r="509" spans="1:18" x14ac:dyDescent="0.35">
      <c r="A509" s="88">
        <f t="shared" si="14"/>
        <v>0</v>
      </c>
      <c r="B509" s="89"/>
      <c r="C509" s="90">
        <f t="shared" si="15"/>
        <v>0</v>
      </c>
      <c r="D509" s="97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9"/>
    </row>
    <row r="510" spans="1:18" x14ac:dyDescent="0.35">
      <c r="A510" s="88">
        <f t="shared" si="14"/>
        <v>0</v>
      </c>
      <c r="B510" s="89"/>
      <c r="C510" s="90">
        <f t="shared" si="15"/>
        <v>0</v>
      </c>
      <c r="D510" s="97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9"/>
    </row>
    <row r="511" spans="1:18" x14ac:dyDescent="0.35">
      <c r="A511" s="88">
        <f t="shared" si="14"/>
        <v>0</v>
      </c>
      <c r="B511" s="89"/>
      <c r="C511" s="90">
        <f t="shared" si="15"/>
        <v>0</v>
      </c>
      <c r="D511" s="97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9"/>
    </row>
    <row r="512" spans="1:18" x14ac:dyDescent="0.35">
      <c r="A512" s="88">
        <f t="shared" si="14"/>
        <v>0</v>
      </c>
      <c r="B512" s="89"/>
      <c r="C512" s="90">
        <f t="shared" si="15"/>
        <v>0</v>
      </c>
      <c r="D512" s="97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9"/>
    </row>
    <row r="513" spans="1:18" x14ac:dyDescent="0.35">
      <c r="A513" s="88">
        <f t="shared" si="14"/>
        <v>0</v>
      </c>
      <c r="B513" s="89"/>
      <c r="C513" s="90">
        <f t="shared" si="15"/>
        <v>0</v>
      </c>
      <c r="D513" s="97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9"/>
    </row>
    <row r="514" spans="1:18" x14ac:dyDescent="0.35">
      <c r="A514" s="88">
        <f t="shared" si="14"/>
        <v>0</v>
      </c>
      <c r="B514" s="89"/>
      <c r="C514" s="90">
        <f t="shared" si="15"/>
        <v>0</v>
      </c>
      <c r="D514" s="97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9"/>
    </row>
    <row r="515" spans="1:18" x14ac:dyDescent="0.35">
      <c r="A515" s="88">
        <f t="shared" si="14"/>
        <v>0</v>
      </c>
      <c r="B515" s="89"/>
      <c r="C515" s="90">
        <f t="shared" si="15"/>
        <v>0</v>
      </c>
      <c r="D515" s="97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9"/>
    </row>
    <row r="516" spans="1:18" x14ac:dyDescent="0.35">
      <c r="A516" s="88">
        <f t="shared" ref="A516:A579" si="16">F516</f>
        <v>0</v>
      </c>
      <c r="B516" s="89"/>
      <c r="C516" s="90">
        <f t="shared" ref="C516:C579" si="17">F516</f>
        <v>0</v>
      </c>
      <c r="D516" s="97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9"/>
    </row>
    <row r="517" spans="1:18" x14ac:dyDescent="0.35">
      <c r="A517" s="88">
        <f t="shared" si="16"/>
        <v>0</v>
      </c>
      <c r="B517" s="89"/>
      <c r="C517" s="90">
        <f t="shared" si="17"/>
        <v>0</v>
      </c>
      <c r="D517" s="97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9"/>
    </row>
    <row r="518" spans="1:18" x14ac:dyDescent="0.35">
      <c r="A518" s="88">
        <f t="shared" si="16"/>
        <v>0</v>
      </c>
      <c r="B518" s="89"/>
      <c r="C518" s="90">
        <f t="shared" si="17"/>
        <v>0</v>
      </c>
      <c r="D518" s="97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9"/>
    </row>
    <row r="519" spans="1:18" x14ac:dyDescent="0.35">
      <c r="A519" s="88">
        <f t="shared" si="16"/>
        <v>0</v>
      </c>
      <c r="B519" s="89"/>
      <c r="C519" s="90">
        <f t="shared" si="17"/>
        <v>0</v>
      </c>
      <c r="D519" s="97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9"/>
    </row>
    <row r="520" spans="1:18" x14ac:dyDescent="0.35">
      <c r="A520" s="88">
        <f t="shared" si="16"/>
        <v>0</v>
      </c>
      <c r="B520" s="89"/>
      <c r="C520" s="90">
        <f t="shared" si="17"/>
        <v>0</v>
      </c>
      <c r="D520" s="97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9"/>
    </row>
    <row r="521" spans="1:18" x14ac:dyDescent="0.35">
      <c r="A521" s="88">
        <f t="shared" si="16"/>
        <v>0</v>
      </c>
      <c r="B521" s="89"/>
      <c r="C521" s="90">
        <f t="shared" si="17"/>
        <v>0</v>
      </c>
      <c r="D521" s="97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9"/>
    </row>
    <row r="522" spans="1:18" x14ac:dyDescent="0.35">
      <c r="A522" s="88">
        <f t="shared" si="16"/>
        <v>0</v>
      </c>
      <c r="B522" s="89"/>
      <c r="C522" s="90">
        <f t="shared" si="17"/>
        <v>0</v>
      </c>
      <c r="D522" s="97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9"/>
    </row>
    <row r="523" spans="1:18" x14ac:dyDescent="0.35">
      <c r="A523" s="88">
        <f t="shared" si="16"/>
        <v>0</v>
      </c>
      <c r="B523" s="89"/>
      <c r="C523" s="90">
        <f t="shared" si="17"/>
        <v>0</v>
      </c>
      <c r="D523" s="97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9"/>
    </row>
    <row r="524" spans="1:18" x14ac:dyDescent="0.35">
      <c r="A524" s="88">
        <f t="shared" si="16"/>
        <v>0</v>
      </c>
      <c r="B524" s="89"/>
      <c r="C524" s="90">
        <f t="shared" si="17"/>
        <v>0</v>
      </c>
      <c r="D524" s="97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9"/>
    </row>
    <row r="525" spans="1:18" x14ac:dyDescent="0.35">
      <c r="A525" s="88">
        <f t="shared" si="16"/>
        <v>0</v>
      </c>
      <c r="B525" s="89"/>
      <c r="C525" s="90">
        <f t="shared" si="17"/>
        <v>0</v>
      </c>
      <c r="D525" s="97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9"/>
    </row>
    <row r="526" spans="1:18" x14ac:dyDescent="0.35">
      <c r="A526" s="88">
        <f t="shared" si="16"/>
        <v>0</v>
      </c>
      <c r="B526" s="89"/>
      <c r="C526" s="90">
        <f t="shared" si="17"/>
        <v>0</v>
      </c>
      <c r="D526" s="97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9"/>
    </row>
    <row r="527" spans="1:18" x14ac:dyDescent="0.35">
      <c r="A527" s="88">
        <f t="shared" si="16"/>
        <v>0</v>
      </c>
      <c r="B527" s="89"/>
      <c r="C527" s="90">
        <f t="shared" si="17"/>
        <v>0</v>
      </c>
      <c r="D527" s="97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9"/>
    </row>
    <row r="528" spans="1:18" x14ac:dyDescent="0.35">
      <c r="A528" s="88">
        <f t="shared" si="16"/>
        <v>0</v>
      </c>
      <c r="B528" s="89"/>
      <c r="C528" s="90">
        <f t="shared" si="17"/>
        <v>0</v>
      </c>
      <c r="D528" s="97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9"/>
    </row>
    <row r="529" spans="1:18" x14ac:dyDescent="0.35">
      <c r="A529" s="88">
        <f t="shared" si="16"/>
        <v>0</v>
      </c>
      <c r="B529" s="89"/>
      <c r="C529" s="90">
        <f t="shared" si="17"/>
        <v>0</v>
      </c>
      <c r="D529" s="97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9"/>
    </row>
    <row r="530" spans="1:18" x14ac:dyDescent="0.35">
      <c r="A530" s="88">
        <f t="shared" si="16"/>
        <v>0</v>
      </c>
      <c r="B530" s="89"/>
      <c r="C530" s="90">
        <f t="shared" si="17"/>
        <v>0</v>
      </c>
      <c r="D530" s="97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9"/>
    </row>
    <row r="531" spans="1:18" x14ac:dyDescent="0.35">
      <c r="A531" s="88">
        <f t="shared" si="16"/>
        <v>0</v>
      </c>
      <c r="B531" s="89"/>
      <c r="C531" s="90">
        <f t="shared" si="17"/>
        <v>0</v>
      </c>
      <c r="D531" s="97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9"/>
    </row>
    <row r="532" spans="1:18" x14ac:dyDescent="0.35">
      <c r="A532" s="88">
        <f t="shared" si="16"/>
        <v>0</v>
      </c>
      <c r="B532" s="89"/>
      <c r="C532" s="90">
        <f t="shared" si="17"/>
        <v>0</v>
      </c>
      <c r="D532" s="97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9"/>
    </row>
    <row r="533" spans="1:18" x14ac:dyDescent="0.35">
      <c r="A533" s="88">
        <f t="shared" si="16"/>
        <v>0</v>
      </c>
      <c r="B533" s="89"/>
      <c r="C533" s="90">
        <f t="shared" si="17"/>
        <v>0</v>
      </c>
      <c r="D533" s="97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9"/>
    </row>
    <row r="534" spans="1:18" x14ac:dyDescent="0.35">
      <c r="A534" s="88">
        <f t="shared" si="16"/>
        <v>0</v>
      </c>
      <c r="B534" s="89"/>
      <c r="C534" s="90">
        <f t="shared" si="17"/>
        <v>0</v>
      </c>
      <c r="D534" s="97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9"/>
    </row>
    <row r="535" spans="1:18" x14ac:dyDescent="0.35">
      <c r="A535" s="88">
        <f t="shared" si="16"/>
        <v>0</v>
      </c>
      <c r="B535" s="89"/>
      <c r="C535" s="90">
        <f t="shared" si="17"/>
        <v>0</v>
      </c>
      <c r="D535" s="97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9"/>
    </row>
    <row r="536" spans="1:18" x14ac:dyDescent="0.35">
      <c r="A536" s="88">
        <f t="shared" si="16"/>
        <v>0</v>
      </c>
      <c r="B536" s="89"/>
      <c r="C536" s="90">
        <f t="shared" si="17"/>
        <v>0</v>
      </c>
      <c r="D536" s="97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9"/>
    </row>
    <row r="537" spans="1:18" x14ac:dyDescent="0.35">
      <c r="A537" s="88">
        <f t="shared" si="16"/>
        <v>0</v>
      </c>
      <c r="B537" s="89"/>
      <c r="C537" s="90">
        <f t="shared" si="17"/>
        <v>0</v>
      </c>
      <c r="D537" s="97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9"/>
    </row>
    <row r="538" spans="1:18" x14ac:dyDescent="0.35">
      <c r="A538" s="88">
        <f t="shared" si="16"/>
        <v>0</v>
      </c>
      <c r="B538" s="89"/>
      <c r="C538" s="90">
        <f t="shared" si="17"/>
        <v>0</v>
      </c>
      <c r="D538" s="97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9"/>
    </row>
    <row r="539" spans="1:18" x14ac:dyDescent="0.35">
      <c r="A539" s="88">
        <f t="shared" si="16"/>
        <v>0</v>
      </c>
      <c r="B539" s="89"/>
      <c r="C539" s="90">
        <f t="shared" si="17"/>
        <v>0</v>
      </c>
      <c r="D539" s="97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9"/>
    </row>
    <row r="540" spans="1:18" x14ac:dyDescent="0.35">
      <c r="A540" s="88">
        <f t="shared" si="16"/>
        <v>0</v>
      </c>
      <c r="B540" s="89"/>
      <c r="C540" s="90">
        <f t="shared" si="17"/>
        <v>0</v>
      </c>
      <c r="D540" s="97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9"/>
    </row>
    <row r="541" spans="1:18" x14ac:dyDescent="0.35">
      <c r="A541" s="88">
        <f t="shared" si="16"/>
        <v>0</v>
      </c>
      <c r="B541" s="89"/>
      <c r="C541" s="90">
        <f t="shared" si="17"/>
        <v>0</v>
      </c>
      <c r="D541" s="97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9"/>
    </row>
    <row r="542" spans="1:18" x14ac:dyDescent="0.35">
      <c r="A542" s="88">
        <f t="shared" si="16"/>
        <v>0</v>
      </c>
      <c r="B542" s="89"/>
      <c r="C542" s="90">
        <f t="shared" si="17"/>
        <v>0</v>
      </c>
      <c r="D542" s="97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9"/>
    </row>
    <row r="543" spans="1:18" x14ac:dyDescent="0.35">
      <c r="A543" s="88">
        <f t="shared" si="16"/>
        <v>0</v>
      </c>
      <c r="B543" s="89"/>
      <c r="C543" s="90">
        <f t="shared" si="17"/>
        <v>0</v>
      </c>
      <c r="D543" s="97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9"/>
    </row>
    <row r="544" spans="1:18" x14ac:dyDescent="0.35">
      <c r="A544" s="88">
        <f t="shared" si="16"/>
        <v>0</v>
      </c>
      <c r="B544" s="89"/>
      <c r="C544" s="90">
        <f t="shared" si="17"/>
        <v>0</v>
      </c>
      <c r="D544" s="97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9"/>
    </row>
    <row r="545" spans="1:18" x14ac:dyDescent="0.35">
      <c r="A545" s="88">
        <f t="shared" si="16"/>
        <v>0</v>
      </c>
      <c r="B545" s="89"/>
      <c r="C545" s="90">
        <f t="shared" si="17"/>
        <v>0</v>
      </c>
      <c r="D545" s="97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9"/>
    </row>
    <row r="546" spans="1:18" x14ac:dyDescent="0.35">
      <c r="A546" s="88">
        <f t="shared" si="16"/>
        <v>0</v>
      </c>
      <c r="B546" s="89"/>
      <c r="C546" s="90">
        <f t="shared" si="17"/>
        <v>0</v>
      </c>
      <c r="D546" s="97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9"/>
    </row>
    <row r="547" spans="1:18" x14ac:dyDescent="0.35">
      <c r="A547" s="88">
        <f t="shared" si="16"/>
        <v>0</v>
      </c>
      <c r="B547" s="89"/>
      <c r="C547" s="90">
        <f t="shared" si="17"/>
        <v>0</v>
      </c>
      <c r="D547" s="97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9"/>
    </row>
    <row r="548" spans="1:18" x14ac:dyDescent="0.35">
      <c r="A548" s="88">
        <f t="shared" si="16"/>
        <v>0</v>
      </c>
      <c r="B548" s="89"/>
      <c r="C548" s="90">
        <f t="shared" si="17"/>
        <v>0</v>
      </c>
      <c r="D548" s="97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9"/>
    </row>
    <row r="549" spans="1:18" x14ac:dyDescent="0.35">
      <c r="A549" s="88">
        <f t="shared" si="16"/>
        <v>0</v>
      </c>
      <c r="B549" s="89"/>
      <c r="C549" s="90">
        <f t="shared" si="17"/>
        <v>0</v>
      </c>
      <c r="D549" s="97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9"/>
    </row>
    <row r="550" spans="1:18" x14ac:dyDescent="0.35">
      <c r="A550" s="88">
        <f t="shared" si="16"/>
        <v>0</v>
      </c>
      <c r="B550" s="89"/>
      <c r="C550" s="90">
        <f t="shared" si="17"/>
        <v>0</v>
      </c>
      <c r="D550" s="97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9"/>
    </row>
    <row r="551" spans="1:18" x14ac:dyDescent="0.35">
      <c r="A551" s="88">
        <f t="shared" si="16"/>
        <v>0</v>
      </c>
      <c r="B551" s="89"/>
      <c r="C551" s="90">
        <f t="shared" si="17"/>
        <v>0</v>
      </c>
      <c r="D551" s="97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9"/>
    </row>
    <row r="552" spans="1:18" x14ac:dyDescent="0.35">
      <c r="A552" s="88">
        <f t="shared" si="16"/>
        <v>0</v>
      </c>
      <c r="B552" s="89"/>
      <c r="C552" s="90">
        <f t="shared" si="17"/>
        <v>0</v>
      </c>
      <c r="D552" s="97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9"/>
    </row>
    <row r="553" spans="1:18" x14ac:dyDescent="0.35">
      <c r="A553" s="88">
        <f t="shared" si="16"/>
        <v>0</v>
      </c>
      <c r="B553" s="89"/>
      <c r="C553" s="90">
        <f t="shared" si="17"/>
        <v>0</v>
      </c>
      <c r="D553" s="97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9"/>
    </row>
    <row r="554" spans="1:18" x14ac:dyDescent="0.35">
      <c r="A554" s="88">
        <f t="shared" si="16"/>
        <v>0</v>
      </c>
      <c r="B554" s="89"/>
      <c r="C554" s="90">
        <f t="shared" si="17"/>
        <v>0</v>
      </c>
      <c r="D554" s="97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9"/>
    </row>
    <row r="555" spans="1:18" x14ac:dyDescent="0.35">
      <c r="A555" s="88">
        <f t="shared" si="16"/>
        <v>0</v>
      </c>
      <c r="B555" s="89"/>
      <c r="C555" s="90">
        <f t="shared" si="17"/>
        <v>0</v>
      </c>
      <c r="D555" s="97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9"/>
    </row>
    <row r="556" spans="1:18" x14ac:dyDescent="0.35">
      <c r="A556" s="88">
        <f t="shared" si="16"/>
        <v>0</v>
      </c>
      <c r="B556" s="89"/>
      <c r="C556" s="90">
        <f t="shared" si="17"/>
        <v>0</v>
      </c>
      <c r="D556" s="97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9"/>
    </row>
    <row r="557" spans="1:18" x14ac:dyDescent="0.35">
      <c r="A557" s="88">
        <f t="shared" si="16"/>
        <v>0</v>
      </c>
      <c r="B557" s="89"/>
      <c r="C557" s="90">
        <f t="shared" si="17"/>
        <v>0</v>
      </c>
      <c r="D557" s="97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9"/>
    </row>
    <row r="558" spans="1:18" x14ac:dyDescent="0.35">
      <c r="A558" s="88">
        <f t="shared" si="16"/>
        <v>0</v>
      </c>
      <c r="B558" s="89"/>
      <c r="C558" s="90">
        <f t="shared" si="17"/>
        <v>0</v>
      </c>
      <c r="D558" s="97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9"/>
    </row>
    <row r="559" spans="1:18" x14ac:dyDescent="0.35">
      <c r="A559" s="88">
        <f t="shared" si="16"/>
        <v>0</v>
      </c>
      <c r="B559" s="89"/>
      <c r="C559" s="90">
        <f t="shared" si="17"/>
        <v>0</v>
      </c>
      <c r="D559" s="97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9"/>
    </row>
    <row r="560" spans="1:18" x14ac:dyDescent="0.35">
      <c r="A560" s="88">
        <f t="shared" si="16"/>
        <v>0</v>
      </c>
      <c r="B560" s="89"/>
      <c r="C560" s="90">
        <f t="shared" si="17"/>
        <v>0</v>
      </c>
      <c r="D560" s="97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9"/>
    </row>
    <row r="561" spans="1:18" x14ac:dyDescent="0.35">
      <c r="A561" s="88">
        <f t="shared" si="16"/>
        <v>0</v>
      </c>
      <c r="B561" s="89"/>
      <c r="C561" s="90">
        <f t="shared" si="17"/>
        <v>0</v>
      </c>
      <c r="D561" s="97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9"/>
    </row>
    <row r="562" spans="1:18" x14ac:dyDescent="0.35">
      <c r="A562" s="88">
        <f t="shared" si="16"/>
        <v>0</v>
      </c>
      <c r="B562" s="89"/>
      <c r="C562" s="90">
        <f t="shared" si="17"/>
        <v>0</v>
      </c>
      <c r="D562" s="97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9"/>
    </row>
    <row r="563" spans="1:18" x14ac:dyDescent="0.35">
      <c r="A563" s="88">
        <f t="shared" si="16"/>
        <v>0</v>
      </c>
      <c r="B563" s="89"/>
      <c r="C563" s="90">
        <f t="shared" si="17"/>
        <v>0</v>
      </c>
      <c r="D563" s="97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9"/>
    </row>
    <row r="564" spans="1:18" x14ac:dyDescent="0.35">
      <c r="A564" s="88">
        <f t="shared" si="16"/>
        <v>0</v>
      </c>
      <c r="B564" s="89"/>
      <c r="C564" s="90">
        <f t="shared" si="17"/>
        <v>0</v>
      </c>
      <c r="D564" s="97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9"/>
    </row>
    <row r="565" spans="1:18" x14ac:dyDescent="0.35">
      <c r="A565" s="88">
        <f t="shared" si="16"/>
        <v>0</v>
      </c>
      <c r="B565" s="89"/>
      <c r="C565" s="90">
        <f t="shared" si="17"/>
        <v>0</v>
      </c>
      <c r="D565" s="97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9"/>
    </row>
    <row r="566" spans="1:18" x14ac:dyDescent="0.35">
      <c r="A566" s="88">
        <f t="shared" si="16"/>
        <v>0</v>
      </c>
      <c r="B566" s="89"/>
      <c r="C566" s="90">
        <f t="shared" si="17"/>
        <v>0</v>
      </c>
      <c r="D566" s="97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9"/>
    </row>
    <row r="567" spans="1:18" x14ac:dyDescent="0.35">
      <c r="A567" s="88">
        <f t="shared" si="16"/>
        <v>0</v>
      </c>
      <c r="B567" s="89"/>
      <c r="C567" s="90">
        <f t="shared" si="17"/>
        <v>0</v>
      </c>
      <c r="D567" s="97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9"/>
    </row>
    <row r="568" spans="1:18" x14ac:dyDescent="0.35">
      <c r="A568" s="88">
        <f t="shared" si="16"/>
        <v>0</v>
      </c>
      <c r="B568" s="89"/>
      <c r="C568" s="90">
        <f t="shared" si="17"/>
        <v>0</v>
      </c>
      <c r="D568" s="97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9"/>
    </row>
    <row r="569" spans="1:18" x14ac:dyDescent="0.35">
      <c r="A569" s="88">
        <f t="shared" si="16"/>
        <v>0</v>
      </c>
      <c r="B569" s="89"/>
      <c r="C569" s="90">
        <f t="shared" si="17"/>
        <v>0</v>
      </c>
      <c r="D569" s="97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9"/>
    </row>
    <row r="570" spans="1:18" x14ac:dyDescent="0.35">
      <c r="A570" s="88">
        <f t="shared" si="16"/>
        <v>0</v>
      </c>
      <c r="B570" s="89"/>
      <c r="C570" s="90">
        <f t="shared" si="17"/>
        <v>0</v>
      </c>
      <c r="D570" s="97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9"/>
    </row>
    <row r="571" spans="1:18" x14ac:dyDescent="0.35">
      <c r="A571" s="88">
        <f t="shared" si="16"/>
        <v>0</v>
      </c>
      <c r="B571" s="89"/>
      <c r="C571" s="90">
        <f t="shared" si="17"/>
        <v>0</v>
      </c>
      <c r="D571" s="97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9"/>
    </row>
    <row r="572" spans="1:18" x14ac:dyDescent="0.35">
      <c r="A572" s="88">
        <f t="shared" si="16"/>
        <v>0</v>
      </c>
      <c r="B572" s="89"/>
      <c r="C572" s="90">
        <f t="shared" si="17"/>
        <v>0</v>
      </c>
      <c r="D572" s="97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9"/>
    </row>
    <row r="573" spans="1:18" x14ac:dyDescent="0.35">
      <c r="A573" s="88">
        <f t="shared" si="16"/>
        <v>0</v>
      </c>
      <c r="B573" s="89"/>
      <c r="C573" s="90">
        <f t="shared" si="17"/>
        <v>0</v>
      </c>
      <c r="D573" s="97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9"/>
    </row>
    <row r="574" spans="1:18" x14ac:dyDescent="0.35">
      <c r="A574" s="88">
        <f t="shared" si="16"/>
        <v>0</v>
      </c>
      <c r="B574" s="89"/>
      <c r="C574" s="90">
        <f t="shared" si="17"/>
        <v>0</v>
      </c>
      <c r="D574" s="97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9"/>
    </row>
    <row r="575" spans="1:18" x14ac:dyDescent="0.35">
      <c r="A575" s="88">
        <f t="shared" si="16"/>
        <v>0</v>
      </c>
      <c r="B575" s="89"/>
      <c r="C575" s="90">
        <f t="shared" si="17"/>
        <v>0</v>
      </c>
      <c r="D575" s="97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9"/>
    </row>
    <row r="576" spans="1:18" x14ac:dyDescent="0.35">
      <c r="A576" s="88">
        <f t="shared" si="16"/>
        <v>0</v>
      </c>
      <c r="B576" s="89"/>
      <c r="C576" s="90">
        <f t="shared" si="17"/>
        <v>0</v>
      </c>
      <c r="D576" s="97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9"/>
    </row>
    <row r="577" spans="1:18" x14ac:dyDescent="0.35">
      <c r="A577" s="88">
        <f t="shared" si="16"/>
        <v>0</v>
      </c>
      <c r="B577" s="89"/>
      <c r="C577" s="90">
        <f t="shared" si="17"/>
        <v>0</v>
      </c>
      <c r="D577" s="97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9"/>
    </row>
    <row r="578" spans="1:18" x14ac:dyDescent="0.35">
      <c r="A578" s="88">
        <f t="shared" si="16"/>
        <v>0</v>
      </c>
      <c r="B578" s="89"/>
      <c r="C578" s="90">
        <f t="shared" si="17"/>
        <v>0</v>
      </c>
      <c r="D578" s="97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9"/>
    </row>
    <row r="579" spans="1:18" x14ac:dyDescent="0.35">
      <c r="A579" s="88">
        <f t="shared" si="16"/>
        <v>0</v>
      </c>
      <c r="B579" s="89"/>
      <c r="C579" s="90">
        <f t="shared" si="17"/>
        <v>0</v>
      </c>
      <c r="D579" s="97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9"/>
    </row>
    <row r="580" spans="1:18" x14ac:dyDescent="0.35">
      <c r="A580" s="88">
        <f t="shared" ref="A580:A643" si="18">F580</f>
        <v>0</v>
      </c>
      <c r="B580" s="89"/>
      <c r="C580" s="90">
        <f t="shared" ref="C580:C643" si="19">F580</f>
        <v>0</v>
      </c>
      <c r="D580" s="97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9"/>
    </row>
    <row r="581" spans="1:18" x14ac:dyDescent="0.35">
      <c r="A581" s="88">
        <f t="shared" si="18"/>
        <v>0</v>
      </c>
      <c r="B581" s="89"/>
      <c r="C581" s="90">
        <f t="shared" si="19"/>
        <v>0</v>
      </c>
      <c r="D581" s="97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9"/>
    </row>
    <row r="582" spans="1:18" x14ac:dyDescent="0.35">
      <c r="A582" s="88">
        <f t="shared" si="18"/>
        <v>0</v>
      </c>
      <c r="B582" s="89"/>
      <c r="C582" s="90">
        <f t="shared" si="19"/>
        <v>0</v>
      </c>
      <c r="D582" s="97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9"/>
    </row>
    <row r="583" spans="1:18" x14ac:dyDescent="0.35">
      <c r="A583" s="88">
        <f t="shared" si="18"/>
        <v>0</v>
      </c>
      <c r="B583" s="89"/>
      <c r="C583" s="90">
        <f t="shared" si="19"/>
        <v>0</v>
      </c>
      <c r="D583" s="97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9"/>
    </row>
    <row r="584" spans="1:18" x14ac:dyDescent="0.35">
      <c r="A584" s="88">
        <f t="shared" si="18"/>
        <v>0</v>
      </c>
      <c r="B584" s="89"/>
      <c r="C584" s="90">
        <f t="shared" si="19"/>
        <v>0</v>
      </c>
      <c r="D584" s="97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9"/>
    </row>
    <row r="585" spans="1:18" x14ac:dyDescent="0.35">
      <c r="A585" s="88">
        <f t="shared" si="18"/>
        <v>0</v>
      </c>
      <c r="B585" s="89"/>
      <c r="C585" s="90">
        <f t="shared" si="19"/>
        <v>0</v>
      </c>
      <c r="D585" s="97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9"/>
    </row>
    <row r="586" spans="1:18" x14ac:dyDescent="0.35">
      <c r="A586" s="88">
        <f t="shared" si="18"/>
        <v>0</v>
      </c>
      <c r="B586" s="89"/>
      <c r="C586" s="90">
        <f t="shared" si="19"/>
        <v>0</v>
      </c>
      <c r="D586" s="97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9"/>
    </row>
    <row r="587" spans="1:18" x14ac:dyDescent="0.35">
      <c r="A587" s="88">
        <f t="shared" si="18"/>
        <v>0</v>
      </c>
      <c r="B587" s="89"/>
      <c r="C587" s="90">
        <f t="shared" si="19"/>
        <v>0</v>
      </c>
      <c r="D587" s="97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9"/>
    </row>
    <row r="588" spans="1:18" x14ac:dyDescent="0.35">
      <c r="A588" s="88">
        <f t="shared" si="18"/>
        <v>0</v>
      </c>
      <c r="B588" s="89"/>
      <c r="C588" s="90">
        <f t="shared" si="19"/>
        <v>0</v>
      </c>
      <c r="D588" s="97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9"/>
    </row>
    <row r="589" spans="1:18" x14ac:dyDescent="0.35">
      <c r="A589" s="88">
        <f t="shared" si="18"/>
        <v>0</v>
      </c>
      <c r="B589" s="89"/>
      <c r="C589" s="90">
        <f t="shared" si="19"/>
        <v>0</v>
      </c>
      <c r="D589" s="97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9"/>
    </row>
    <row r="590" spans="1:18" x14ac:dyDescent="0.35">
      <c r="A590" s="88">
        <f t="shared" si="18"/>
        <v>0</v>
      </c>
      <c r="B590" s="89"/>
      <c r="C590" s="90">
        <f t="shared" si="19"/>
        <v>0</v>
      </c>
      <c r="D590" s="97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9"/>
    </row>
    <row r="591" spans="1:18" x14ac:dyDescent="0.35">
      <c r="A591" s="88">
        <f t="shared" si="18"/>
        <v>0</v>
      </c>
      <c r="B591" s="89"/>
      <c r="C591" s="90">
        <f t="shared" si="19"/>
        <v>0</v>
      </c>
      <c r="D591" s="97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9"/>
    </row>
    <row r="592" spans="1:18" x14ac:dyDescent="0.35">
      <c r="A592" s="88">
        <f t="shared" si="18"/>
        <v>0</v>
      </c>
      <c r="B592" s="89"/>
      <c r="C592" s="90">
        <f t="shared" si="19"/>
        <v>0</v>
      </c>
      <c r="D592" s="97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9"/>
    </row>
    <row r="593" spans="1:18" x14ac:dyDescent="0.35">
      <c r="A593" s="88">
        <f t="shared" si="18"/>
        <v>0</v>
      </c>
      <c r="B593" s="89"/>
      <c r="C593" s="90">
        <f t="shared" si="19"/>
        <v>0</v>
      </c>
      <c r="D593" s="97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9"/>
    </row>
    <row r="594" spans="1:18" x14ac:dyDescent="0.35">
      <c r="A594" s="88">
        <f t="shared" si="18"/>
        <v>0</v>
      </c>
      <c r="B594" s="89"/>
      <c r="C594" s="90">
        <f t="shared" si="19"/>
        <v>0</v>
      </c>
      <c r="D594" s="97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9"/>
    </row>
    <row r="595" spans="1:18" x14ac:dyDescent="0.35">
      <c r="A595" s="88">
        <f t="shared" si="18"/>
        <v>0</v>
      </c>
      <c r="B595" s="89"/>
      <c r="C595" s="90">
        <f t="shared" si="19"/>
        <v>0</v>
      </c>
      <c r="D595" s="97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9"/>
    </row>
    <row r="596" spans="1:18" x14ac:dyDescent="0.35">
      <c r="A596" s="88">
        <f t="shared" si="18"/>
        <v>0</v>
      </c>
      <c r="B596" s="89"/>
      <c r="C596" s="90">
        <f t="shared" si="19"/>
        <v>0</v>
      </c>
      <c r="D596" s="97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9"/>
    </row>
    <row r="597" spans="1:18" x14ac:dyDescent="0.35">
      <c r="A597" s="88">
        <f t="shared" si="18"/>
        <v>0</v>
      </c>
      <c r="B597" s="89"/>
      <c r="C597" s="90">
        <f t="shared" si="19"/>
        <v>0</v>
      </c>
      <c r="D597" s="97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9"/>
    </row>
    <row r="598" spans="1:18" x14ac:dyDescent="0.35">
      <c r="A598" s="88">
        <f t="shared" si="18"/>
        <v>0</v>
      </c>
      <c r="B598" s="89"/>
      <c r="C598" s="90">
        <f t="shared" si="19"/>
        <v>0</v>
      </c>
      <c r="D598" s="97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9"/>
    </row>
    <row r="599" spans="1:18" x14ac:dyDescent="0.35">
      <c r="A599" s="88">
        <f t="shared" si="18"/>
        <v>0</v>
      </c>
      <c r="B599" s="89"/>
      <c r="C599" s="90">
        <f t="shared" si="19"/>
        <v>0</v>
      </c>
      <c r="D599" s="97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9"/>
    </row>
    <row r="600" spans="1:18" x14ac:dyDescent="0.35">
      <c r="A600" s="88">
        <f t="shared" si="18"/>
        <v>0</v>
      </c>
      <c r="B600" s="89"/>
      <c r="C600" s="90">
        <f t="shared" si="19"/>
        <v>0</v>
      </c>
      <c r="D600" s="97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9"/>
    </row>
    <row r="601" spans="1:18" x14ac:dyDescent="0.35">
      <c r="A601" s="88">
        <f t="shared" si="18"/>
        <v>0</v>
      </c>
      <c r="B601" s="89"/>
      <c r="C601" s="90">
        <f t="shared" si="19"/>
        <v>0</v>
      </c>
      <c r="D601" s="97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9"/>
    </row>
    <row r="602" spans="1:18" x14ac:dyDescent="0.35">
      <c r="A602" s="88">
        <f t="shared" si="18"/>
        <v>0</v>
      </c>
      <c r="B602" s="89"/>
      <c r="C602" s="90">
        <f t="shared" si="19"/>
        <v>0</v>
      </c>
      <c r="D602" s="97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9"/>
    </row>
    <row r="603" spans="1:18" x14ac:dyDescent="0.35">
      <c r="A603" s="88">
        <f t="shared" si="18"/>
        <v>0</v>
      </c>
      <c r="B603" s="89"/>
      <c r="C603" s="90">
        <f t="shared" si="19"/>
        <v>0</v>
      </c>
      <c r="D603" s="97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9"/>
    </row>
    <row r="604" spans="1:18" x14ac:dyDescent="0.35">
      <c r="A604" s="88">
        <f t="shared" si="18"/>
        <v>0</v>
      </c>
      <c r="B604" s="89"/>
      <c r="C604" s="90">
        <f t="shared" si="19"/>
        <v>0</v>
      </c>
      <c r="D604" s="97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9"/>
    </row>
    <row r="605" spans="1:18" x14ac:dyDescent="0.35">
      <c r="A605" s="88">
        <f t="shared" si="18"/>
        <v>0</v>
      </c>
      <c r="B605" s="89"/>
      <c r="C605" s="90">
        <f t="shared" si="19"/>
        <v>0</v>
      </c>
      <c r="D605" s="97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9"/>
    </row>
    <row r="606" spans="1:18" x14ac:dyDescent="0.35">
      <c r="A606" s="88">
        <f t="shared" si="18"/>
        <v>0</v>
      </c>
      <c r="B606" s="89"/>
      <c r="C606" s="90">
        <f t="shared" si="19"/>
        <v>0</v>
      </c>
      <c r="D606" s="97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9"/>
    </row>
    <row r="607" spans="1:18" x14ac:dyDescent="0.35">
      <c r="A607" s="88">
        <f t="shared" si="18"/>
        <v>0</v>
      </c>
      <c r="B607" s="89"/>
      <c r="C607" s="90">
        <f t="shared" si="19"/>
        <v>0</v>
      </c>
      <c r="D607" s="97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9"/>
    </row>
    <row r="608" spans="1:18" x14ac:dyDescent="0.35">
      <c r="A608" s="88">
        <f t="shared" si="18"/>
        <v>0</v>
      </c>
      <c r="B608" s="89"/>
      <c r="C608" s="90">
        <f t="shared" si="19"/>
        <v>0</v>
      </c>
      <c r="D608" s="97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9"/>
    </row>
    <row r="609" spans="1:18" x14ac:dyDescent="0.35">
      <c r="A609" s="88">
        <f t="shared" si="18"/>
        <v>0</v>
      </c>
      <c r="B609" s="89"/>
      <c r="C609" s="90">
        <f t="shared" si="19"/>
        <v>0</v>
      </c>
      <c r="D609" s="97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9"/>
    </row>
    <row r="610" spans="1:18" x14ac:dyDescent="0.35">
      <c r="A610" s="88">
        <f t="shared" si="18"/>
        <v>0</v>
      </c>
      <c r="B610" s="89"/>
      <c r="C610" s="90">
        <f t="shared" si="19"/>
        <v>0</v>
      </c>
      <c r="D610" s="97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9"/>
    </row>
    <row r="611" spans="1:18" x14ac:dyDescent="0.35">
      <c r="A611" s="88">
        <f t="shared" si="18"/>
        <v>0</v>
      </c>
      <c r="B611" s="89"/>
      <c r="C611" s="90">
        <f t="shared" si="19"/>
        <v>0</v>
      </c>
      <c r="D611" s="97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9"/>
    </row>
    <row r="612" spans="1:18" x14ac:dyDescent="0.35">
      <c r="A612" s="88">
        <f t="shared" si="18"/>
        <v>0</v>
      </c>
      <c r="B612" s="89"/>
      <c r="C612" s="90">
        <f t="shared" si="19"/>
        <v>0</v>
      </c>
      <c r="D612" s="97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9"/>
    </row>
    <row r="613" spans="1:18" x14ac:dyDescent="0.35">
      <c r="A613" s="88">
        <f t="shared" si="18"/>
        <v>0</v>
      </c>
      <c r="B613" s="89"/>
      <c r="C613" s="90">
        <f t="shared" si="19"/>
        <v>0</v>
      </c>
      <c r="D613" s="97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9"/>
    </row>
    <row r="614" spans="1:18" x14ac:dyDescent="0.35">
      <c r="A614" s="88">
        <f t="shared" si="18"/>
        <v>0</v>
      </c>
      <c r="B614" s="89"/>
      <c r="C614" s="90">
        <f t="shared" si="19"/>
        <v>0</v>
      </c>
      <c r="D614" s="97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9"/>
    </row>
    <row r="615" spans="1:18" x14ac:dyDescent="0.35">
      <c r="A615" s="88">
        <f t="shared" si="18"/>
        <v>0</v>
      </c>
      <c r="B615" s="89"/>
      <c r="C615" s="90">
        <f t="shared" si="19"/>
        <v>0</v>
      </c>
      <c r="D615" s="97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9"/>
    </row>
    <row r="616" spans="1:18" x14ac:dyDescent="0.35">
      <c r="A616" s="88">
        <f t="shared" si="18"/>
        <v>0</v>
      </c>
      <c r="B616" s="89"/>
      <c r="C616" s="90">
        <f t="shared" si="19"/>
        <v>0</v>
      </c>
      <c r="D616" s="97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9"/>
    </row>
    <row r="617" spans="1:18" x14ac:dyDescent="0.35">
      <c r="A617" s="88">
        <f t="shared" si="18"/>
        <v>0</v>
      </c>
      <c r="B617" s="89"/>
      <c r="C617" s="90">
        <f t="shared" si="19"/>
        <v>0</v>
      </c>
      <c r="D617" s="97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9"/>
    </row>
    <row r="618" spans="1:18" x14ac:dyDescent="0.35">
      <c r="A618" s="88">
        <f t="shared" si="18"/>
        <v>0</v>
      </c>
      <c r="B618" s="89"/>
      <c r="C618" s="90">
        <f t="shared" si="19"/>
        <v>0</v>
      </c>
      <c r="D618" s="97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9"/>
    </row>
    <row r="619" spans="1:18" x14ac:dyDescent="0.35">
      <c r="A619" s="88">
        <f t="shared" si="18"/>
        <v>0</v>
      </c>
      <c r="B619" s="89"/>
      <c r="C619" s="90">
        <f t="shared" si="19"/>
        <v>0</v>
      </c>
      <c r="D619" s="97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9"/>
    </row>
    <row r="620" spans="1:18" x14ac:dyDescent="0.35">
      <c r="A620" s="88">
        <f t="shared" si="18"/>
        <v>0</v>
      </c>
      <c r="B620" s="89"/>
      <c r="C620" s="90">
        <f t="shared" si="19"/>
        <v>0</v>
      </c>
      <c r="D620" s="97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9"/>
    </row>
    <row r="621" spans="1:18" x14ac:dyDescent="0.35">
      <c r="A621" s="88">
        <f t="shared" si="18"/>
        <v>0</v>
      </c>
      <c r="B621" s="89"/>
      <c r="C621" s="90">
        <f t="shared" si="19"/>
        <v>0</v>
      </c>
      <c r="D621" s="97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9"/>
    </row>
    <row r="622" spans="1:18" x14ac:dyDescent="0.35">
      <c r="A622" s="88">
        <f t="shared" si="18"/>
        <v>0</v>
      </c>
      <c r="B622" s="89"/>
      <c r="C622" s="90">
        <f t="shared" si="19"/>
        <v>0</v>
      </c>
      <c r="D622" s="97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9"/>
    </row>
    <row r="623" spans="1:18" x14ac:dyDescent="0.35">
      <c r="A623" s="88">
        <f t="shared" si="18"/>
        <v>0</v>
      </c>
      <c r="B623" s="89"/>
      <c r="C623" s="90">
        <f t="shared" si="19"/>
        <v>0</v>
      </c>
      <c r="D623" s="97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9"/>
    </row>
    <row r="624" spans="1:18" x14ac:dyDescent="0.35">
      <c r="A624" s="88">
        <f t="shared" si="18"/>
        <v>0</v>
      </c>
      <c r="B624" s="89"/>
      <c r="C624" s="90">
        <f t="shared" si="19"/>
        <v>0</v>
      </c>
      <c r="D624" s="97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9"/>
    </row>
    <row r="625" spans="1:18" x14ac:dyDescent="0.35">
      <c r="A625" s="88">
        <f t="shared" si="18"/>
        <v>0</v>
      </c>
      <c r="B625" s="89"/>
      <c r="C625" s="90">
        <f t="shared" si="19"/>
        <v>0</v>
      </c>
      <c r="D625" s="97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9"/>
    </row>
    <row r="626" spans="1:18" x14ac:dyDescent="0.35">
      <c r="A626" s="88">
        <f t="shared" si="18"/>
        <v>0</v>
      </c>
      <c r="B626" s="89"/>
      <c r="C626" s="90">
        <f t="shared" si="19"/>
        <v>0</v>
      </c>
      <c r="D626" s="97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9"/>
    </row>
    <row r="627" spans="1:18" x14ac:dyDescent="0.35">
      <c r="A627" s="88">
        <f t="shared" si="18"/>
        <v>0</v>
      </c>
      <c r="B627" s="89"/>
      <c r="C627" s="90">
        <f t="shared" si="19"/>
        <v>0</v>
      </c>
      <c r="D627" s="97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9"/>
    </row>
    <row r="628" spans="1:18" x14ac:dyDescent="0.35">
      <c r="A628" s="88">
        <f t="shared" si="18"/>
        <v>0</v>
      </c>
      <c r="B628" s="89"/>
      <c r="C628" s="90">
        <f t="shared" si="19"/>
        <v>0</v>
      </c>
      <c r="D628" s="97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9"/>
    </row>
    <row r="629" spans="1:18" x14ac:dyDescent="0.35">
      <c r="A629" s="88">
        <f t="shared" si="18"/>
        <v>0</v>
      </c>
      <c r="B629" s="89"/>
      <c r="C629" s="90">
        <f t="shared" si="19"/>
        <v>0</v>
      </c>
      <c r="D629" s="97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9"/>
    </row>
    <row r="630" spans="1:18" x14ac:dyDescent="0.35">
      <c r="A630" s="88">
        <f t="shared" si="18"/>
        <v>0</v>
      </c>
      <c r="B630" s="89"/>
      <c r="C630" s="90">
        <f t="shared" si="19"/>
        <v>0</v>
      </c>
      <c r="D630" s="97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9"/>
    </row>
    <row r="631" spans="1:18" x14ac:dyDescent="0.35">
      <c r="A631" s="88">
        <f t="shared" si="18"/>
        <v>0</v>
      </c>
      <c r="B631" s="89"/>
      <c r="C631" s="90">
        <f t="shared" si="19"/>
        <v>0</v>
      </c>
      <c r="D631" s="97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9"/>
    </row>
    <row r="632" spans="1:18" x14ac:dyDescent="0.35">
      <c r="A632" s="88">
        <f t="shared" si="18"/>
        <v>0</v>
      </c>
      <c r="B632" s="89"/>
      <c r="C632" s="90">
        <f t="shared" si="19"/>
        <v>0</v>
      </c>
      <c r="D632" s="97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9"/>
    </row>
    <row r="633" spans="1:18" x14ac:dyDescent="0.35">
      <c r="A633" s="88">
        <f t="shared" si="18"/>
        <v>0</v>
      </c>
      <c r="B633" s="89"/>
      <c r="C633" s="90">
        <f t="shared" si="19"/>
        <v>0</v>
      </c>
      <c r="D633" s="97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9"/>
    </row>
    <row r="634" spans="1:18" x14ac:dyDescent="0.35">
      <c r="A634" s="88">
        <f t="shared" si="18"/>
        <v>0</v>
      </c>
      <c r="B634" s="89"/>
      <c r="C634" s="90">
        <f t="shared" si="19"/>
        <v>0</v>
      </c>
      <c r="D634" s="97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9"/>
    </row>
    <row r="635" spans="1:18" x14ac:dyDescent="0.35">
      <c r="A635" s="88">
        <f t="shared" si="18"/>
        <v>0</v>
      </c>
      <c r="B635" s="89"/>
      <c r="C635" s="90">
        <f t="shared" si="19"/>
        <v>0</v>
      </c>
      <c r="D635" s="97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9"/>
    </row>
    <row r="636" spans="1:18" x14ac:dyDescent="0.35">
      <c r="A636" s="88">
        <f t="shared" si="18"/>
        <v>0</v>
      </c>
      <c r="B636" s="89"/>
      <c r="C636" s="90">
        <f t="shared" si="19"/>
        <v>0</v>
      </c>
      <c r="D636" s="97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9"/>
    </row>
    <row r="637" spans="1:18" x14ac:dyDescent="0.35">
      <c r="A637" s="88">
        <f t="shared" si="18"/>
        <v>0</v>
      </c>
      <c r="B637" s="89"/>
      <c r="C637" s="90">
        <f t="shared" si="19"/>
        <v>0</v>
      </c>
      <c r="D637" s="97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9"/>
    </row>
    <row r="638" spans="1:18" x14ac:dyDescent="0.35">
      <c r="A638" s="88">
        <f t="shared" si="18"/>
        <v>0</v>
      </c>
      <c r="B638" s="89"/>
      <c r="C638" s="90">
        <f t="shared" si="19"/>
        <v>0</v>
      </c>
      <c r="D638" s="97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9"/>
    </row>
    <row r="639" spans="1:18" x14ac:dyDescent="0.35">
      <c r="A639" s="88">
        <f t="shared" si="18"/>
        <v>0</v>
      </c>
      <c r="B639" s="89"/>
      <c r="C639" s="90">
        <f t="shared" si="19"/>
        <v>0</v>
      </c>
      <c r="D639" s="97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9"/>
    </row>
    <row r="640" spans="1:18" x14ac:dyDescent="0.35">
      <c r="A640" s="88">
        <f t="shared" si="18"/>
        <v>0</v>
      </c>
      <c r="B640" s="89"/>
      <c r="C640" s="90">
        <f t="shared" si="19"/>
        <v>0</v>
      </c>
      <c r="D640" s="97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9"/>
    </row>
    <row r="641" spans="1:18" x14ac:dyDescent="0.35">
      <c r="A641" s="88">
        <f t="shared" si="18"/>
        <v>0</v>
      </c>
      <c r="B641" s="89"/>
      <c r="C641" s="90">
        <f t="shared" si="19"/>
        <v>0</v>
      </c>
      <c r="D641" s="97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9"/>
    </row>
    <row r="642" spans="1:18" x14ac:dyDescent="0.35">
      <c r="A642" s="88">
        <f t="shared" si="18"/>
        <v>0</v>
      </c>
      <c r="B642" s="89"/>
      <c r="C642" s="90">
        <f t="shared" si="19"/>
        <v>0</v>
      </c>
      <c r="D642" s="97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9"/>
    </row>
    <row r="643" spans="1:18" x14ac:dyDescent="0.35">
      <c r="A643" s="88">
        <f t="shared" si="18"/>
        <v>0</v>
      </c>
      <c r="B643" s="89"/>
      <c r="C643" s="90">
        <f t="shared" si="19"/>
        <v>0</v>
      </c>
      <c r="D643" s="97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9"/>
    </row>
    <row r="644" spans="1:18" x14ac:dyDescent="0.35">
      <c r="A644" s="88">
        <f t="shared" ref="A644:A707" si="20">F644</f>
        <v>0</v>
      </c>
      <c r="B644" s="89"/>
      <c r="C644" s="90">
        <f t="shared" ref="C644:C707" si="21">F644</f>
        <v>0</v>
      </c>
      <c r="D644" s="97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9"/>
    </row>
    <row r="645" spans="1:18" x14ac:dyDescent="0.35">
      <c r="A645" s="88">
        <f t="shared" si="20"/>
        <v>0</v>
      </c>
      <c r="B645" s="89"/>
      <c r="C645" s="90">
        <f t="shared" si="21"/>
        <v>0</v>
      </c>
      <c r="D645" s="97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9"/>
    </row>
    <row r="646" spans="1:18" x14ac:dyDescent="0.35">
      <c r="A646" s="88">
        <f t="shared" si="20"/>
        <v>0</v>
      </c>
      <c r="B646" s="89"/>
      <c r="C646" s="90">
        <f t="shared" si="21"/>
        <v>0</v>
      </c>
      <c r="D646" s="97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9"/>
    </row>
    <row r="647" spans="1:18" x14ac:dyDescent="0.35">
      <c r="A647" s="88">
        <f t="shared" si="20"/>
        <v>0</v>
      </c>
      <c r="B647" s="89"/>
      <c r="C647" s="90">
        <f t="shared" si="21"/>
        <v>0</v>
      </c>
      <c r="D647" s="97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9"/>
    </row>
    <row r="648" spans="1:18" x14ac:dyDescent="0.35">
      <c r="A648" s="88">
        <f t="shared" si="20"/>
        <v>0</v>
      </c>
      <c r="B648" s="89"/>
      <c r="C648" s="90">
        <f t="shared" si="21"/>
        <v>0</v>
      </c>
      <c r="D648" s="97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9"/>
    </row>
    <row r="649" spans="1:18" x14ac:dyDescent="0.35">
      <c r="A649" s="88">
        <f t="shared" si="20"/>
        <v>0</v>
      </c>
      <c r="B649" s="89"/>
      <c r="C649" s="90">
        <f t="shared" si="21"/>
        <v>0</v>
      </c>
      <c r="D649" s="97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9"/>
    </row>
    <row r="650" spans="1:18" x14ac:dyDescent="0.35">
      <c r="A650" s="88">
        <f t="shared" si="20"/>
        <v>0</v>
      </c>
      <c r="B650" s="89"/>
      <c r="C650" s="90">
        <f t="shared" si="21"/>
        <v>0</v>
      </c>
      <c r="D650" s="97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9"/>
    </row>
    <row r="651" spans="1:18" x14ac:dyDescent="0.35">
      <c r="A651" s="88">
        <f t="shared" si="20"/>
        <v>0</v>
      </c>
      <c r="B651" s="89"/>
      <c r="C651" s="90">
        <f t="shared" si="21"/>
        <v>0</v>
      </c>
      <c r="D651" s="97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9"/>
    </row>
    <row r="652" spans="1:18" x14ac:dyDescent="0.35">
      <c r="A652" s="88">
        <f t="shared" si="20"/>
        <v>0</v>
      </c>
      <c r="B652" s="89"/>
      <c r="C652" s="90">
        <f t="shared" si="21"/>
        <v>0</v>
      </c>
      <c r="D652" s="97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9"/>
    </row>
    <row r="653" spans="1:18" x14ac:dyDescent="0.35">
      <c r="A653" s="88">
        <f t="shared" si="20"/>
        <v>0</v>
      </c>
      <c r="B653" s="89"/>
      <c r="C653" s="90">
        <f t="shared" si="21"/>
        <v>0</v>
      </c>
      <c r="D653" s="97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9"/>
    </row>
    <row r="654" spans="1:18" x14ac:dyDescent="0.35">
      <c r="A654" s="88">
        <f t="shared" si="20"/>
        <v>0</v>
      </c>
      <c r="B654" s="89"/>
      <c r="C654" s="90">
        <f t="shared" si="21"/>
        <v>0</v>
      </c>
      <c r="D654" s="97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9"/>
    </row>
    <row r="655" spans="1:18" x14ac:dyDescent="0.35">
      <c r="A655" s="88">
        <f t="shared" si="20"/>
        <v>0</v>
      </c>
      <c r="B655" s="89"/>
      <c r="C655" s="90">
        <f t="shared" si="21"/>
        <v>0</v>
      </c>
      <c r="D655" s="97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9"/>
    </row>
    <row r="656" spans="1:18" x14ac:dyDescent="0.35">
      <c r="A656" s="88">
        <f t="shared" si="20"/>
        <v>0</v>
      </c>
      <c r="B656" s="89"/>
      <c r="C656" s="90">
        <f t="shared" si="21"/>
        <v>0</v>
      </c>
      <c r="D656" s="97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9"/>
    </row>
    <row r="657" spans="1:18" x14ac:dyDescent="0.35">
      <c r="A657" s="88">
        <f t="shared" si="20"/>
        <v>0</v>
      </c>
      <c r="B657" s="89"/>
      <c r="C657" s="90">
        <f t="shared" si="21"/>
        <v>0</v>
      </c>
      <c r="D657" s="97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9"/>
    </row>
    <row r="658" spans="1:18" x14ac:dyDescent="0.35">
      <c r="A658" s="88">
        <f t="shared" si="20"/>
        <v>0</v>
      </c>
      <c r="B658" s="89"/>
      <c r="C658" s="90">
        <f t="shared" si="21"/>
        <v>0</v>
      </c>
      <c r="D658" s="97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9"/>
    </row>
    <row r="659" spans="1:18" x14ac:dyDescent="0.35">
      <c r="A659" s="88">
        <f t="shared" si="20"/>
        <v>0</v>
      </c>
      <c r="B659" s="89"/>
      <c r="C659" s="90">
        <f t="shared" si="21"/>
        <v>0</v>
      </c>
      <c r="D659" s="97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9"/>
    </row>
    <row r="660" spans="1:18" x14ac:dyDescent="0.35">
      <c r="A660" s="88">
        <f t="shared" si="20"/>
        <v>0</v>
      </c>
      <c r="B660" s="89"/>
      <c r="C660" s="90">
        <f t="shared" si="21"/>
        <v>0</v>
      </c>
      <c r="D660" s="97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9"/>
    </row>
    <row r="661" spans="1:18" x14ac:dyDescent="0.35">
      <c r="A661" s="88">
        <f t="shared" si="20"/>
        <v>0</v>
      </c>
      <c r="B661" s="89"/>
      <c r="C661" s="90">
        <f t="shared" si="21"/>
        <v>0</v>
      </c>
      <c r="D661" s="97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9"/>
    </row>
    <row r="662" spans="1:18" x14ac:dyDescent="0.35">
      <c r="A662" s="88">
        <f t="shared" si="20"/>
        <v>0</v>
      </c>
      <c r="B662" s="89"/>
      <c r="C662" s="90">
        <f t="shared" si="21"/>
        <v>0</v>
      </c>
      <c r="D662" s="97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9"/>
    </row>
    <row r="663" spans="1:18" x14ac:dyDescent="0.35">
      <c r="A663" s="88">
        <f t="shared" si="20"/>
        <v>0</v>
      </c>
      <c r="B663" s="89"/>
      <c r="C663" s="90">
        <f t="shared" si="21"/>
        <v>0</v>
      </c>
      <c r="D663" s="97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9"/>
    </row>
    <row r="664" spans="1:18" x14ac:dyDescent="0.35">
      <c r="A664" s="88">
        <f t="shared" si="20"/>
        <v>0</v>
      </c>
      <c r="B664" s="89"/>
      <c r="C664" s="90">
        <f t="shared" si="21"/>
        <v>0</v>
      </c>
      <c r="D664" s="97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9"/>
    </row>
    <row r="665" spans="1:18" x14ac:dyDescent="0.35">
      <c r="A665" s="88">
        <f t="shared" si="20"/>
        <v>0</v>
      </c>
      <c r="B665" s="89"/>
      <c r="C665" s="90">
        <f t="shared" si="21"/>
        <v>0</v>
      </c>
      <c r="D665" s="97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9"/>
    </row>
    <row r="666" spans="1:18" x14ac:dyDescent="0.35">
      <c r="A666" s="88">
        <f t="shared" si="20"/>
        <v>0</v>
      </c>
      <c r="B666" s="89"/>
      <c r="C666" s="90">
        <f t="shared" si="21"/>
        <v>0</v>
      </c>
      <c r="D666" s="97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9"/>
    </row>
    <row r="667" spans="1:18" x14ac:dyDescent="0.35">
      <c r="A667" s="88">
        <f t="shared" si="20"/>
        <v>0</v>
      </c>
      <c r="B667" s="89"/>
      <c r="C667" s="90">
        <f t="shared" si="21"/>
        <v>0</v>
      </c>
      <c r="D667" s="97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9"/>
    </row>
    <row r="668" spans="1:18" x14ac:dyDescent="0.35">
      <c r="A668" s="88">
        <f t="shared" si="20"/>
        <v>0</v>
      </c>
      <c r="B668" s="89"/>
      <c r="C668" s="90">
        <f t="shared" si="21"/>
        <v>0</v>
      </c>
      <c r="D668" s="97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9"/>
    </row>
    <row r="669" spans="1:18" x14ac:dyDescent="0.35">
      <c r="A669" s="88">
        <f t="shared" si="20"/>
        <v>0</v>
      </c>
      <c r="B669" s="89"/>
      <c r="C669" s="90">
        <f t="shared" si="21"/>
        <v>0</v>
      </c>
      <c r="D669" s="97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9"/>
    </row>
    <row r="670" spans="1:18" x14ac:dyDescent="0.35">
      <c r="A670" s="88">
        <f t="shared" si="20"/>
        <v>0</v>
      </c>
      <c r="B670" s="89"/>
      <c r="C670" s="90">
        <f t="shared" si="21"/>
        <v>0</v>
      </c>
      <c r="D670" s="97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9"/>
    </row>
    <row r="671" spans="1:18" x14ac:dyDescent="0.35">
      <c r="A671" s="88">
        <f t="shared" si="20"/>
        <v>0</v>
      </c>
      <c r="B671" s="89"/>
      <c r="C671" s="90">
        <f t="shared" si="21"/>
        <v>0</v>
      </c>
      <c r="D671" s="97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9"/>
    </row>
    <row r="672" spans="1:18" x14ac:dyDescent="0.35">
      <c r="A672" s="88">
        <f t="shared" si="20"/>
        <v>0</v>
      </c>
      <c r="B672" s="89"/>
      <c r="C672" s="90">
        <f t="shared" si="21"/>
        <v>0</v>
      </c>
      <c r="D672" s="97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9"/>
    </row>
    <row r="673" spans="1:18" x14ac:dyDescent="0.35">
      <c r="A673" s="88">
        <f t="shared" si="20"/>
        <v>0</v>
      </c>
      <c r="B673" s="89"/>
      <c r="C673" s="90">
        <f t="shared" si="21"/>
        <v>0</v>
      </c>
      <c r="D673" s="97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9"/>
    </row>
    <row r="674" spans="1:18" x14ac:dyDescent="0.35">
      <c r="A674" s="88">
        <f t="shared" si="20"/>
        <v>0</v>
      </c>
      <c r="B674" s="89"/>
      <c r="C674" s="90">
        <f t="shared" si="21"/>
        <v>0</v>
      </c>
      <c r="D674" s="97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9"/>
    </row>
    <row r="675" spans="1:18" x14ac:dyDescent="0.35">
      <c r="A675" s="88">
        <f t="shared" si="20"/>
        <v>0</v>
      </c>
      <c r="B675" s="89"/>
      <c r="C675" s="90">
        <f t="shared" si="21"/>
        <v>0</v>
      </c>
      <c r="D675" s="97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9"/>
    </row>
    <row r="676" spans="1:18" x14ac:dyDescent="0.35">
      <c r="A676" s="88">
        <f t="shared" si="20"/>
        <v>0</v>
      </c>
      <c r="B676" s="89"/>
      <c r="C676" s="90">
        <f t="shared" si="21"/>
        <v>0</v>
      </c>
      <c r="D676" s="97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9"/>
    </row>
    <row r="677" spans="1:18" x14ac:dyDescent="0.35">
      <c r="A677" s="88">
        <f t="shared" si="20"/>
        <v>0</v>
      </c>
      <c r="B677" s="89"/>
      <c r="C677" s="90">
        <f t="shared" si="21"/>
        <v>0</v>
      </c>
      <c r="D677" s="97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9"/>
    </row>
    <row r="678" spans="1:18" x14ac:dyDescent="0.35">
      <c r="A678" s="88">
        <f t="shared" si="20"/>
        <v>0</v>
      </c>
      <c r="B678" s="89"/>
      <c r="C678" s="90">
        <f t="shared" si="21"/>
        <v>0</v>
      </c>
      <c r="D678" s="97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9"/>
    </row>
    <row r="679" spans="1:18" x14ac:dyDescent="0.35">
      <c r="A679" s="88">
        <f t="shared" si="20"/>
        <v>0</v>
      </c>
      <c r="B679" s="89"/>
      <c r="C679" s="90">
        <f t="shared" si="21"/>
        <v>0</v>
      </c>
      <c r="D679" s="97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9"/>
    </row>
    <row r="680" spans="1:18" x14ac:dyDescent="0.35">
      <c r="A680" s="88">
        <f t="shared" si="20"/>
        <v>0</v>
      </c>
      <c r="B680" s="89"/>
      <c r="C680" s="90">
        <f t="shared" si="21"/>
        <v>0</v>
      </c>
      <c r="D680" s="97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9"/>
    </row>
    <row r="681" spans="1:18" x14ac:dyDescent="0.35">
      <c r="A681" s="88">
        <f t="shared" si="20"/>
        <v>0</v>
      </c>
      <c r="B681" s="89"/>
      <c r="C681" s="90">
        <f t="shared" si="21"/>
        <v>0</v>
      </c>
      <c r="D681" s="97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9"/>
    </row>
    <row r="682" spans="1:18" x14ac:dyDescent="0.35">
      <c r="A682" s="88">
        <f t="shared" si="20"/>
        <v>0</v>
      </c>
      <c r="B682" s="89"/>
      <c r="C682" s="90">
        <f t="shared" si="21"/>
        <v>0</v>
      </c>
      <c r="D682" s="97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9"/>
    </row>
    <row r="683" spans="1:18" x14ac:dyDescent="0.35">
      <c r="A683" s="88">
        <f t="shared" si="20"/>
        <v>0</v>
      </c>
      <c r="B683" s="89"/>
      <c r="C683" s="90">
        <f t="shared" si="21"/>
        <v>0</v>
      </c>
      <c r="D683" s="97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9"/>
    </row>
    <row r="684" spans="1:18" x14ac:dyDescent="0.35">
      <c r="A684" s="88">
        <f t="shared" si="20"/>
        <v>0</v>
      </c>
      <c r="B684" s="89"/>
      <c r="C684" s="90">
        <f t="shared" si="21"/>
        <v>0</v>
      </c>
      <c r="D684" s="97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9"/>
    </row>
    <row r="685" spans="1:18" x14ac:dyDescent="0.35">
      <c r="A685" s="88">
        <f t="shared" si="20"/>
        <v>0</v>
      </c>
      <c r="B685" s="89"/>
      <c r="C685" s="90">
        <f t="shared" si="21"/>
        <v>0</v>
      </c>
      <c r="D685" s="97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9"/>
    </row>
    <row r="686" spans="1:18" x14ac:dyDescent="0.35">
      <c r="A686" s="88">
        <f t="shared" si="20"/>
        <v>0</v>
      </c>
      <c r="B686" s="89"/>
      <c r="C686" s="90">
        <f t="shared" si="21"/>
        <v>0</v>
      </c>
      <c r="D686" s="97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9"/>
    </row>
    <row r="687" spans="1:18" x14ac:dyDescent="0.35">
      <c r="A687" s="88">
        <f t="shared" si="20"/>
        <v>0</v>
      </c>
      <c r="B687" s="89"/>
      <c r="C687" s="90">
        <f t="shared" si="21"/>
        <v>0</v>
      </c>
      <c r="D687" s="97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9"/>
    </row>
    <row r="688" spans="1:18" x14ac:dyDescent="0.35">
      <c r="A688" s="88">
        <f t="shared" si="20"/>
        <v>0</v>
      </c>
      <c r="B688" s="89"/>
      <c r="C688" s="90">
        <f t="shared" si="21"/>
        <v>0</v>
      </c>
      <c r="D688" s="97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9"/>
    </row>
    <row r="689" spans="1:18" x14ac:dyDescent="0.35">
      <c r="A689" s="88">
        <f t="shared" si="20"/>
        <v>0</v>
      </c>
      <c r="B689" s="89"/>
      <c r="C689" s="90">
        <f t="shared" si="21"/>
        <v>0</v>
      </c>
      <c r="D689" s="97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9"/>
    </row>
    <row r="690" spans="1:18" x14ac:dyDescent="0.35">
      <c r="A690" s="88">
        <f t="shared" si="20"/>
        <v>0</v>
      </c>
      <c r="B690" s="89"/>
      <c r="C690" s="90">
        <f t="shared" si="21"/>
        <v>0</v>
      </c>
      <c r="D690" s="97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9"/>
    </row>
    <row r="691" spans="1:18" x14ac:dyDescent="0.35">
      <c r="A691" s="88">
        <f t="shared" si="20"/>
        <v>0</v>
      </c>
      <c r="B691" s="89"/>
      <c r="C691" s="90">
        <f t="shared" si="21"/>
        <v>0</v>
      </c>
      <c r="D691" s="97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9"/>
    </row>
    <row r="692" spans="1:18" x14ac:dyDescent="0.35">
      <c r="A692" s="88">
        <f t="shared" si="20"/>
        <v>0</v>
      </c>
      <c r="B692" s="89"/>
      <c r="C692" s="90">
        <f t="shared" si="21"/>
        <v>0</v>
      </c>
      <c r="D692" s="97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9"/>
    </row>
    <row r="693" spans="1:18" x14ac:dyDescent="0.35">
      <c r="A693" s="88">
        <f t="shared" si="20"/>
        <v>0</v>
      </c>
      <c r="B693" s="89"/>
      <c r="C693" s="90">
        <f t="shared" si="21"/>
        <v>0</v>
      </c>
      <c r="D693" s="97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9"/>
    </row>
    <row r="694" spans="1:18" x14ac:dyDescent="0.35">
      <c r="A694" s="88">
        <f t="shared" si="20"/>
        <v>0</v>
      </c>
      <c r="B694" s="89"/>
      <c r="C694" s="90">
        <f t="shared" si="21"/>
        <v>0</v>
      </c>
      <c r="D694" s="97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9"/>
    </row>
    <row r="695" spans="1:18" x14ac:dyDescent="0.35">
      <c r="A695" s="88">
        <f t="shared" si="20"/>
        <v>0</v>
      </c>
      <c r="B695" s="89"/>
      <c r="C695" s="90">
        <f t="shared" si="21"/>
        <v>0</v>
      </c>
      <c r="D695" s="97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9"/>
    </row>
    <row r="696" spans="1:18" x14ac:dyDescent="0.35">
      <c r="A696" s="88">
        <f t="shared" si="20"/>
        <v>0</v>
      </c>
      <c r="B696" s="89"/>
      <c r="C696" s="90">
        <f t="shared" si="21"/>
        <v>0</v>
      </c>
      <c r="D696" s="97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9"/>
    </row>
    <row r="697" spans="1:18" x14ac:dyDescent="0.35">
      <c r="A697" s="88">
        <f t="shared" si="20"/>
        <v>0</v>
      </c>
      <c r="B697" s="89"/>
      <c r="C697" s="90">
        <f t="shared" si="21"/>
        <v>0</v>
      </c>
      <c r="D697" s="97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9"/>
    </row>
    <row r="698" spans="1:18" x14ac:dyDescent="0.35">
      <c r="A698" s="88">
        <f t="shared" si="20"/>
        <v>0</v>
      </c>
      <c r="B698" s="89"/>
      <c r="C698" s="90">
        <f t="shared" si="21"/>
        <v>0</v>
      </c>
      <c r="D698" s="97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9"/>
    </row>
    <row r="699" spans="1:18" x14ac:dyDescent="0.35">
      <c r="A699" s="88">
        <f t="shared" si="20"/>
        <v>0</v>
      </c>
      <c r="B699" s="89"/>
      <c r="C699" s="90">
        <f t="shared" si="21"/>
        <v>0</v>
      </c>
      <c r="D699" s="97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9"/>
    </row>
    <row r="700" spans="1:18" x14ac:dyDescent="0.35">
      <c r="A700" s="88">
        <f t="shared" si="20"/>
        <v>0</v>
      </c>
      <c r="B700" s="89"/>
      <c r="C700" s="90">
        <f t="shared" si="21"/>
        <v>0</v>
      </c>
      <c r="D700" s="97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9"/>
    </row>
    <row r="701" spans="1:18" x14ac:dyDescent="0.35">
      <c r="A701" s="88">
        <f t="shared" si="20"/>
        <v>0</v>
      </c>
      <c r="B701" s="89"/>
      <c r="C701" s="90">
        <f t="shared" si="21"/>
        <v>0</v>
      </c>
      <c r="D701" s="97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9"/>
    </row>
    <row r="702" spans="1:18" x14ac:dyDescent="0.35">
      <c r="A702" s="88">
        <f t="shared" si="20"/>
        <v>0</v>
      </c>
      <c r="B702" s="89"/>
      <c r="C702" s="90">
        <f t="shared" si="21"/>
        <v>0</v>
      </c>
      <c r="D702" s="97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9"/>
    </row>
    <row r="703" spans="1:18" x14ac:dyDescent="0.35">
      <c r="A703" s="88">
        <f t="shared" si="20"/>
        <v>0</v>
      </c>
      <c r="B703" s="89"/>
      <c r="C703" s="90">
        <f t="shared" si="21"/>
        <v>0</v>
      </c>
      <c r="D703" s="97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9"/>
    </row>
    <row r="704" spans="1:18" x14ac:dyDescent="0.35">
      <c r="A704" s="88">
        <f t="shared" si="20"/>
        <v>0</v>
      </c>
      <c r="B704" s="89"/>
      <c r="C704" s="90">
        <f t="shared" si="21"/>
        <v>0</v>
      </c>
      <c r="D704" s="97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9"/>
    </row>
    <row r="705" spans="1:18" x14ac:dyDescent="0.35">
      <c r="A705" s="88">
        <f t="shared" si="20"/>
        <v>0</v>
      </c>
      <c r="B705" s="89"/>
      <c r="C705" s="90">
        <f t="shared" si="21"/>
        <v>0</v>
      </c>
      <c r="D705" s="97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9"/>
    </row>
    <row r="706" spans="1:18" x14ac:dyDescent="0.35">
      <c r="A706" s="88">
        <f t="shared" si="20"/>
        <v>0</v>
      </c>
      <c r="B706" s="89"/>
      <c r="C706" s="90">
        <f t="shared" si="21"/>
        <v>0</v>
      </c>
      <c r="D706" s="97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9"/>
    </row>
    <row r="707" spans="1:18" x14ac:dyDescent="0.35">
      <c r="A707" s="88">
        <f t="shared" si="20"/>
        <v>0</v>
      </c>
      <c r="B707" s="89"/>
      <c r="C707" s="90">
        <f t="shared" si="21"/>
        <v>0</v>
      </c>
      <c r="D707" s="97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9"/>
    </row>
    <row r="708" spans="1:18" x14ac:dyDescent="0.35">
      <c r="A708" s="88">
        <f t="shared" ref="A708:A771" si="22">F708</f>
        <v>0</v>
      </c>
      <c r="B708" s="89"/>
      <c r="C708" s="90">
        <f t="shared" ref="C708:C771" si="23">F708</f>
        <v>0</v>
      </c>
      <c r="D708" s="97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9"/>
    </row>
    <row r="709" spans="1:18" x14ac:dyDescent="0.35">
      <c r="A709" s="88">
        <f t="shared" si="22"/>
        <v>0</v>
      </c>
      <c r="B709" s="89"/>
      <c r="C709" s="90">
        <f t="shared" si="23"/>
        <v>0</v>
      </c>
      <c r="D709" s="97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9"/>
    </row>
    <row r="710" spans="1:18" x14ac:dyDescent="0.35">
      <c r="A710" s="88">
        <f t="shared" si="22"/>
        <v>0</v>
      </c>
      <c r="B710" s="89"/>
      <c r="C710" s="90">
        <f t="shared" si="23"/>
        <v>0</v>
      </c>
      <c r="D710" s="97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9"/>
    </row>
    <row r="711" spans="1:18" x14ac:dyDescent="0.35">
      <c r="A711" s="88">
        <f t="shared" si="22"/>
        <v>0</v>
      </c>
      <c r="B711" s="89"/>
      <c r="C711" s="90">
        <f t="shared" si="23"/>
        <v>0</v>
      </c>
      <c r="D711" s="97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9"/>
    </row>
    <row r="712" spans="1:18" x14ac:dyDescent="0.35">
      <c r="A712" s="88">
        <f t="shared" si="22"/>
        <v>0</v>
      </c>
      <c r="B712" s="89"/>
      <c r="C712" s="90">
        <f t="shared" si="23"/>
        <v>0</v>
      </c>
      <c r="D712" s="97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9"/>
    </row>
    <row r="713" spans="1:18" x14ac:dyDescent="0.35">
      <c r="A713" s="88">
        <f t="shared" si="22"/>
        <v>0</v>
      </c>
      <c r="B713" s="89"/>
      <c r="C713" s="90">
        <f t="shared" si="23"/>
        <v>0</v>
      </c>
      <c r="D713" s="97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9"/>
    </row>
    <row r="714" spans="1:18" x14ac:dyDescent="0.35">
      <c r="A714" s="88">
        <f t="shared" si="22"/>
        <v>0</v>
      </c>
      <c r="B714" s="89"/>
      <c r="C714" s="90">
        <f t="shared" si="23"/>
        <v>0</v>
      </c>
      <c r="D714" s="97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9"/>
    </row>
    <row r="715" spans="1:18" x14ac:dyDescent="0.35">
      <c r="A715" s="88">
        <f t="shared" si="22"/>
        <v>0</v>
      </c>
      <c r="B715" s="89"/>
      <c r="C715" s="90">
        <f t="shared" si="23"/>
        <v>0</v>
      </c>
      <c r="D715" s="97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9"/>
    </row>
    <row r="716" spans="1:18" x14ac:dyDescent="0.35">
      <c r="A716" s="88">
        <f t="shared" si="22"/>
        <v>0</v>
      </c>
      <c r="B716" s="89"/>
      <c r="C716" s="90">
        <f t="shared" si="23"/>
        <v>0</v>
      </c>
      <c r="D716" s="97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9"/>
    </row>
    <row r="717" spans="1:18" x14ac:dyDescent="0.35">
      <c r="A717" s="88">
        <f t="shared" si="22"/>
        <v>0</v>
      </c>
      <c r="B717" s="89"/>
      <c r="C717" s="90">
        <f t="shared" si="23"/>
        <v>0</v>
      </c>
      <c r="D717" s="97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9"/>
    </row>
    <row r="718" spans="1:18" x14ac:dyDescent="0.35">
      <c r="A718" s="88">
        <f t="shared" si="22"/>
        <v>0</v>
      </c>
      <c r="B718" s="89"/>
      <c r="C718" s="90">
        <f t="shared" si="23"/>
        <v>0</v>
      </c>
      <c r="D718" s="97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9"/>
    </row>
    <row r="719" spans="1:18" x14ac:dyDescent="0.35">
      <c r="A719" s="88">
        <f t="shared" si="22"/>
        <v>0</v>
      </c>
      <c r="B719" s="89"/>
      <c r="C719" s="90">
        <f t="shared" si="23"/>
        <v>0</v>
      </c>
      <c r="D719" s="97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9"/>
    </row>
    <row r="720" spans="1:18" x14ac:dyDescent="0.35">
      <c r="A720" s="88">
        <f t="shared" si="22"/>
        <v>0</v>
      </c>
      <c r="B720" s="89"/>
      <c r="C720" s="90">
        <f t="shared" si="23"/>
        <v>0</v>
      </c>
      <c r="D720" s="97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9"/>
    </row>
    <row r="721" spans="1:18" x14ac:dyDescent="0.35">
      <c r="A721" s="88">
        <f t="shared" si="22"/>
        <v>0</v>
      </c>
      <c r="B721" s="89"/>
      <c r="C721" s="90">
        <f t="shared" si="23"/>
        <v>0</v>
      </c>
      <c r="D721" s="97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9"/>
    </row>
    <row r="722" spans="1:18" x14ac:dyDescent="0.35">
      <c r="A722" s="88">
        <f t="shared" si="22"/>
        <v>0</v>
      </c>
      <c r="B722" s="89"/>
      <c r="C722" s="90">
        <f t="shared" si="23"/>
        <v>0</v>
      </c>
      <c r="D722" s="97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9"/>
    </row>
    <row r="723" spans="1:18" x14ac:dyDescent="0.35">
      <c r="A723" s="88">
        <f t="shared" si="22"/>
        <v>0</v>
      </c>
      <c r="B723" s="89"/>
      <c r="C723" s="90">
        <f t="shared" si="23"/>
        <v>0</v>
      </c>
      <c r="D723" s="97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9"/>
    </row>
    <row r="724" spans="1:18" x14ac:dyDescent="0.35">
      <c r="A724" s="88">
        <f t="shared" si="22"/>
        <v>0</v>
      </c>
      <c r="B724" s="89"/>
      <c r="C724" s="90">
        <f t="shared" si="23"/>
        <v>0</v>
      </c>
      <c r="D724" s="97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9"/>
    </row>
    <row r="725" spans="1:18" x14ac:dyDescent="0.35">
      <c r="A725" s="88">
        <f t="shared" si="22"/>
        <v>0</v>
      </c>
      <c r="B725" s="89"/>
      <c r="C725" s="90">
        <f t="shared" si="23"/>
        <v>0</v>
      </c>
      <c r="D725" s="97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9"/>
    </row>
    <row r="726" spans="1:18" x14ac:dyDescent="0.35">
      <c r="A726" s="88">
        <f t="shared" si="22"/>
        <v>0</v>
      </c>
      <c r="B726" s="89"/>
      <c r="C726" s="90">
        <f t="shared" si="23"/>
        <v>0</v>
      </c>
      <c r="D726" s="97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9"/>
    </row>
    <row r="727" spans="1:18" x14ac:dyDescent="0.35">
      <c r="A727" s="88">
        <f t="shared" si="22"/>
        <v>0</v>
      </c>
      <c r="B727" s="89"/>
      <c r="C727" s="90">
        <f t="shared" si="23"/>
        <v>0</v>
      </c>
      <c r="D727" s="97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9"/>
    </row>
    <row r="728" spans="1:18" x14ac:dyDescent="0.35">
      <c r="A728" s="88">
        <f t="shared" si="22"/>
        <v>0</v>
      </c>
      <c r="B728" s="89"/>
      <c r="C728" s="90">
        <f t="shared" si="23"/>
        <v>0</v>
      </c>
      <c r="D728" s="97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9"/>
    </row>
    <row r="729" spans="1:18" x14ac:dyDescent="0.35">
      <c r="A729" s="88">
        <f t="shared" si="22"/>
        <v>0</v>
      </c>
      <c r="B729" s="89"/>
      <c r="C729" s="90">
        <f t="shared" si="23"/>
        <v>0</v>
      </c>
      <c r="D729" s="97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9"/>
    </row>
    <row r="730" spans="1:18" x14ac:dyDescent="0.35">
      <c r="A730" s="88">
        <f t="shared" si="22"/>
        <v>0</v>
      </c>
      <c r="B730" s="89"/>
      <c r="C730" s="90">
        <f t="shared" si="23"/>
        <v>0</v>
      </c>
      <c r="D730" s="97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9"/>
    </row>
    <row r="731" spans="1:18" x14ac:dyDescent="0.35">
      <c r="A731" s="88">
        <f t="shared" si="22"/>
        <v>0</v>
      </c>
      <c r="B731" s="89"/>
      <c r="C731" s="90">
        <f t="shared" si="23"/>
        <v>0</v>
      </c>
      <c r="D731" s="97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9"/>
    </row>
    <row r="732" spans="1:18" x14ac:dyDescent="0.35">
      <c r="A732" s="88">
        <f t="shared" si="22"/>
        <v>0</v>
      </c>
      <c r="B732" s="89"/>
      <c r="C732" s="90">
        <f t="shared" si="23"/>
        <v>0</v>
      </c>
      <c r="D732" s="97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9"/>
    </row>
    <row r="733" spans="1:18" x14ac:dyDescent="0.35">
      <c r="A733" s="88">
        <f t="shared" si="22"/>
        <v>0</v>
      </c>
      <c r="B733" s="89"/>
      <c r="C733" s="90">
        <f t="shared" si="23"/>
        <v>0</v>
      </c>
      <c r="D733" s="97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9"/>
    </row>
    <row r="734" spans="1:18" x14ac:dyDescent="0.35">
      <c r="A734" s="88">
        <f t="shared" si="22"/>
        <v>0</v>
      </c>
      <c r="B734" s="89"/>
      <c r="C734" s="90">
        <f t="shared" si="23"/>
        <v>0</v>
      </c>
      <c r="D734" s="97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9"/>
    </row>
    <row r="735" spans="1:18" x14ac:dyDescent="0.35">
      <c r="A735" s="88">
        <f t="shared" si="22"/>
        <v>0</v>
      </c>
      <c r="B735" s="89"/>
      <c r="C735" s="90">
        <f t="shared" si="23"/>
        <v>0</v>
      </c>
      <c r="D735" s="97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9"/>
    </row>
    <row r="736" spans="1:18" x14ac:dyDescent="0.35">
      <c r="A736" s="88">
        <f t="shared" si="22"/>
        <v>0</v>
      </c>
      <c r="B736" s="89"/>
      <c r="C736" s="90">
        <f t="shared" si="23"/>
        <v>0</v>
      </c>
      <c r="D736" s="97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9"/>
    </row>
    <row r="737" spans="1:18" x14ac:dyDescent="0.35">
      <c r="A737" s="88">
        <f t="shared" si="22"/>
        <v>0</v>
      </c>
      <c r="B737" s="89"/>
      <c r="C737" s="90">
        <f t="shared" si="23"/>
        <v>0</v>
      </c>
      <c r="D737" s="97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9"/>
    </row>
    <row r="738" spans="1:18" x14ac:dyDescent="0.35">
      <c r="A738" s="88">
        <f t="shared" si="22"/>
        <v>0</v>
      </c>
      <c r="B738" s="89"/>
      <c r="C738" s="90">
        <f t="shared" si="23"/>
        <v>0</v>
      </c>
      <c r="D738" s="97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9"/>
    </row>
    <row r="739" spans="1:18" x14ac:dyDescent="0.35">
      <c r="A739" s="88">
        <f t="shared" si="22"/>
        <v>0</v>
      </c>
      <c r="B739" s="89"/>
      <c r="C739" s="90">
        <f t="shared" si="23"/>
        <v>0</v>
      </c>
      <c r="D739" s="97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9"/>
    </row>
    <row r="740" spans="1:18" x14ac:dyDescent="0.35">
      <c r="A740" s="88">
        <f t="shared" si="22"/>
        <v>0</v>
      </c>
      <c r="B740" s="89"/>
      <c r="C740" s="90">
        <f t="shared" si="23"/>
        <v>0</v>
      </c>
      <c r="D740" s="97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9"/>
    </row>
    <row r="741" spans="1:18" x14ac:dyDescent="0.35">
      <c r="A741" s="88">
        <f t="shared" si="22"/>
        <v>0</v>
      </c>
      <c r="B741" s="89"/>
      <c r="C741" s="90">
        <f t="shared" si="23"/>
        <v>0</v>
      </c>
      <c r="D741" s="97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9"/>
    </row>
    <row r="742" spans="1:18" x14ac:dyDescent="0.35">
      <c r="A742" s="88">
        <f t="shared" si="22"/>
        <v>0</v>
      </c>
      <c r="B742" s="89"/>
      <c r="C742" s="90">
        <f t="shared" si="23"/>
        <v>0</v>
      </c>
      <c r="D742" s="97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9"/>
    </row>
    <row r="743" spans="1:18" x14ac:dyDescent="0.35">
      <c r="A743" s="88">
        <f t="shared" si="22"/>
        <v>0</v>
      </c>
      <c r="B743" s="89"/>
      <c r="C743" s="90">
        <f t="shared" si="23"/>
        <v>0</v>
      </c>
      <c r="D743" s="97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9"/>
    </row>
    <row r="744" spans="1:18" x14ac:dyDescent="0.35">
      <c r="A744" s="88">
        <f t="shared" si="22"/>
        <v>0</v>
      </c>
      <c r="B744" s="89"/>
      <c r="C744" s="90">
        <f t="shared" si="23"/>
        <v>0</v>
      </c>
      <c r="D744" s="97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9"/>
    </row>
    <row r="745" spans="1:18" x14ac:dyDescent="0.35">
      <c r="A745" s="88">
        <f t="shared" si="22"/>
        <v>0</v>
      </c>
      <c r="B745" s="89"/>
      <c r="C745" s="90">
        <f t="shared" si="23"/>
        <v>0</v>
      </c>
      <c r="D745" s="97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9"/>
    </row>
    <row r="746" spans="1:18" x14ac:dyDescent="0.35">
      <c r="A746" s="88">
        <f t="shared" si="22"/>
        <v>0</v>
      </c>
      <c r="B746" s="89"/>
      <c r="C746" s="90">
        <f t="shared" si="23"/>
        <v>0</v>
      </c>
      <c r="D746" s="97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9"/>
    </row>
    <row r="747" spans="1:18" x14ac:dyDescent="0.35">
      <c r="A747" s="88">
        <f t="shared" si="22"/>
        <v>0</v>
      </c>
      <c r="B747" s="89"/>
      <c r="C747" s="90">
        <f t="shared" si="23"/>
        <v>0</v>
      </c>
      <c r="D747" s="97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9"/>
    </row>
    <row r="748" spans="1:18" x14ac:dyDescent="0.35">
      <c r="A748" s="88">
        <f t="shared" si="22"/>
        <v>0</v>
      </c>
      <c r="B748" s="89"/>
      <c r="C748" s="90">
        <f t="shared" si="23"/>
        <v>0</v>
      </c>
      <c r="D748" s="97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9"/>
    </row>
    <row r="749" spans="1:18" x14ac:dyDescent="0.35">
      <c r="A749" s="88">
        <f t="shared" si="22"/>
        <v>0</v>
      </c>
      <c r="B749" s="89"/>
      <c r="C749" s="90">
        <f t="shared" si="23"/>
        <v>0</v>
      </c>
      <c r="D749" s="97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9"/>
    </row>
    <row r="750" spans="1:18" x14ac:dyDescent="0.35">
      <c r="A750" s="88">
        <f t="shared" si="22"/>
        <v>0</v>
      </c>
      <c r="B750" s="89"/>
      <c r="C750" s="90">
        <f t="shared" si="23"/>
        <v>0</v>
      </c>
      <c r="D750" s="97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9"/>
    </row>
    <row r="751" spans="1:18" x14ac:dyDescent="0.35">
      <c r="A751" s="88">
        <f t="shared" si="22"/>
        <v>0</v>
      </c>
      <c r="B751" s="89"/>
      <c r="C751" s="90">
        <f t="shared" si="23"/>
        <v>0</v>
      </c>
      <c r="D751" s="97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9"/>
    </row>
    <row r="752" spans="1:18" x14ac:dyDescent="0.35">
      <c r="A752" s="88">
        <f t="shared" si="22"/>
        <v>0</v>
      </c>
      <c r="B752" s="89"/>
      <c r="C752" s="90">
        <f t="shared" si="23"/>
        <v>0</v>
      </c>
      <c r="D752" s="97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9"/>
    </row>
    <row r="753" spans="1:18" x14ac:dyDescent="0.35">
      <c r="A753" s="88">
        <f t="shared" si="22"/>
        <v>0</v>
      </c>
      <c r="B753" s="89"/>
      <c r="C753" s="90">
        <f t="shared" si="23"/>
        <v>0</v>
      </c>
      <c r="D753" s="97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9"/>
    </row>
    <row r="754" spans="1:18" x14ac:dyDescent="0.35">
      <c r="A754" s="88">
        <f t="shared" si="22"/>
        <v>0</v>
      </c>
      <c r="B754" s="89"/>
      <c r="C754" s="90">
        <f t="shared" si="23"/>
        <v>0</v>
      </c>
      <c r="D754" s="97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9"/>
    </row>
    <row r="755" spans="1:18" x14ac:dyDescent="0.35">
      <c r="A755" s="88">
        <f t="shared" si="22"/>
        <v>0</v>
      </c>
      <c r="B755" s="89"/>
      <c r="C755" s="90">
        <f t="shared" si="23"/>
        <v>0</v>
      </c>
      <c r="D755" s="97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9"/>
    </row>
    <row r="756" spans="1:18" x14ac:dyDescent="0.35">
      <c r="A756" s="88">
        <f t="shared" si="22"/>
        <v>0</v>
      </c>
      <c r="B756" s="89"/>
      <c r="C756" s="90">
        <f t="shared" si="23"/>
        <v>0</v>
      </c>
      <c r="D756" s="97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9"/>
    </row>
    <row r="757" spans="1:18" x14ac:dyDescent="0.35">
      <c r="A757" s="88">
        <f t="shared" si="22"/>
        <v>0</v>
      </c>
      <c r="B757" s="89"/>
      <c r="C757" s="90">
        <f t="shared" si="23"/>
        <v>0</v>
      </c>
      <c r="D757" s="97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9"/>
    </row>
    <row r="758" spans="1:18" x14ac:dyDescent="0.35">
      <c r="A758" s="88">
        <f t="shared" si="22"/>
        <v>0</v>
      </c>
      <c r="B758" s="89"/>
      <c r="C758" s="90">
        <f t="shared" si="23"/>
        <v>0</v>
      </c>
      <c r="D758" s="97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9"/>
    </row>
    <row r="759" spans="1:18" x14ac:dyDescent="0.35">
      <c r="A759" s="88">
        <f t="shared" si="22"/>
        <v>0</v>
      </c>
      <c r="B759" s="89"/>
      <c r="C759" s="90">
        <f t="shared" si="23"/>
        <v>0</v>
      </c>
      <c r="D759" s="97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9"/>
    </row>
    <row r="760" spans="1:18" x14ac:dyDescent="0.35">
      <c r="A760" s="88">
        <f t="shared" si="22"/>
        <v>0</v>
      </c>
      <c r="B760" s="89"/>
      <c r="C760" s="90">
        <f t="shared" si="23"/>
        <v>0</v>
      </c>
      <c r="D760" s="97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9"/>
    </row>
    <row r="761" spans="1:18" x14ac:dyDescent="0.35">
      <c r="A761" s="88">
        <f t="shared" si="22"/>
        <v>0</v>
      </c>
      <c r="B761" s="89"/>
      <c r="C761" s="90">
        <f t="shared" si="23"/>
        <v>0</v>
      </c>
      <c r="D761" s="97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9"/>
    </row>
    <row r="762" spans="1:18" x14ac:dyDescent="0.35">
      <c r="A762" s="88">
        <f t="shared" si="22"/>
        <v>0</v>
      </c>
      <c r="B762" s="89"/>
      <c r="C762" s="90">
        <f t="shared" si="23"/>
        <v>0</v>
      </c>
      <c r="D762" s="97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9"/>
    </row>
    <row r="763" spans="1:18" x14ac:dyDescent="0.35">
      <c r="A763" s="88">
        <f t="shared" si="22"/>
        <v>0</v>
      </c>
      <c r="B763" s="89"/>
      <c r="C763" s="90">
        <f t="shared" si="23"/>
        <v>0</v>
      </c>
      <c r="D763" s="97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9"/>
    </row>
    <row r="764" spans="1:18" x14ac:dyDescent="0.35">
      <c r="A764" s="88">
        <f t="shared" si="22"/>
        <v>0</v>
      </c>
      <c r="B764" s="89"/>
      <c r="C764" s="90">
        <f t="shared" si="23"/>
        <v>0</v>
      </c>
      <c r="D764" s="97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9"/>
    </row>
    <row r="765" spans="1:18" x14ac:dyDescent="0.35">
      <c r="A765" s="88">
        <f t="shared" si="22"/>
        <v>0</v>
      </c>
      <c r="B765" s="89"/>
      <c r="C765" s="90">
        <f t="shared" si="23"/>
        <v>0</v>
      </c>
      <c r="D765" s="97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9"/>
    </row>
    <row r="766" spans="1:18" x14ac:dyDescent="0.35">
      <c r="A766" s="88">
        <f t="shared" si="22"/>
        <v>0</v>
      </c>
      <c r="B766" s="89"/>
      <c r="C766" s="90">
        <f t="shared" si="23"/>
        <v>0</v>
      </c>
      <c r="D766" s="97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9"/>
    </row>
    <row r="767" spans="1:18" x14ac:dyDescent="0.35">
      <c r="A767" s="88">
        <f t="shared" si="22"/>
        <v>0</v>
      </c>
      <c r="B767" s="89"/>
      <c r="C767" s="90">
        <f t="shared" si="23"/>
        <v>0</v>
      </c>
      <c r="D767" s="97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9"/>
    </row>
    <row r="768" spans="1:18" x14ac:dyDescent="0.35">
      <c r="A768" s="88">
        <f t="shared" si="22"/>
        <v>0</v>
      </c>
      <c r="B768" s="89"/>
      <c r="C768" s="90">
        <f t="shared" si="23"/>
        <v>0</v>
      </c>
      <c r="D768" s="97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9"/>
    </row>
    <row r="769" spans="1:18" x14ac:dyDescent="0.35">
      <c r="A769" s="88">
        <f t="shared" si="22"/>
        <v>0</v>
      </c>
      <c r="B769" s="89"/>
      <c r="C769" s="90">
        <f t="shared" si="23"/>
        <v>0</v>
      </c>
      <c r="D769" s="97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9"/>
    </row>
    <row r="770" spans="1:18" x14ac:dyDescent="0.35">
      <c r="A770" s="88">
        <f t="shared" si="22"/>
        <v>0</v>
      </c>
      <c r="B770" s="89"/>
      <c r="C770" s="90">
        <f t="shared" si="23"/>
        <v>0</v>
      </c>
      <c r="D770" s="97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9"/>
    </row>
    <row r="771" spans="1:18" x14ac:dyDescent="0.35">
      <c r="A771" s="88">
        <f t="shared" si="22"/>
        <v>0</v>
      </c>
      <c r="B771" s="89"/>
      <c r="C771" s="90">
        <f t="shared" si="23"/>
        <v>0</v>
      </c>
      <c r="D771" s="97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9"/>
    </row>
    <row r="772" spans="1:18" x14ac:dyDescent="0.35">
      <c r="A772" s="88">
        <f t="shared" ref="A772:A835" si="24">F772</f>
        <v>0</v>
      </c>
      <c r="B772" s="89"/>
      <c r="C772" s="90">
        <f t="shared" ref="C772:C835" si="25">F772</f>
        <v>0</v>
      </c>
      <c r="D772" s="97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9"/>
    </row>
    <row r="773" spans="1:18" x14ac:dyDescent="0.35">
      <c r="A773" s="88">
        <f t="shared" si="24"/>
        <v>0</v>
      </c>
      <c r="B773" s="89"/>
      <c r="C773" s="90">
        <f t="shared" si="25"/>
        <v>0</v>
      </c>
      <c r="D773" s="97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9"/>
    </row>
    <row r="774" spans="1:18" x14ac:dyDescent="0.35">
      <c r="A774" s="88">
        <f t="shared" si="24"/>
        <v>0</v>
      </c>
      <c r="B774" s="89"/>
      <c r="C774" s="90">
        <f t="shared" si="25"/>
        <v>0</v>
      </c>
      <c r="D774" s="97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9"/>
    </row>
    <row r="775" spans="1:18" x14ac:dyDescent="0.35">
      <c r="A775" s="88">
        <f t="shared" si="24"/>
        <v>0</v>
      </c>
      <c r="B775" s="89"/>
      <c r="C775" s="90">
        <f t="shared" si="25"/>
        <v>0</v>
      </c>
      <c r="D775" s="97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9"/>
    </row>
    <row r="776" spans="1:18" x14ac:dyDescent="0.35">
      <c r="A776" s="88">
        <f t="shared" si="24"/>
        <v>0</v>
      </c>
      <c r="B776" s="89"/>
      <c r="C776" s="90">
        <f t="shared" si="25"/>
        <v>0</v>
      </c>
      <c r="D776" s="97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9"/>
    </row>
    <row r="777" spans="1:18" x14ac:dyDescent="0.35">
      <c r="A777" s="88">
        <f t="shared" si="24"/>
        <v>0</v>
      </c>
      <c r="B777" s="89"/>
      <c r="C777" s="90">
        <f t="shared" si="25"/>
        <v>0</v>
      </c>
      <c r="D777" s="97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9"/>
    </row>
    <row r="778" spans="1:18" x14ac:dyDescent="0.35">
      <c r="A778" s="88">
        <f t="shared" si="24"/>
        <v>0</v>
      </c>
      <c r="B778" s="89"/>
      <c r="C778" s="90">
        <f t="shared" si="25"/>
        <v>0</v>
      </c>
      <c r="D778" s="97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9"/>
    </row>
    <row r="779" spans="1:18" x14ac:dyDescent="0.35">
      <c r="A779" s="88">
        <f t="shared" si="24"/>
        <v>0</v>
      </c>
      <c r="B779" s="89"/>
      <c r="C779" s="90">
        <f t="shared" si="25"/>
        <v>0</v>
      </c>
      <c r="D779" s="97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9"/>
    </row>
    <row r="780" spans="1:18" x14ac:dyDescent="0.35">
      <c r="A780" s="88">
        <f t="shared" si="24"/>
        <v>0</v>
      </c>
      <c r="B780" s="89"/>
      <c r="C780" s="90">
        <f t="shared" si="25"/>
        <v>0</v>
      </c>
      <c r="D780" s="97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9"/>
    </row>
    <row r="781" spans="1:18" x14ac:dyDescent="0.35">
      <c r="A781" s="88">
        <f t="shared" si="24"/>
        <v>0</v>
      </c>
      <c r="B781" s="89"/>
      <c r="C781" s="90">
        <f t="shared" si="25"/>
        <v>0</v>
      </c>
      <c r="D781" s="97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9"/>
    </row>
    <row r="782" spans="1:18" x14ac:dyDescent="0.35">
      <c r="A782" s="88">
        <f t="shared" si="24"/>
        <v>0</v>
      </c>
      <c r="B782" s="89"/>
      <c r="C782" s="90">
        <f t="shared" si="25"/>
        <v>0</v>
      </c>
      <c r="D782" s="97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9"/>
    </row>
    <row r="783" spans="1:18" x14ac:dyDescent="0.35">
      <c r="A783" s="88">
        <f t="shared" si="24"/>
        <v>0</v>
      </c>
      <c r="B783" s="89"/>
      <c r="C783" s="90">
        <f t="shared" si="25"/>
        <v>0</v>
      </c>
      <c r="D783" s="97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9"/>
    </row>
    <row r="784" spans="1:18" x14ac:dyDescent="0.35">
      <c r="A784" s="88">
        <f t="shared" si="24"/>
        <v>0</v>
      </c>
      <c r="B784" s="89"/>
      <c r="C784" s="90">
        <f t="shared" si="25"/>
        <v>0</v>
      </c>
      <c r="D784" s="97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9"/>
    </row>
    <row r="785" spans="1:18" x14ac:dyDescent="0.35">
      <c r="A785" s="88">
        <f t="shared" si="24"/>
        <v>0</v>
      </c>
      <c r="B785" s="89"/>
      <c r="C785" s="90">
        <f t="shared" si="25"/>
        <v>0</v>
      </c>
      <c r="D785" s="97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9"/>
    </row>
    <row r="786" spans="1:18" x14ac:dyDescent="0.35">
      <c r="A786" s="88">
        <f t="shared" si="24"/>
        <v>0</v>
      </c>
      <c r="B786" s="89"/>
      <c r="C786" s="90">
        <f t="shared" si="25"/>
        <v>0</v>
      </c>
      <c r="D786" s="97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9"/>
    </row>
    <row r="787" spans="1:18" x14ac:dyDescent="0.35">
      <c r="A787" s="88">
        <f t="shared" si="24"/>
        <v>0</v>
      </c>
      <c r="B787" s="89"/>
      <c r="C787" s="90">
        <f t="shared" si="25"/>
        <v>0</v>
      </c>
      <c r="D787" s="97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9"/>
    </row>
    <row r="788" spans="1:18" x14ac:dyDescent="0.35">
      <c r="A788" s="88">
        <f t="shared" si="24"/>
        <v>0</v>
      </c>
      <c r="B788" s="89"/>
      <c r="C788" s="90">
        <f t="shared" si="25"/>
        <v>0</v>
      </c>
      <c r="D788" s="97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9"/>
    </row>
    <row r="789" spans="1:18" x14ac:dyDescent="0.35">
      <c r="A789" s="88">
        <f t="shared" si="24"/>
        <v>0</v>
      </c>
      <c r="B789" s="89"/>
      <c r="C789" s="90">
        <f t="shared" si="25"/>
        <v>0</v>
      </c>
      <c r="D789" s="97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9"/>
    </row>
    <row r="790" spans="1:18" x14ac:dyDescent="0.35">
      <c r="A790" s="88">
        <f t="shared" si="24"/>
        <v>0</v>
      </c>
      <c r="B790" s="89"/>
      <c r="C790" s="90">
        <f t="shared" si="25"/>
        <v>0</v>
      </c>
      <c r="D790" s="97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9"/>
    </row>
    <row r="791" spans="1:18" x14ac:dyDescent="0.35">
      <c r="A791" s="88">
        <f t="shared" si="24"/>
        <v>0</v>
      </c>
      <c r="B791" s="89"/>
      <c r="C791" s="90">
        <f t="shared" si="25"/>
        <v>0</v>
      </c>
      <c r="D791" s="97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9"/>
    </row>
    <row r="792" spans="1:18" x14ac:dyDescent="0.35">
      <c r="A792" s="88">
        <f t="shared" si="24"/>
        <v>0</v>
      </c>
      <c r="B792" s="89"/>
      <c r="C792" s="90">
        <f t="shared" si="25"/>
        <v>0</v>
      </c>
      <c r="D792" s="97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9"/>
    </row>
    <row r="793" spans="1:18" x14ac:dyDescent="0.35">
      <c r="A793" s="88">
        <f t="shared" si="24"/>
        <v>0</v>
      </c>
      <c r="B793" s="89"/>
      <c r="C793" s="90">
        <f t="shared" si="25"/>
        <v>0</v>
      </c>
      <c r="D793" s="97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9"/>
    </row>
    <row r="794" spans="1:18" x14ac:dyDescent="0.35">
      <c r="A794" s="88">
        <f t="shared" si="24"/>
        <v>0</v>
      </c>
      <c r="B794" s="89"/>
      <c r="C794" s="90">
        <f t="shared" si="25"/>
        <v>0</v>
      </c>
      <c r="D794" s="97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9"/>
    </row>
    <row r="795" spans="1:18" x14ac:dyDescent="0.35">
      <c r="A795" s="88">
        <f t="shared" si="24"/>
        <v>0</v>
      </c>
      <c r="B795" s="89"/>
      <c r="C795" s="90">
        <f t="shared" si="25"/>
        <v>0</v>
      </c>
      <c r="D795" s="97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9"/>
    </row>
    <row r="796" spans="1:18" x14ac:dyDescent="0.35">
      <c r="A796" s="88">
        <f t="shared" si="24"/>
        <v>0</v>
      </c>
      <c r="B796" s="89"/>
      <c r="C796" s="90">
        <f t="shared" si="25"/>
        <v>0</v>
      </c>
      <c r="D796" s="97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9"/>
    </row>
    <row r="797" spans="1:18" x14ac:dyDescent="0.35">
      <c r="A797" s="88">
        <f t="shared" si="24"/>
        <v>0</v>
      </c>
      <c r="B797" s="89"/>
      <c r="C797" s="90">
        <f t="shared" si="25"/>
        <v>0</v>
      </c>
      <c r="D797" s="97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9"/>
    </row>
    <row r="798" spans="1:18" x14ac:dyDescent="0.35">
      <c r="A798" s="88">
        <f t="shared" si="24"/>
        <v>0</v>
      </c>
      <c r="B798" s="89"/>
      <c r="C798" s="90">
        <f t="shared" si="25"/>
        <v>0</v>
      </c>
      <c r="D798" s="97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9"/>
    </row>
    <row r="799" spans="1:18" x14ac:dyDescent="0.35">
      <c r="A799" s="88">
        <f t="shared" si="24"/>
        <v>0</v>
      </c>
      <c r="B799" s="89"/>
      <c r="C799" s="90">
        <f t="shared" si="25"/>
        <v>0</v>
      </c>
      <c r="D799" s="97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9"/>
    </row>
    <row r="800" spans="1:18" x14ac:dyDescent="0.35">
      <c r="A800" s="88">
        <f t="shared" si="24"/>
        <v>0</v>
      </c>
      <c r="B800" s="89"/>
      <c r="C800" s="90">
        <f t="shared" si="25"/>
        <v>0</v>
      </c>
      <c r="D800" s="97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9"/>
    </row>
    <row r="801" spans="1:18" x14ac:dyDescent="0.35">
      <c r="A801" s="88">
        <f t="shared" si="24"/>
        <v>0</v>
      </c>
      <c r="B801" s="89"/>
      <c r="C801" s="90">
        <f t="shared" si="25"/>
        <v>0</v>
      </c>
      <c r="D801" s="97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9"/>
    </row>
    <row r="802" spans="1:18" x14ac:dyDescent="0.35">
      <c r="A802" s="88">
        <f t="shared" si="24"/>
        <v>0</v>
      </c>
      <c r="B802" s="89"/>
      <c r="C802" s="90">
        <f t="shared" si="25"/>
        <v>0</v>
      </c>
      <c r="D802" s="97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9"/>
    </row>
    <row r="803" spans="1:18" x14ac:dyDescent="0.35">
      <c r="A803" s="88">
        <f t="shared" si="24"/>
        <v>0</v>
      </c>
      <c r="B803" s="89"/>
      <c r="C803" s="90">
        <f t="shared" si="25"/>
        <v>0</v>
      </c>
      <c r="D803" s="97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9"/>
    </row>
    <row r="804" spans="1:18" x14ac:dyDescent="0.35">
      <c r="A804" s="88">
        <f t="shared" si="24"/>
        <v>0</v>
      </c>
      <c r="B804" s="89"/>
      <c r="C804" s="90">
        <f t="shared" si="25"/>
        <v>0</v>
      </c>
      <c r="D804" s="97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9"/>
    </row>
    <row r="805" spans="1:18" x14ac:dyDescent="0.35">
      <c r="A805" s="88">
        <f t="shared" si="24"/>
        <v>0</v>
      </c>
      <c r="B805" s="89"/>
      <c r="C805" s="90">
        <f t="shared" si="25"/>
        <v>0</v>
      </c>
      <c r="D805" s="97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9"/>
    </row>
    <row r="806" spans="1:18" x14ac:dyDescent="0.35">
      <c r="A806" s="88">
        <f t="shared" si="24"/>
        <v>0</v>
      </c>
      <c r="B806" s="89"/>
      <c r="C806" s="90">
        <f t="shared" si="25"/>
        <v>0</v>
      </c>
      <c r="D806" s="97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9"/>
    </row>
    <row r="807" spans="1:18" x14ac:dyDescent="0.35">
      <c r="A807" s="88">
        <f t="shared" si="24"/>
        <v>0</v>
      </c>
      <c r="B807" s="89"/>
      <c r="C807" s="90">
        <f t="shared" si="25"/>
        <v>0</v>
      </c>
      <c r="D807" s="97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9"/>
    </row>
    <row r="808" spans="1:18" x14ac:dyDescent="0.35">
      <c r="A808" s="88">
        <f t="shared" si="24"/>
        <v>0</v>
      </c>
      <c r="B808" s="89"/>
      <c r="C808" s="90">
        <f t="shared" si="25"/>
        <v>0</v>
      </c>
      <c r="D808" s="97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9"/>
    </row>
    <row r="809" spans="1:18" x14ac:dyDescent="0.35">
      <c r="A809" s="88">
        <f t="shared" si="24"/>
        <v>0</v>
      </c>
      <c r="B809" s="89"/>
      <c r="C809" s="90">
        <f t="shared" si="25"/>
        <v>0</v>
      </c>
      <c r="D809" s="97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9"/>
    </row>
    <row r="810" spans="1:18" x14ac:dyDescent="0.35">
      <c r="A810" s="88">
        <f t="shared" si="24"/>
        <v>0</v>
      </c>
      <c r="B810" s="89"/>
      <c r="C810" s="90">
        <f t="shared" si="25"/>
        <v>0</v>
      </c>
      <c r="D810" s="97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9"/>
    </row>
    <row r="811" spans="1:18" x14ac:dyDescent="0.35">
      <c r="A811" s="88">
        <f t="shared" si="24"/>
        <v>0</v>
      </c>
      <c r="B811" s="89"/>
      <c r="C811" s="90">
        <f t="shared" si="25"/>
        <v>0</v>
      </c>
      <c r="D811" s="97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9"/>
    </row>
    <row r="812" spans="1:18" x14ac:dyDescent="0.35">
      <c r="A812" s="88">
        <f t="shared" si="24"/>
        <v>0</v>
      </c>
      <c r="B812" s="89"/>
      <c r="C812" s="90">
        <f t="shared" si="25"/>
        <v>0</v>
      </c>
      <c r="D812" s="97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9"/>
    </row>
    <row r="813" spans="1:18" x14ac:dyDescent="0.35">
      <c r="A813" s="88">
        <f t="shared" si="24"/>
        <v>0</v>
      </c>
      <c r="B813" s="89"/>
      <c r="C813" s="90">
        <f t="shared" si="25"/>
        <v>0</v>
      </c>
      <c r="D813" s="97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9"/>
    </row>
    <row r="814" spans="1:18" x14ac:dyDescent="0.35">
      <c r="A814" s="88">
        <f t="shared" si="24"/>
        <v>0</v>
      </c>
      <c r="B814" s="89"/>
      <c r="C814" s="90">
        <f t="shared" si="25"/>
        <v>0</v>
      </c>
      <c r="D814" s="97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9"/>
    </row>
    <row r="815" spans="1:18" x14ac:dyDescent="0.35">
      <c r="A815" s="88">
        <f t="shared" si="24"/>
        <v>0</v>
      </c>
      <c r="B815" s="89"/>
      <c r="C815" s="90">
        <f t="shared" si="25"/>
        <v>0</v>
      </c>
      <c r="D815" s="97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9"/>
    </row>
    <row r="816" spans="1:18" x14ac:dyDescent="0.35">
      <c r="A816" s="88">
        <f t="shared" si="24"/>
        <v>0</v>
      </c>
      <c r="B816" s="89"/>
      <c r="C816" s="90">
        <f t="shared" si="25"/>
        <v>0</v>
      </c>
      <c r="D816" s="97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9"/>
    </row>
    <row r="817" spans="1:18" x14ac:dyDescent="0.35">
      <c r="A817" s="88">
        <f t="shared" si="24"/>
        <v>0</v>
      </c>
      <c r="B817" s="89"/>
      <c r="C817" s="90">
        <f t="shared" si="25"/>
        <v>0</v>
      </c>
      <c r="D817" s="97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9"/>
    </row>
    <row r="818" spans="1:18" x14ac:dyDescent="0.35">
      <c r="A818" s="88">
        <f t="shared" si="24"/>
        <v>0</v>
      </c>
      <c r="B818" s="89"/>
      <c r="C818" s="90">
        <f t="shared" si="25"/>
        <v>0</v>
      </c>
      <c r="D818" s="97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9"/>
    </row>
    <row r="819" spans="1:18" x14ac:dyDescent="0.35">
      <c r="A819" s="88">
        <f t="shared" si="24"/>
        <v>0</v>
      </c>
      <c r="B819" s="89"/>
      <c r="C819" s="90">
        <f t="shared" si="25"/>
        <v>0</v>
      </c>
      <c r="D819" s="97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9"/>
    </row>
    <row r="820" spans="1:18" x14ac:dyDescent="0.35">
      <c r="A820" s="88">
        <f t="shared" si="24"/>
        <v>0</v>
      </c>
      <c r="B820" s="89"/>
      <c r="C820" s="90">
        <f t="shared" si="25"/>
        <v>0</v>
      </c>
      <c r="D820" s="97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9"/>
    </row>
    <row r="821" spans="1:18" x14ac:dyDescent="0.35">
      <c r="A821" s="88">
        <f t="shared" si="24"/>
        <v>0</v>
      </c>
      <c r="B821" s="89"/>
      <c r="C821" s="90">
        <f t="shared" si="25"/>
        <v>0</v>
      </c>
      <c r="D821" s="97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9"/>
    </row>
    <row r="822" spans="1:18" x14ac:dyDescent="0.35">
      <c r="A822" s="88">
        <f t="shared" si="24"/>
        <v>0</v>
      </c>
      <c r="B822" s="89"/>
      <c r="C822" s="90">
        <f t="shared" si="25"/>
        <v>0</v>
      </c>
      <c r="D822" s="97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9"/>
    </row>
    <row r="823" spans="1:18" x14ac:dyDescent="0.35">
      <c r="A823" s="88">
        <f t="shared" si="24"/>
        <v>0</v>
      </c>
      <c r="B823" s="89"/>
      <c r="C823" s="90">
        <f t="shared" si="25"/>
        <v>0</v>
      </c>
      <c r="D823" s="97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9"/>
    </row>
    <row r="824" spans="1:18" x14ac:dyDescent="0.35">
      <c r="A824" s="88">
        <f t="shared" si="24"/>
        <v>0</v>
      </c>
      <c r="B824" s="89"/>
      <c r="C824" s="90">
        <f t="shared" si="25"/>
        <v>0</v>
      </c>
      <c r="D824" s="97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9"/>
    </row>
    <row r="825" spans="1:18" x14ac:dyDescent="0.35">
      <c r="A825" s="88">
        <f t="shared" si="24"/>
        <v>0</v>
      </c>
      <c r="B825" s="89"/>
      <c r="C825" s="90">
        <f t="shared" si="25"/>
        <v>0</v>
      </c>
      <c r="D825" s="97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9"/>
    </row>
    <row r="826" spans="1:18" x14ac:dyDescent="0.35">
      <c r="A826" s="88">
        <f t="shared" si="24"/>
        <v>0</v>
      </c>
      <c r="B826" s="89"/>
      <c r="C826" s="90">
        <f t="shared" si="25"/>
        <v>0</v>
      </c>
      <c r="D826" s="97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9"/>
    </row>
    <row r="827" spans="1:18" x14ac:dyDescent="0.35">
      <c r="A827" s="88">
        <f t="shared" si="24"/>
        <v>0</v>
      </c>
      <c r="B827" s="89"/>
      <c r="C827" s="90">
        <f t="shared" si="25"/>
        <v>0</v>
      </c>
      <c r="D827" s="97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9"/>
    </row>
    <row r="828" spans="1:18" x14ac:dyDescent="0.35">
      <c r="A828" s="88">
        <f t="shared" si="24"/>
        <v>0</v>
      </c>
      <c r="B828" s="89"/>
      <c r="C828" s="90">
        <f t="shared" si="25"/>
        <v>0</v>
      </c>
      <c r="D828" s="97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9"/>
    </row>
    <row r="829" spans="1:18" x14ac:dyDescent="0.35">
      <c r="A829" s="88">
        <f t="shared" si="24"/>
        <v>0</v>
      </c>
      <c r="B829" s="89"/>
      <c r="C829" s="90">
        <f t="shared" si="25"/>
        <v>0</v>
      </c>
      <c r="D829" s="97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9"/>
    </row>
    <row r="830" spans="1:18" x14ac:dyDescent="0.35">
      <c r="A830" s="88">
        <f t="shared" si="24"/>
        <v>0</v>
      </c>
      <c r="B830" s="89"/>
      <c r="C830" s="90">
        <f t="shared" si="25"/>
        <v>0</v>
      </c>
      <c r="D830" s="97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9"/>
    </row>
    <row r="831" spans="1:18" x14ac:dyDescent="0.35">
      <c r="A831" s="88">
        <f t="shared" si="24"/>
        <v>0</v>
      </c>
      <c r="B831" s="89"/>
      <c r="C831" s="90">
        <f t="shared" si="25"/>
        <v>0</v>
      </c>
      <c r="D831" s="97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9"/>
    </row>
    <row r="832" spans="1:18" x14ac:dyDescent="0.35">
      <c r="A832" s="88">
        <f t="shared" si="24"/>
        <v>0</v>
      </c>
      <c r="B832" s="89"/>
      <c r="C832" s="90">
        <f t="shared" si="25"/>
        <v>0</v>
      </c>
      <c r="D832" s="97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9"/>
    </row>
    <row r="833" spans="1:18" x14ac:dyDescent="0.35">
      <c r="A833" s="88">
        <f t="shared" si="24"/>
        <v>0</v>
      </c>
      <c r="B833" s="89"/>
      <c r="C833" s="90">
        <f t="shared" si="25"/>
        <v>0</v>
      </c>
      <c r="D833" s="97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9"/>
    </row>
    <row r="834" spans="1:18" x14ac:dyDescent="0.35">
      <c r="A834" s="88">
        <f t="shared" si="24"/>
        <v>0</v>
      </c>
      <c r="B834" s="89"/>
      <c r="C834" s="90">
        <f t="shared" si="25"/>
        <v>0</v>
      </c>
      <c r="D834" s="97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9"/>
    </row>
    <row r="835" spans="1:18" x14ac:dyDescent="0.35">
      <c r="A835" s="88">
        <f t="shared" si="24"/>
        <v>0</v>
      </c>
      <c r="B835" s="89"/>
      <c r="C835" s="90">
        <f t="shared" si="25"/>
        <v>0</v>
      </c>
      <c r="D835" s="97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9"/>
    </row>
    <row r="836" spans="1:18" x14ac:dyDescent="0.35">
      <c r="A836" s="88">
        <f t="shared" ref="A836:A899" si="26">F836</f>
        <v>0</v>
      </c>
      <c r="B836" s="89"/>
      <c r="C836" s="90">
        <f t="shared" ref="C836:C899" si="27">F836</f>
        <v>0</v>
      </c>
      <c r="D836" s="97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9"/>
    </row>
    <row r="837" spans="1:18" x14ac:dyDescent="0.35">
      <c r="A837" s="88">
        <f t="shared" si="26"/>
        <v>0</v>
      </c>
      <c r="B837" s="89"/>
      <c r="C837" s="90">
        <f t="shared" si="27"/>
        <v>0</v>
      </c>
      <c r="D837" s="97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9"/>
    </row>
    <row r="838" spans="1:18" x14ac:dyDescent="0.35">
      <c r="A838" s="88">
        <f t="shared" si="26"/>
        <v>0</v>
      </c>
      <c r="B838" s="89"/>
      <c r="C838" s="90">
        <f t="shared" si="27"/>
        <v>0</v>
      </c>
      <c r="D838" s="97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9"/>
    </row>
    <row r="839" spans="1:18" x14ac:dyDescent="0.35">
      <c r="A839" s="88">
        <f t="shared" si="26"/>
        <v>0</v>
      </c>
      <c r="B839" s="89"/>
      <c r="C839" s="90">
        <f t="shared" si="27"/>
        <v>0</v>
      </c>
      <c r="D839" s="97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9"/>
    </row>
    <row r="840" spans="1:18" x14ac:dyDescent="0.35">
      <c r="A840" s="88">
        <f t="shared" si="26"/>
        <v>0</v>
      </c>
      <c r="B840" s="89"/>
      <c r="C840" s="90">
        <f t="shared" si="27"/>
        <v>0</v>
      </c>
      <c r="D840" s="97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9"/>
    </row>
    <row r="841" spans="1:18" x14ac:dyDescent="0.35">
      <c r="A841" s="88">
        <f t="shared" si="26"/>
        <v>0</v>
      </c>
      <c r="B841" s="89"/>
      <c r="C841" s="90">
        <f t="shared" si="27"/>
        <v>0</v>
      </c>
      <c r="D841" s="97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9"/>
    </row>
    <row r="842" spans="1:18" x14ac:dyDescent="0.35">
      <c r="A842" s="88">
        <f t="shared" si="26"/>
        <v>0</v>
      </c>
      <c r="B842" s="89"/>
      <c r="C842" s="90">
        <f t="shared" si="27"/>
        <v>0</v>
      </c>
      <c r="D842" s="97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9"/>
    </row>
    <row r="843" spans="1:18" x14ac:dyDescent="0.35">
      <c r="A843" s="88">
        <f t="shared" si="26"/>
        <v>0</v>
      </c>
      <c r="B843" s="89"/>
      <c r="C843" s="90">
        <f t="shared" si="27"/>
        <v>0</v>
      </c>
      <c r="D843" s="97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9"/>
    </row>
    <row r="844" spans="1:18" x14ac:dyDescent="0.35">
      <c r="A844" s="88">
        <f t="shared" si="26"/>
        <v>0</v>
      </c>
      <c r="B844" s="89"/>
      <c r="C844" s="90">
        <f t="shared" si="27"/>
        <v>0</v>
      </c>
      <c r="D844" s="97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9"/>
    </row>
    <row r="845" spans="1:18" x14ac:dyDescent="0.35">
      <c r="A845" s="88">
        <f t="shared" si="26"/>
        <v>0</v>
      </c>
      <c r="B845" s="89"/>
      <c r="C845" s="90">
        <f t="shared" si="27"/>
        <v>0</v>
      </c>
      <c r="D845" s="97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9"/>
    </row>
    <row r="846" spans="1:18" x14ac:dyDescent="0.35">
      <c r="A846" s="88">
        <f t="shared" si="26"/>
        <v>0</v>
      </c>
      <c r="B846" s="89"/>
      <c r="C846" s="90">
        <f t="shared" si="27"/>
        <v>0</v>
      </c>
      <c r="D846" s="97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9"/>
    </row>
    <row r="847" spans="1:18" x14ac:dyDescent="0.35">
      <c r="A847" s="88">
        <f t="shared" si="26"/>
        <v>0</v>
      </c>
      <c r="B847" s="89"/>
      <c r="C847" s="90">
        <f t="shared" si="27"/>
        <v>0</v>
      </c>
      <c r="D847" s="97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9"/>
    </row>
    <row r="848" spans="1:18" x14ac:dyDescent="0.35">
      <c r="A848" s="88">
        <f t="shared" si="26"/>
        <v>0</v>
      </c>
      <c r="B848" s="89"/>
      <c r="C848" s="90">
        <f t="shared" si="27"/>
        <v>0</v>
      </c>
      <c r="D848" s="97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9"/>
    </row>
    <row r="849" spans="1:18" x14ac:dyDescent="0.35">
      <c r="A849" s="88">
        <f t="shared" si="26"/>
        <v>0</v>
      </c>
      <c r="B849" s="89"/>
      <c r="C849" s="90">
        <f t="shared" si="27"/>
        <v>0</v>
      </c>
      <c r="D849" s="97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9"/>
    </row>
    <row r="850" spans="1:18" x14ac:dyDescent="0.35">
      <c r="A850" s="88">
        <f t="shared" si="26"/>
        <v>0</v>
      </c>
      <c r="B850" s="89"/>
      <c r="C850" s="90">
        <f t="shared" si="27"/>
        <v>0</v>
      </c>
      <c r="D850" s="97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9"/>
    </row>
    <row r="851" spans="1:18" x14ac:dyDescent="0.35">
      <c r="A851" s="88">
        <f t="shared" si="26"/>
        <v>0</v>
      </c>
      <c r="B851" s="89"/>
      <c r="C851" s="90">
        <f t="shared" si="27"/>
        <v>0</v>
      </c>
      <c r="D851" s="97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9"/>
    </row>
    <row r="852" spans="1:18" x14ac:dyDescent="0.35">
      <c r="A852" s="88">
        <f t="shared" si="26"/>
        <v>0</v>
      </c>
      <c r="B852" s="89"/>
      <c r="C852" s="90">
        <f t="shared" si="27"/>
        <v>0</v>
      </c>
      <c r="D852" s="97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9"/>
    </row>
    <row r="853" spans="1:18" x14ac:dyDescent="0.35">
      <c r="A853" s="88">
        <f t="shared" si="26"/>
        <v>0</v>
      </c>
      <c r="B853" s="89"/>
      <c r="C853" s="90">
        <f t="shared" si="27"/>
        <v>0</v>
      </c>
      <c r="D853" s="97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9"/>
    </row>
    <row r="854" spans="1:18" x14ac:dyDescent="0.35">
      <c r="A854" s="88">
        <f t="shared" si="26"/>
        <v>0</v>
      </c>
      <c r="B854" s="89"/>
      <c r="C854" s="90">
        <f t="shared" si="27"/>
        <v>0</v>
      </c>
      <c r="D854" s="97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9"/>
    </row>
    <row r="855" spans="1:18" x14ac:dyDescent="0.35">
      <c r="A855" s="88">
        <f t="shared" si="26"/>
        <v>0</v>
      </c>
      <c r="B855" s="89"/>
      <c r="C855" s="90">
        <f t="shared" si="27"/>
        <v>0</v>
      </c>
      <c r="D855" s="97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9"/>
    </row>
    <row r="856" spans="1:18" x14ac:dyDescent="0.35">
      <c r="A856" s="88">
        <f t="shared" si="26"/>
        <v>0</v>
      </c>
      <c r="B856" s="89"/>
      <c r="C856" s="90">
        <f t="shared" si="27"/>
        <v>0</v>
      </c>
      <c r="D856" s="97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9"/>
    </row>
    <row r="857" spans="1:18" x14ac:dyDescent="0.35">
      <c r="A857" s="88">
        <f t="shared" si="26"/>
        <v>0</v>
      </c>
      <c r="B857" s="89"/>
      <c r="C857" s="90">
        <f t="shared" si="27"/>
        <v>0</v>
      </c>
      <c r="D857" s="97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9"/>
    </row>
    <row r="858" spans="1:18" x14ac:dyDescent="0.35">
      <c r="A858" s="88">
        <f t="shared" si="26"/>
        <v>0</v>
      </c>
      <c r="B858" s="89"/>
      <c r="C858" s="90">
        <f t="shared" si="27"/>
        <v>0</v>
      </c>
      <c r="D858" s="97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9"/>
    </row>
    <row r="859" spans="1:18" x14ac:dyDescent="0.35">
      <c r="A859" s="88">
        <f t="shared" si="26"/>
        <v>0</v>
      </c>
      <c r="B859" s="89"/>
      <c r="C859" s="90">
        <f t="shared" si="27"/>
        <v>0</v>
      </c>
      <c r="D859" s="97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9"/>
    </row>
    <row r="860" spans="1:18" x14ac:dyDescent="0.35">
      <c r="A860" s="88">
        <f t="shared" si="26"/>
        <v>0</v>
      </c>
      <c r="B860" s="89"/>
      <c r="C860" s="90">
        <f t="shared" si="27"/>
        <v>0</v>
      </c>
      <c r="D860" s="97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9"/>
    </row>
    <row r="861" spans="1:18" x14ac:dyDescent="0.35">
      <c r="A861" s="88">
        <f t="shared" si="26"/>
        <v>0</v>
      </c>
      <c r="B861" s="89"/>
      <c r="C861" s="90">
        <f t="shared" si="27"/>
        <v>0</v>
      </c>
      <c r="D861" s="97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9"/>
    </row>
    <row r="862" spans="1:18" x14ac:dyDescent="0.35">
      <c r="A862" s="88">
        <f t="shared" si="26"/>
        <v>0</v>
      </c>
      <c r="B862" s="89"/>
      <c r="C862" s="90">
        <f t="shared" si="27"/>
        <v>0</v>
      </c>
      <c r="D862" s="97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9"/>
    </row>
    <row r="863" spans="1:18" x14ac:dyDescent="0.35">
      <c r="A863" s="88">
        <f t="shared" si="26"/>
        <v>0</v>
      </c>
      <c r="B863" s="89"/>
      <c r="C863" s="90">
        <f t="shared" si="27"/>
        <v>0</v>
      </c>
      <c r="D863" s="97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9"/>
    </row>
    <row r="864" spans="1:18" x14ac:dyDescent="0.35">
      <c r="A864" s="88">
        <f t="shared" si="26"/>
        <v>0</v>
      </c>
      <c r="B864" s="89"/>
      <c r="C864" s="90">
        <f t="shared" si="27"/>
        <v>0</v>
      </c>
      <c r="D864" s="97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9"/>
    </row>
    <row r="865" spans="1:18" x14ac:dyDescent="0.35">
      <c r="A865" s="88">
        <f t="shared" si="26"/>
        <v>0</v>
      </c>
      <c r="B865" s="89"/>
      <c r="C865" s="90">
        <f t="shared" si="27"/>
        <v>0</v>
      </c>
      <c r="D865" s="97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9"/>
    </row>
    <row r="866" spans="1:18" x14ac:dyDescent="0.35">
      <c r="A866" s="88">
        <f t="shared" si="26"/>
        <v>0</v>
      </c>
      <c r="B866" s="89"/>
      <c r="C866" s="90">
        <f t="shared" si="27"/>
        <v>0</v>
      </c>
      <c r="D866" s="97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9"/>
    </row>
    <row r="867" spans="1:18" x14ac:dyDescent="0.35">
      <c r="A867" s="88">
        <f t="shared" si="26"/>
        <v>0</v>
      </c>
      <c r="B867" s="89"/>
      <c r="C867" s="90">
        <f t="shared" si="27"/>
        <v>0</v>
      </c>
      <c r="D867" s="97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9"/>
    </row>
    <row r="868" spans="1:18" x14ac:dyDescent="0.35">
      <c r="A868" s="88">
        <f t="shared" si="26"/>
        <v>0</v>
      </c>
      <c r="B868" s="89"/>
      <c r="C868" s="90">
        <f t="shared" si="27"/>
        <v>0</v>
      </c>
      <c r="D868" s="97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9"/>
    </row>
    <row r="869" spans="1:18" x14ac:dyDescent="0.35">
      <c r="A869" s="88">
        <f t="shared" si="26"/>
        <v>0</v>
      </c>
      <c r="B869" s="89"/>
      <c r="C869" s="90">
        <f t="shared" si="27"/>
        <v>0</v>
      </c>
      <c r="D869" s="97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9"/>
    </row>
    <row r="870" spans="1:18" x14ac:dyDescent="0.35">
      <c r="A870" s="88">
        <f t="shared" si="26"/>
        <v>0</v>
      </c>
      <c r="B870" s="89"/>
      <c r="C870" s="90">
        <f t="shared" si="27"/>
        <v>0</v>
      </c>
      <c r="D870" s="97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9"/>
    </row>
    <row r="871" spans="1:18" x14ac:dyDescent="0.35">
      <c r="A871" s="88">
        <f t="shared" si="26"/>
        <v>0</v>
      </c>
      <c r="B871" s="89"/>
      <c r="C871" s="90">
        <f t="shared" si="27"/>
        <v>0</v>
      </c>
      <c r="D871" s="97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9"/>
    </row>
    <row r="872" spans="1:18" x14ac:dyDescent="0.35">
      <c r="A872" s="88">
        <f t="shared" si="26"/>
        <v>0</v>
      </c>
      <c r="B872" s="89"/>
      <c r="C872" s="90">
        <f t="shared" si="27"/>
        <v>0</v>
      </c>
      <c r="D872" s="97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9"/>
    </row>
    <row r="873" spans="1:18" x14ac:dyDescent="0.35">
      <c r="A873" s="88">
        <f t="shared" si="26"/>
        <v>0</v>
      </c>
      <c r="B873" s="89"/>
      <c r="C873" s="90">
        <f t="shared" si="27"/>
        <v>0</v>
      </c>
      <c r="D873" s="97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9"/>
    </row>
    <row r="874" spans="1:18" x14ac:dyDescent="0.35">
      <c r="A874" s="88">
        <f t="shared" si="26"/>
        <v>0</v>
      </c>
      <c r="B874" s="89"/>
      <c r="C874" s="90">
        <f t="shared" si="27"/>
        <v>0</v>
      </c>
      <c r="D874" s="97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9"/>
    </row>
    <row r="875" spans="1:18" x14ac:dyDescent="0.35">
      <c r="A875" s="88">
        <f t="shared" si="26"/>
        <v>0</v>
      </c>
      <c r="B875" s="89"/>
      <c r="C875" s="90">
        <f t="shared" si="27"/>
        <v>0</v>
      </c>
      <c r="D875" s="97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9"/>
    </row>
    <row r="876" spans="1:18" x14ac:dyDescent="0.35">
      <c r="A876" s="88">
        <f t="shared" si="26"/>
        <v>0</v>
      </c>
      <c r="B876" s="89"/>
      <c r="C876" s="90">
        <f t="shared" si="27"/>
        <v>0</v>
      </c>
      <c r="D876" s="97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9"/>
    </row>
    <row r="877" spans="1:18" x14ac:dyDescent="0.35">
      <c r="A877" s="88">
        <f t="shared" si="26"/>
        <v>0</v>
      </c>
      <c r="B877" s="89"/>
      <c r="C877" s="90">
        <f t="shared" si="27"/>
        <v>0</v>
      </c>
      <c r="D877" s="97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9"/>
    </row>
    <row r="878" spans="1:18" x14ac:dyDescent="0.35">
      <c r="A878" s="88">
        <f t="shared" si="26"/>
        <v>0</v>
      </c>
      <c r="B878" s="89"/>
      <c r="C878" s="90">
        <f t="shared" si="27"/>
        <v>0</v>
      </c>
      <c r="D878" s="97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9"/>
    </row>
    <row r="879" spans="1:18" x14ac:dyDescent="0.35">
      <c r="A879" s="88">
        <f t="shared" si="26"/>
        <v>0</v>
      </c>
      <c r="B879" s="89"/>
      <c r="C879" s="90">
        <f t="shared" si="27"/>
        <v>0</v>
      </c>
      <c r="D879" s="97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9"/>
    </row>
    <row r="880" spans="1:18" x14ac:dyDescent="0.35">
      <c r="A880" s="88">
        <f t="shared" si="26"/>
        <v>0</v>
      </c>
      <c r="B880" s="89"/>
      <c r="C880" s="90">
        <f t="shared" si="27"/>
        <v>0</v>
      </c>
      <c r="D880" s="97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9"/>
    </row>
    <row r="881" spans="1:18" x14ac:dyDescent="0.35">
      <c r="A881" s="88">
        <f t="shared" si="26"/>
        <v>0</v>
      </c>
      <c r="B881" s="89"/>
      <c r="C881" s="90">
        <f t="shared" si="27"/>
        <v>0</v>
      </c>
      <c r="D881" s="97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9"/>
    </row>
    <row r="882" spans="1:18" x14ac:dyDescent="0.35">
      <c r="A882" s="88">
        <f t="shared" si="26"/>
        <v>0</v>
      </c>
      <c r="B882" s="89"/>
      <c r="C882" s="90">
        <f t="shared" si="27"/>
        <v>0</v>
      </c>
      <c r="D882" s="97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9"/>
    </row>
    <row r="883" spans="1:18" x14ac:dyDescent="0.35">
      <c r="A883" s="88">
        <f t="shared" si="26"/>
        <v>0</v>
      </c>
      <c r="B883" s="89"/>
      <c r="C883" s="90">
        <f t="shared" si="27"/>
        <v>0</v>
      </c>
      <c r="D883" s="97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9"/>
    </row>
    <row r="884" spans="1:18" x14ac:dyDescent="0.35">
      <c r="A884" s="88">
        <f t="shared" si="26"/>
        <v>0</v>
      </c>
      <c r="B884" s="89"/>
      <c r="C884" s="90">
        <f t="shared" si="27"/>
        <v>0</v>
      </c>
      <c r="D884" s="97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9"/>
    </row>
    <row r="885" spans="1:18" x14ac:dyDescent="0.35">
      <c r="A885" s="88">
        <f t="shared" si="26"/>
        <v>0</v>
      </c>
      <c r="B885" s="89"/>
      <c r="C885" s="90">
        <f t="shared" si="27"/>
        <v>0</v>
      </c>
      <c r="D885" s="97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9"/>
    </row>
    <row r="886" spans="1:18" x14ac:dyDescent="0.35">
      <c r="A886" s="88">
        <f t="shared" si="26"/>
        <v>0</v>
      </c>
      <c r="B886" s="89"/>
      <c r="C886" s="90">
        <f t="shared" si="27"/>
        <v>0</v>
      </c>
      <c r="D886" s="97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9"/>
    </row>
    <row r="887" spans="1:18" x14ac:dyDescent="0.35">
      <c r="A887" s="88">
        <f t="shared" si="26"/>
        <v>0</v>
      </c>
      <c r="B887" s="89"/>
      <c r="C887" s="90">
        <f t="shared" si="27"/>
        <v>0</v>
      </c>
      <c r="D887" s="97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9"/>
    </row>
    <row r="888" spans="1:18" x14ac:dyDescent="0.35">
      <c r="A888" s="88">
        <f t="shared" si="26"/>
        <v>0</v>
      </c>
      <c r="B888" s="89"/>
      <c r="C888" s="90">
        <f t="shared" si="27"/>
        <v>0</v>
      </c>
      <c r="D888" s="97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9"/>
    </row>
    <row r="889" spans="1:18" x14ac:dyDescent="0.35">
      <c r="A889" s="88">
        <f t="shared" si="26"/>
        <v>0</v>
      </c>
      <c r="B889" s="89"/>
      <c r="C889" s="90">
        <f t="shared" si="27"/>
        <v>0</v>
      </c>
      <c r="D889" s="97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9"/>
    </row>
    <row r="890" spans="1:18" x14ac:dyDescent="0.35">
      <c r="A890" s="88">
        <f t="shared" si="26"/>
        <v>0</v>
      </c>
      <c r="B890" s="89"/>
      <c r="C890" s="90">
        <f t="shared" si="27"/>
        <v>0</v>
      </c>
      <c r="D890" s="97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9"/>
    </row>
    <row r="891" spans="1:18" x14ac:dyDescent="0.35">
      <c r="A891" s="88">
        <f t="shared" si="26"/>
        <v>0</v>
      </c>
      <c r="B891" s="89"/>
      <c r="C891" s="90">
        <f t="shared" si="27"/>
        <v>0</v>
      </c>
      <c r="D891" s="97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9"/>
    </row>
    <row r="892" spans="1:18" x14ac:dyDescent="0.35">
      <c r="A892" s="88">
        <f t="shared" si="26"/>
        <v>0</v>
      </c>
      <c r="B892" s="89"/>
      <c r="C892" s="90">
        <f t="shared" si="27"/>
        <v>0</v>
      </c>
      <c r="D892" s="97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9"/>
    </row>
    <row r="893" spans="1:18" x14ac:dyDescent="0.35">
      <c r="A893" s="88">
        <f t="shared" si="26"/>
        <v>0</v>
      </c>
      <c r="B893" s="89"/>
      <c r="C893" s="90">
        <f t="shared" si="27"/>
        <v>0</v>
      </c>
      <c r="D893" s="97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9"/>
    </row>
    <row r="894" spans="1:18" x14ac:dyDescent="0.35">
      <c r="A894" s="88">
        <f t="shared" si="26"/>
        <v>0</v>
      </c>
      <c r="B894" s="89"/>
      <c r="C894" s="90">
        <f t="shared" si="27"/>
        <v>0</v>
      </c>
      <c r="D894" s="97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9"/>
    </row>
    <row r="895" spans="1:18" x14ac:dyDescent="0.35">
      <c r="A895" s="88">
        <f t="shared" si="26"/>
        <v>0</v>
      </c>
      <c r="B895" s="89"/>
      <c r="C895" s="90">
        <f t="shared" si="27"/>
        <v>0</v>
      </c>
      <c r="D895" s="97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9"/>
    </row>
    <row r="896" spans="1:18" x14ac:dyDescent="0.35">
      <c r="A896" s="88">
        <f t="shared" si="26"/>
        <v>0</v>
      </c>
      <c r="B896" s="89"/>
      <c r="C896" s="90">
        <f t="shared" si="27"/>
        <v>0</v>
      </c>
      <c r="D896" s="97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9"/>
    </row>
    <row r="897" spans="1:18" x14ac:dyDescent="0.35">
      <c r="A897" s="88">
        <f t="shared" si="26"/>
        <v>0</v>
      </c>
      <c r="B897" s="89"/>
      <c r="C897" s="90">
        <f t="shared" si="27"/>
        <v>0</v>
      </c>
      <c r="D897" s="97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9"/>
    </row>
    <row r="898" spans="1:18" x14ac:dyDescent="0.35">
      <c r="A898" s="88">
        <f t="shared" si="26"/>
        <v>0</v>
      </c>
      <c r="B898" s="89"/>
      <c r="C898" s="90">
        <f t="shared" si="27"/>
        <v>0</v>
      </c>
      <c r="D898" s="97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9"/>
    </row>
    <row r="899" spans="1:18" x14ac:dyDescent="0.35">
      <c r="A899" s="88">
        <f t="shared" si="26"/>
        <v>0</v>
      </c>
      <c r="B899" s="89"/>
      <c r="C899" s="90">
        <f t="shared" si="27"/>
        <v>0</v>
      </c>
      <c r="D899" s="97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9"/>
    </row>
    <row r="900" spans="1:18" x14ac:dyDescent="0.35">
      <c r="A900" s="88">
        <f t="shared" ref="A900:A963" si="28">F900</f>
        <v>0</v>
      </c>
      <c r="B900" s="89"/>
      <c r="C900" s="90">
        <f t="shared" ref="C900:C963" si="29">F900</f>
        <v>0</v>
      </c>
      <c r="D900" s="97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9"/>
    </row>
    <row r="901" spans="1:18" x14ac:dyDescent="0.35">
      <c r="A901" s="88">
        <f t="shared" si="28"/>
        <v>0</v>
      </c>
      <c r="B901" s="89"/>
      <c r="C901" s="90">
        <f t="shared" si="29"/>
        <v>0</v>
      </c>
      <c r="D901" s="97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9"/>
    </row>
    <row r="902" spans="1:18" x14ac:dyDescent="0.35">
      <c r="A902" s="88">
        <f t="shared" si="28"/>
        <v>0</v>
      </c>
      <c r="B902" s="89"/>
      <c r="C902" s="90">
        <f t="shared" si="29"/>
        <v>0</v>
      </c>
      <c r="D902" s="97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9"/>
    </row>
    <row r="903" spans="1:18" x14ac:dyDescent="0.35">
      <c r="A903" s="88">
        <f t="shared" si="28"/>
        <v>0</v>
      </c>
      <c r="B903" s="89"/>
      <c r="C903" s="90">
        <f t="shared" si="29"/>
        <v>0</v>
      </c>
      <c r="D903" s="97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9"/>
    </row>
    <row r="904" spans="1:18" x14ac:dyDescent="0.35">
      <c r="A904" s="88">
        <f t="shared" si="28"/>
        <v>0</v>
      </c>
      <c r="B904" s="89"/>
      <c r="C904" s="90">
        <f t="shared" si="29"/>
        <v>0</v>
      </c>
      <c r="D904" s="97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9"/>
    </row>
    <row r="905" spans="1:18" x14ac:dyDescent="0.35">
      <c r="A905" s="88">
        <f t="shared" si="28"/>
        <v>0</v>
      </c>
      <c r="B905" s="89"/>
      <c r="C905" s="90">
        <f t="shared" si="29"/>
        <v>0</v>
      </c>
      <c r="D905" s="97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9"/>
    </row>
    <row r="906" spans="1:18" x14ac:dyDescent="0.35">
      <c r="A906" s="88">
        <f t="shared" si="28"/>
        <v>0</v>
      </c>
      <c r="B906" s="89"/>
      <c r="C906" s="90">
        <f t="shared" si="29"/>
        <v>0</v>
      </c>
      <c r="D906" s="97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9"/>
    </row>
    <row r="907" spans="1:18" x14ac:dyDescent="0.35">
      <c r="A907" s="88">
        <f t="shared" si="28"/>
        <v>0</v>
      </c>
      <c r="B907" s="89"/>
      <c r="C907" s="90">
        <f t="shared" si="29"/>
        <v>0</v>
      </c>
      <c r="D907" s="97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9"/>
    </row>
    <row r="908" spans="1:18" x14ac:dyDescent="0.35">
      <c r="A908" s="88">
        <f t="shared" si="28"/>
        <v>0</v>
      </c>
      <c r="B908" s="89"/>
      <c r="C908" s="90">
        <f t="shared" si="29"/>
        <v>0</v>
      </c>
      <c r="D908" s="97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9"/>
    </row>
    <row r="909" spans="1:18" x14ac:dyDescent="0.35">
      <c r="A909" s="88">
        <f t="shared" si="28"/>
        <v>0</v>
      </c>
      <c r="B909" s="89"/>
      <c r="C909" s="90">
        <f t="shared" si="29"/>
        <v>0</v>
      </c>
      <c r="D909" s="97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9"/>
    </row>
    <row r="910" spans="1:18" x14ac:dyDescent="0.35">
      <c r="A910" s="88">
        <f t="shared" si="28"/>
        <v>0</v>
      </c>
      <c r="B910" s="89"/>
      <c r="C910" s="90">
        <f t="shared" si="29"/>
        <v>0</v>
      </c>
      <c r="D910" s="97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9"/>
    </row>
    <row r="911" spans="1:18" x14ac:dyDescent="0.35">
      <c r="A911" s="88">
        <f t="shared" si="28"/>
        <v>0</v>
      </c>
      <c r="B911" s="89"/>
      <c r="C911" s="90">
        <f t="shared" si="29"/>
        <v>0</v>
      </c>
      <c r="D911" s="97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9"/>
    </row>
    <row r="912" spans="1:18" x14ac:dyDescent="0.35">
      <c r="A912" s="88">
        <f t="shared" si="28"/>
        <v>0</v>
      </c>
      <c r="B912" s="89"/>
      <c r="C912" s="90">
        <f t="shared" si="29"/>
        <v>0</v>
      </c>
      <c r="D912" s="97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9"/>
    </row>
    <row r="913" spans="1:18" x14ac:dyDescent="0.35">
      <c r="A913" s="88">
        <f t="shared" si="28"/>
        <v>0</v>
      </c>
      <c r="B913" s="89"/>
      <c r="C913" s="90">
        <f t="shared" si="29"/>
        <v>0</v>
      </c>
      <c r="D913" s="97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9"/>
    </row>
    <row r="914" spans="1:18" x14ac:dyDescent="0.35">
      <c r="A914" s="88">
        <f t="shared" si="28"/>
        <v>0</v>
      </c>
      <c r="B914" s="89"/>
      <c r="C914" s="90">
        <f t="shared" si="29"/>
        <v>0</v>
      </c>
      <c r="D914" s="97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9"/>
    </row>
    <row r="915" spans="1:18" x14ac:dyDescent="0.35">
      <c r="A915" s="88">
        <f t="shared" si="28"/>
        <v>0</v>
      </c>
      <c r="B915" s="89"/>
      <c r="C915" s="90">
        <f t="shared" si="29"/>
        <v>0</v>
      </c>
      <c r="D915" s="97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9"/>
    </row>
    <row r="916" spans="1:18" x14ac:dyDescent="0.35">
      <c r="A916" s="88">
        <f t="shared" si="28"/>
        <v>0</v>
      </c>
      <c r="B916" s="89"/>
      <c r="C916" s="90">
        <f t="shared" si="29"/>
        <v>0</v>
      </c>
      <c r="D916" s="97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9"/>
    </row>
    <row r="917" spans="1:18" x14ac:dyDescent="0.35">
      <c r="A917" s="88">
        <f t="shared" si="28"/>
        <v>0</v>
      </c>
      <c r="B917" s="89"/>
      <c r="C917" s="90">
        <f t="shared" si="29"/>
        <v>0</v>
      </c>
      <c r="D917" s="97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9"/>
    </row>
    <row r="918" spans="1:18" x14ac:dyDescent="0.35">
      <c r="A918" s="88">
        <f t="shared" si="28"/>
        <v>0</v>
      </c>
      <c r="B918" s="89"/>
      <c r="C918" s="90">
        <f t="shared" si="29"/>
        <v>0</v>
      </c>
      <c r="D918" s="97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9"/>
    </row>
    <row r="919" spans="1:18" x14ac:dyDescent="0.35">
      <c r="A919" s="88">
        <f t="shared" si="28"/>
        <v>0</v>
      </c>
      <c r="B919" s="89"/>
      <c r="C919" s="90">
        <f t="shared" si="29"/>
        <v>0</v>
      </c>
      <c r="D919" s="97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9"/>
    </row>
    <row r="920" spans="1:18" x14ac:dyDescent="0.35">
      <c r="A920" s="88">
        <f t="shared" si="28"/>
        <v>0</v>
      </c>
      <c r="B920" s="89"/>
      <c r="C920" s="90">
        <f t="shared" si="29"/>
        <v>0</v>
      </c>
      <c r="D920" s="97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9"/>
    </row>
    <row r="921" spans="1:18" x14ac:dyDescent="0.35">
      <c r="A921" s="88">
        <f t="shared" si="28"/>
        <v>0</v>
      </c>
      <c r="B921" s="89"/>
      <c r="C921" s="90">
        <f t="shared" si="29"/>
        <v>0</v>
      </c>
      <c r="D921" s="97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9"/>
    </row>
    <row r="922" spans="1:18" x14ac:dyDescent="0.35">
      <c r="A922" s="88">
        <f t="shared" si="28"/>
        <v>0</v>
      </c>
      <c r="B922" s="89"/>
      <c r="C922" s="90">
        <f t="shared" si="29"/>
        <v>0</v>
      </c>
      <c r="D922" s="97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9"/>
    </row>
    <row r="923" spans="1:18" x14ac:dyDescent="0.35">
      <c r="A923" s="88">
        <f t="shared" si="28"/>
        <v>0</v>
      </c>
      <c r="B923" s="89"/>
      <c r="C923" s="90">
        <f t="shared" si="29"/>
        <v>0</v>
      </c>
      <c r="D923" s="97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9"/>
    </row>
    <row r="924" spans="1:18" x14ac:dyDescent="0.35">
      <c r="A924" s="88">
        <f t="shared" si="28"/>
        <v>0</v>
      </c>
      <c r="B924" s="89"/>
      <c r="C924" s="90">
        <f t="shared" si="29"/>
        <v>0</v>
      </c>
      <c r="D924" s="97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9"/>
    </row>
    <row r="925" spans="1:18" x14ac:dyDescent="0.35">
      <c r="A925" s="88">
        <f t="shared" si="28"/>
        <v>0</v>
      </c>
      <c r="B925" s="89"/>
      <c r="C925" s="90">
        <f t="shared" si="29"/>
        <v>0</v>
      </c>
      <c r="D925" s="97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9"/>
    </row>
    <row r="926" spans="1:18" x14ac:dyDescent="0.35">
      <c r="A926" s="88">
        <f t="shared" si="28"/>
        <v>0</v>
      </c>
      <c r="B926" s="89"/>
      <c r="C926" s="90">
        <f t="shared" si="29"/>
        <v>0</v>
      </c>
      <c r="D926" s="97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9"/>
    </row>
    <row r="927" spans="1:18" x14ac:dyDescent="0.35">
      <c r="A927" s="88">
        <f t="shared" si="28"/>
        <v>0</v>
      </c>
      <c r="B927" s="89"/>
      <c r="C927" s="90">
        <f t="shared" si="29"/>
        <v>0</v>
      </c>
      <c r="D927" s="97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9"/>
    </row>
    <row r="928" spans="1:18" x14ac:dyDescent="0.35">
      <c r="A928" s="88">
        <f t="shared" si="28"/>
        <v>0</v>
      </c>
      <c r="B928" s="89"/>
      <c r="C928" s="90">
        <f t="shared" si="29"/>
        <v>0</v>
      </c>
      <c r="D928" s="97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9"/>
    </row>
    <row r="929" spans="1:18" x14ac:dyDescent="0.35">
      <c r="A929" s="88">
        <f t="shared" si="28"/>
        <v>0</v>
      </c>
      <c r="B929" s="89"/>
      <c r="C929" s="90">
        <f t="shared" si="29"/>
        <v>0</v>
      </c>
      <c r="D929" s="97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9"/>
    </row>
    <row r="930" spans="1:18" x14ac:dyDescent="0.35">
      <c r="A930" s="88">
        <f t="shared" si="28"/>
        <v>0</v>
      </c>
      <c r="B930" s="89"/>
      <c r="C930" s="90">
        <f t="shared" si="29"/>
        <v>0</v>
      </c>
      <c r="D930" s="97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9"/>
    </row>
    <row r="931" spans="1:18" x14ac:dyDescent="0.35">
      <c r="A931" s="88">
        <f t="shared" si="28"/>
        <v>0</v>
      </c>
      <c r="B931" s="89"/>
      <c r="C931" s="90">
        <f t="shared" si="29"/>
        <v>0</v>
      </c>
      <c r="D931" s="97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9"/>
    </row>
    <row r="932" spans="1:18" x14ac:dyDescent="0.35">
      <c r="A932" s="88">
        <f t="shared" si="28"/>
        <v>0</v>
      </c>
      <c r="B932" s="89"/>
      <c r="C932" s="90">
        <f t="shared" si="29"/>
        <v>0</v>
      </c>
      <c r="D932" s="97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9"/>
    </row>
    <row r="933" spans="1:18" x14ac:dyDescent="0.35">
      <c r="A933" s="88">
        <f t="shared" si="28"/>
        <v>0</v>
      </c>
      <c r="B933" s="89"/>
      <c r="C933" s="90">
        <f t="shared" si="29"/>
        <v>0</v>
      </c>
      <c r="D933" s="97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9"/>
    </row>
    <row r="934" spans="1:18" x14ac:dyDescent="0.35">
      <c r="A934" s="88">
        <f t="shared" si="28"/>
        <v>0</v>
      </c>
      <c r="B934" s="89"/>
      <c r="C934" s="90">
        <f t="shared" si="29"/>
        <v>0</v>
      </c>
      <c r="D934" s="97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9"/>
    </row>
    <row r="935" spans="1:18" x14ac:dyDescent="0.35">
      <c r="A935" s="88">
        <f t="shared" si="28"/>
        <v>0</v>
      </c>
      <c r="B935" s="89"/>
      <c r="C935" s="90">
        <f t="shared" si="29"/>
        <v>0</v>
      </c>
      <c r="D935" s="97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9"/>
    </row>
    <row r="936" spans="1:18" x14ac:dyDescent="0.35">
      <c r="A936" s="88">
        <f t="shared" si="28"/>
        <v>0</v>
      </c>
      <c r="B936" s="89"/>
      <c r="C936" s="90">
        <f t="shared" si="29"/>
        <v>0</v>
      </c>
      <c r="D936" s="97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9"/>
    </row>
    <row r="937" spans="1:18" x14ac:dyDescent="0.35">
      <c r="A937" s="88">
        <f t="shared" si="28"/>
        <v>0</v>
      </c>
      <c r="B937" s="89"/>
      <c r="C937" s="90">
        <f t="shared" si="29"/>
        <v>0</v>
      </c>
      <c r="D937" s="97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9"/>
    </row>
    <row r="938" spans="1:18" x14ac:dyDescent="0.35">
      <c r="A938" s="88">
        <f t="shared" si="28"/>
        <v>0</v>
      </c>
      <c r="B938" s="89"/>
      <c r="C938" s="90">
        <f t="shared" si="29"/>
        <v>0</v>
      </c>
      <c r="D938" s="97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9"/>
    </row>
    <row r="939" spans="1:18" x14ac:dyDescent="0.35">
      <c r="A939" s="88">
        <f t="shared" si="28"/>
        <v>0</v>
      </c>
      <c r="B939" s="89"/>
      <c r="C939" s="90">
        <f t="shared" si="29"/>
        <v>0</v>
      </c>
      <c r="D939" s="97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9"/>
    </row>
    <row r="940" spans="1:18" x14ac:dyDescent="0.35">
      <c r="A940" s="88">
        <f t="shared" si="28"/>
        <v>0</v>
      </c>
      <c r="B940" s="89"/>
      <c r="C940" s="90">
        <f t="shared" si="29"/>
        <v>0</v>
      </c>
      <c r="D940" s="97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9"/>
    </row>
    <row r="941" spans="1:18" x14ac:dyDescent="0.35">
      <c r="A941" s="88">
        <f t="shared" si="28"/>
        <v>0</v>
      </c>
      <c r="B941" s="89"/>
      <c r="C941" s="90">
        <f t="shared" si="29"/>
        <v>0</v>
      </c>
      <c r="D941" s="97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9"/>
    </row>
    <row r="942" spans="1:18" x14ac:dyDescent="0.35">
      <c r="A942" s="88">
        <f t="shared" si="28"/>
        <v>0</v>
      </c>
      <c r="B942" s="89"/>
      <c r="C942" s="90">
        <f t="shared" si="29"/>
        <v>0</v>
      </c>
      <c r="D942" s="97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9"/>
    </row>
    <row r="943" spans="1:18" x14ac:dyDescent="0.35">
      <c r="A943" s="88">
        <f t="shared" si="28"/>
        <v>0</v>
      </c>
      <c r="B943" s="89"/>
      <c r="C943" s="90">
        <f t="shared" si="29"/>
        <v>0</v>
      </c>
      <c r="D943" s="97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9"/>
    </row>
    <row r="944" spans="1:18" x14ac:dyDescent="0.35">
      <c r="A944" s="88">
        <f t="shared" si="28"/>
        <v>0</v>
      </c>
      <c r="B944" s="89"/>
      <c r="C944" s="90">
        <f t="shared" si="29"/>
        <v>0</v>
      </c>
      <c r="D944" s="97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9"/>
    </row>
    <row r="945" spans="1:18" x14ac:dyDescent="0.35">
      <c r="A945" s="88">
        <f t="shared" si="28"/>
        <v>0</v>
      </c>
      <c r="B945" s="89"/>
      <c r="C945" s="90">
        <f t="shared" si="29"/>
        <v>0</v>
      </c>
      <c r="D945" s="97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9"/>
    </row>
    <row r="946" spans="1:18" x14ac:dyDescent="0.35">
      <c r="A946" s="88">
        <f t="shared" si="28"/>
        <v>0</v>
      </c>
      <c r="B946" s="89"/>
      <c r="C946" s="90">
        <f t="shared" si="29"/>
        <v>0</v>
      </c>
      <c r="D946" s="97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9"/>
    </row>
    <row r="947" spans="1:18" x14ac:dyDescent="0.35">
      <c r="A947" s="88">
        <f t="shared" si="28"/>
        <v>0</v>
      </c>
      <c r="B947" s="89"/>
      <c r="C947" s="90">
        <f t="shared" si="29"/>
        <v>0</v>
      </c>
      <c r="D947" s="97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9"/>
    </row>
    <row r="948" spans="1:18" x14ac:dyDescent="0.35">
      <c r="A948" s="88">
        <f t="shared" si="28"/>
        <v>0</v>
      </c>
      <c r="B948" s="89"/>
      <c r="C948" s="90">
        <f t="shared" si="29"/>
        <v>0</v>
      </c>
      <c r="D948" s="97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9"/>
    </row>
    <row r="949" spans="1:18" x14ac:dyDescent="0.35">
      <c r="A949" s="88">
        <f t="shared" si="28"/>
        <v>0</v>
      </c>
      <c r="B949" s="89"/>
      <c r="C949" s="90">
        <f t="shared" si="29"/>
        <v>0</v>
      </c>
      <c r="D949" s="97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9"/>
    </row>
    <row r="950" spans="1:18" x14ac:dyDescent="0.35">
      <c r="A950" s="88">
        <f t="shared" si="28"/>
        <v>0</v>
      </c>
      <c r="B950" s="89"/>
      <c r="C950" s="90">
        <f t="shared" si="29"/>
        <v>0</v>
      </c>
      <c r="D950" s="97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9"/>
    </row>
    <row r="951" spans="1:18" x14ac:dyDescent="0.35">
      <c r="A951" s="88">
        <f t="shared" si="28"/>
        <v>0</v>
      </c>
      <c r="B951" s="89"/>
      <c r="C951" s="90">
        <f t="shared" si="29"/>
        <v>0</v>
      </c>
      <c r="D951" s="97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9"/>
    </row>
    <row r="952" spans="1:18" x14ac:dyDescent="0.35">
      <c r="A952" s="88">
        <f t="shared" si="28"/>
        <v>0</v>
      </c>
      <c r="B952" s="89"/>
      <c r="C952" s="90">
        <f t="shared" si="29"/>
        <v>0</v>
      </c>
      <c r="D952" s="97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9"/>
    </row>
    <row r="953" spans="1:18" x14ac:dyDescent="0.35">
      <c r="A953" s="88">
        <f t="shared" si="28"/>
        <v>0</v>
      </c>
      <c r="B953" s="89"/>
      <c r="C953" s="90">
        <f t="shared" si="29"/>
        <v>0</v>
      </c>
      <c r="D953" s="97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9"/>
    </row>
    <row r="954" spans="1:18" x14ac:dyDescent="0.35">
      <c r="A954" s="88">
        <f t="shared" si="28"/>
        <v>0</v>
      </c>
      <c r="B954" s="89"/>
      <c r="C954" s="90">
        <f t="shared" si="29"/>
        <v>0</v>
      </c>
      <c r="D954" s="97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9"/>
    </row>
    <row r="955" spans="1:18" x14ac:dyDescent="0.35">
      <c r="A955" s="88">
        <f t="shared" si="28"/>
        <v>0</v>
      </c>
      <c r="B955" s="89"/>
      <c r="C955" s="90">
        <f t="shared" si="29"/>
        <v>0</v>
      </c>
      <c r="D955" s="97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9"/>
    </row>
    <row r="956" spans="1:18" x14ac:dyDescent="0.35">
      <c r="A956" s="88">
        <f t="shared" si="28"/>
        <v>0</v>
      </c>
      <c r="B956" s="89"/>
      <c r="C956" s="90">
        <f t="shared" si="29"/>
        <v>0</v>
      </c>
      <c r="D956" s="97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9"/>
    </row>
    <row r="957" spans="1:18" x14ac:dyDescent="0.35">
      <c r="A957" s="88">
        <f t="shared" si="28"/>
        <v>0</v>
      </c>
      <c r="B957" s="89"/>
      <c r="C957" s="90">
        <f t="shared" si="29"/>
        <v>0</v>
      </c>
      <c r="D957" s="97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9"/>
    </row>
    <row r="958" spans="1:18" x14ac:dyDescent="0.35">
      <c r="A958" s="88">
        <f t="shared" si="28"/>
        <v>0</v>
      </c>
      <c r="B958" s="89"/>
      <c r="C958" s="90">
        <f t="shared" si="29"/>
        <v>0</v>
      </c>
      <c r="D958" s="97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9"/>
    </row>
    <row r="959" spans="1:18" x14ac:dyDescent="0.35">
      <c r="A959" s="88">
        <f t="shared" si="28"/>
        <v>0</v>
      </c>
      <c r="B959" s="89"/>
      <c r="C959" s="90">
        <f t="shared" si="29"/>
        <v>0</v>
      </c>
      <c r="D959" s="97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9"/>
    </row>
    <row r="960" spans="1:18" x14ac:dyDescent="0.35">
      <c r="A960" s="88">
        <f t="shared" si="28"/>
        <v>0</v>
      </c>
      <c r="B960" s="89"/>
      <c r="C960" s="90">
        <f t="shared" si="29"/>
        <v>0</v>
      </c>
      <c r="D960" s="97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9"/>
    </row>
    <row r="961" spans="1:18" x14ac:dyDescent="0.35">
      <c r="A961" s="88">
        <f t="shared" si="28"/>
        <v>0</v>
      </c>
      <c r="B961" s="89"/>
      <c r="C961" s="90">
        <f t="shared" si="29"/>
        <v>0</v>
      </c>
      <c r="D961" s="97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9"/>
    </row>
    <row r="962" spans="1:18" x14ac:dyDescent="0.35">
      <c r="A962" s="88">
        <f t="shared" si="28"/>
        <v>0</v>
      </c>
      <c r="B962" s="89"/>
      <c r="C962" s="90">
        <f t="shared" si="29"/>
        <v>0</v>
      </c>
      <c r="D962" s="97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9"/>
    </row>
    <row r="963" spans="1:18" x14ac:dyDescent="0.35">
      <c r="A963" s="88">
        <f t="shared" si="28"/>
        <v>0</v>
      </c>
      <c r="B963" s="89"/>
      <c r="C963" s="90">
        <f t="shared" si="29"/>
        <v>0</v>
      </c>
      <c r="D963" s="97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9"/>
    </row>
    <row r="964" spans="1:18" x14ac:dyDescent="0.35">
      <c r="A964" s="88">
        <f t="shared" ref="A964:A1027" si="30">F964</f>
        <v>0</v>
      </c>
      <c r="B964" s="89"/>
      <c r="C964" s="90">
        <f t="shared" ref="C964:C1027" si="31">F964</f>
        <v>0</v>
      </c>
      <c r="D964" s="97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9"/>
    </row>
    <row r="965" spans="1:18" x14ac:dyDescent="0.35">
      <c r="A965" s="88">
        <f t="shared" si="30"/>
        <v>0</v>
      </c>
      <c r="B965" s="89"/>
      <c r="C965" s="90">
        <f t="shared" si="31"/>
        <v>0</v>
      </c>
      <c r="D965" s="97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9"/>
    </row>
    <row r="966" spans="1:18" x14ac:dyDescent="0.35">
      <c r="A966" s="88">
        <f t="shared" si="30"/>
        <v>0</v>
      </c>
      <c r="B966" s="89"/>
      <c r="C966" s="90">
        <f t="shared" si="31"/>
        <v>0</v>
      </c>
      <c r="D966" s="97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9"/>
    </row>
    <row r="967" spans="1:18" x14ac:dyDescent="0.35">
      <c r="A967" s="88">
        <f t="shared" si="30"/>
        <v>0</v>
      </c>
      <c r="B967" s="89"/>
      <c r="C967" s="90">
        <f t="shared" si="31"/>
        <v>0</v>
      </c>
      <c r="D967" s="97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9"/>
    </row>
    <row r="968" spans="1:18" x14ac:dyDescent="0.35">
      <c r="A968" s="88">
        <f t="shared" si="30"/>
        <v>0</v>
      </c>
      <c r="B968" s="89"/>
      <c r="C968" s="90">
        <f t="shared" si="31"/>
        <v>0</v>
      </c>
      <c r="D968" s="97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9"/>
    </row>
    <row r="969" spans="1:18" x14ac:dyDescent="0.35">
      <c r="A969" s="88">
        <f t="shared" si="30"/>
        <v>0</v>
      </c>
      <c r="B969" s="89"/>
      <c r="C969" s="90">
        <f t="shared" si="31"/>
        <v>0</v>
      </c>
      <c r="D969" s="97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9"/>
    </row>
    <row r="970" spans="1:18" x14ac:dyDescent="0.35">
      <c r="A970" s="88">
        <f t="shared" si="30"/>
        <v>0</v>
      </c>
      <c r="B970" s="89"/>
      <c r="C970" s="90">
        <f t="shared" si="31"/>
        <v>0</v>
      </c>
      <c r="D970" s="97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9"/>
    </row>
    <row r="971" spans="1:18" x14ac:dyDescent="0.35">
      <c r="A971" s="88">
        <f t="shared" si="30"/>
        <v>0</v>
      </c>
      <c r="B971" s="89"/>
      <c r="C971" s="90">
        <f t="shared" si="31"/>
        <v>0</v>
      </c>
      <c r="D971" s="97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9"/>
    </row>
    <row r="972" spans="1:18" x14ac:dyDescent="0.35">
      <c r="A972" s="88">
        <f t="shared" si="30"/>
        <v>0</v>
      </c>
      <c r="B972" s="89"/>
      <c r="C972" s="90">
        <f t="shared" si="31"/>
        <v>0</v>
      </c>
      <c r="D972" s="97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9"/>
    </row>
    <row r="973" spans="1:18" x14ac:dyDescent="0.35">
      <c r="A973" s="88">
        <f t="shared" si="30"/>
        <v>0</v>
      </c>
      <c r="B973" s="89"/>
      <c r="C973" s="90">
        <f t="shared" si="31"/>
        <v>0</v>
      </c>
      <c r="D973" s="97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9"/>
    </row>
    <row r="974" spans="1:18" x14ac:dyDescent="0.35">
      <c r="A974" s="88">
        <f t="shared" si="30"/>
        <v>0</v>
      </c>
      <c r="B974" s="89"/>
      <c r="C974" s="90">
        <f t="shared" si="31"/>
        <v>0</v>
      </c>
      <c r="D974" s="97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9"/>
    </row>
    <row r="975" spans="1:18" x14ac:dyDescent="0.35">
      <c r="A975" s="88">
        <f t="shared" si="30"/>
        <v>0</v>
      </c>
      <c r="B975" s="89"/>
      <c r="C975" s="90">
        <f t="shared" si="31"/>
        <v>0</v>
      </c>
      <c r="D975" s="97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9"/>
    </row>
    <row r="976" spans="1:18" x14ac:dyDescent="0.35">
      <c r="A976" s="88">
        <f t="shared" si="30"/>
        <v>0</v>
      </c>
      <c r="B976" s="89"/>
      <c r="C976" s="90">
        <f t="shared" si="31"/>
        <v>0</v>
      </c>
      <c r="D976" s="97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9"/>
    </row>
    <row r="977" spans="1:18" x14ac:dyDescent="0.35">
      <c r="A977" s="88">
        <f t="shared" si="30"/>
        <v>0</v>
      </c>
      <c r="B977" s="89"/>
      <c r="C977" s="90">
        <f t="shared" si="31"/>
        <v>0</v>
      </c>
      <c r="D977" s="97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9"/>
    </row>
    <row r="978" spans="1:18" x14ac:dyDescent="0.35">
      <c r="A978" s="88">
        <f t="shared" si="30"/>
        <v>0</v>
      </c>
      <c r="B978" s="89"/>
      <c r="C978" s="90">
        <f t="shared" si="31"/>
        <v>0</v>
      </c>
      <c r="D978" s="97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9"/>
    </row>
    <row r="979" spans="1:18" x14ac:dyDescent="0.35">
      <c r="A979" s="88">
        <f t="shared" si="30"/>
        <v>0</v>
      </c>
      <c r="B979" s="89"/>
      <c r="C979" s="90">
        <f t="shared" si="31"/>
        <v>0</v>
      </c>
      <c r="D979" s="97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9"/>
    </row>
    <row r="980" spans="1:18" x14ac:dyDescent="0.35">
      <c r="A980" s="88">
        <f t="shared" si="30"/>
        <v>0</v>
      </c>
      <c r="B980" s="89"/>
      <c r="C980" s="90">
        <f t="shared" si="31"/>
        <v>0</v>
      </c>
      <c r="D980" s="97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9"/>
    </row>
    <row r="981" spans="1:18" x14ac:dyDescent="0.35">
      <c r="A981" s="88">
        <f t="shared" si="30"/>
        <v>0</v>
      </c>
      <c r="B981" s="89"/>
      <c r="C981" s="90">
        <f t="shared" si="31"/>
        <v>0</v>
      </c>
      <c r="D981" s="97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9"/>
    </row>
    <row r="982" spans="1:18" x14ac:dyDescent="0.35">
      <c r="A982" s="88">
        <f t="shared" si="30"/>
        <v>0</v>
      </c>
      <c r="B982" s="89"/>
      <c r="C982" s="90">
        <f t="shared" si="31"/>
        <v>0</v>
      </c>
      <c r="D982" s="97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9"/>
    </row>
    <row r="983" spans="1:18" x14ac:dyDescent="0.35">
      <c r="A983" s="88">
        <f t="shared" si="30"/>
        <v>0</v>
      </c>
      <c r="B983" s="89"/>
      <c r="C983" s="90">
        <f t="shared" si="31"/>
        <v>0</v>
      </c>
      <c r="D983" s="97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9"/>
    </row>
    <row r="984" spans="1:18" x14ac:dyDescent="0.35">
      <c r="A984" s="88">
        <f t="shared" si="30"/>
        <v>0</v>
      </c>
      <c r="B984" s="89"/>
      <c r="C984" s="90">
        <f t="shared" si="31"/>
        <v>0</v>
      </c>
      <c r="D984" s="97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9"/>
    </row>
    <row r="985" spans="1:18" x14ac:dyDescent="0.35">
      <c r="A985" s="88">
        <f t="shared" si="30"/>
        <v>0</v>
      </c>
      <c r="B985" s="89"/>
      <c r="C985" s="90">
        <f t="shared" si="31"/>
        <v>0</v>
      </c>
      <c r="D985" s="97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9"/>
    </row>
    <row r="986" spans="1:18" x14ac:dyDescent="0.35">
      <c r="A986" s="88">
        <f t="shared" si="30"/>
        <v>0</v>
      </c>
      <c r="B986" s="89"/>
      <c r="C986" s="90">
        <f t="shared" si="31"/>
        <v>0</v>
      </c>
      <c r="D986" s="97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9"/>
    </row>
    <row r="987" spans="1:18" x14ac:dyDescent="0.35">
      <c r="A987" s="88">
        <f t="shared" si="30"/>
        <v>0</v>
      </c>
      <c r="B987" s="89"/>
      <c r="C987" s="90">
        <f t="shared" si="31"/>
        <v>0</v>
      </c>
      <c r="D987" s="97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9"/>
    </row>
    <row r="988" spans="1:18" x14ac:dyDescent="0.35">
      <c r="A988" s="88">
        <f t="shared" si="30"/>
        <v>0</v>
      </c>
      <c r="B988" s="89"/>
      <c r="C988" s="90">
        <f t="shared" si="31"/>
        <v>0</v>
      </c>
      <c r="D988" s="97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9"/>
    </row>
    <row r="989" spans="1:18" x14ac:dyDescent="0.35">
      <c r="A989" s="88">
        <f t="shared" si="30"/>
        <v>0</v>
      </c>
      <c r="B989" s="89"/>
      <c r="C989" s="90">
        <f t="shared" si="31"/>
        <v>0</v>
      </c>
      <c r="D989" s="97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9"/>
    </row>
    <row r="990" spans="1:18" x14ac:dyDescent="0.35">
      <c r="A990" s="88">
        <f t="shared" si="30"/>
        <v>0</v>
      </c>
      <c r="B990" s="89"/>
      <c r="C990" s="90">
        <f t="shared" si="31"/>
        <v>0</v>
      </c>
      <c r="D990" s="97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9"/>
    </row>
    <row r="991" spans="1:18" x14ac:dyDescent="0.35">
      <c r="A991" s="88">
        <f t="shared" si="30"/>
        <v>0</v>
      </c>
      <c r="B991" s="89"/>
      <c r="C991" s="90">
        <f t="shared" si="31"/>
        <v>0</v>
      </c>
      <c r="D991" s="97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9"/>
    </row>
    <row r="992" spans="1:18" x14ac:dyDescent="0.35">
      <c r="A992" s="88">
        <f t="shared" si="30"/>
        <v>0</v>
      </c>
      <c r="B992" s="89"/>
      <c r="C992" s="90">
        <f t="shared" si="31"/>
        <v>0</v>
      </c>
      <c r="D992" s="97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9"/>
    </row>
    <row r="993" spans="1:18" x14ac:dyDescent="0.35">
      <c r="A993" s="88">
        <f t="shared" si="30"/>
        <v>0</v>
      </c>
      <c r="B993" s="89"/>
      <c r="C993" s="90">
        <f t="shared" si="31"/>
        <v>0</v>
      </c>
      <c r="D993" s="97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9"/>
    </row>
    <row r="994" spans="1:18" x14ac:dyDescent="0.35">
      <c r="A994" s="88">
        <f t="shared" si="30"/>
        <v>0</v>
      </c>
      <c r="B994" s="89"/>
      <c r="C994" s="90">
        <f t="shared" si="31"/>
        <v>0</v>
      </c>
      <c r="D994" s="97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9"/>
    </row>
    <row r="995" spans="1:18" x14ac:dyDescent="0.35">
      <c r="A995" s="88">
        <f t="shared" si="30"/>
        <v>0</v>
      </c>
      <c r="B995" s="89"/>
      <c r="C995" s="90">
        <f t="shared" si="31"/>
        <v>0</v>
      </c>
      <c r="D995" s="97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9"/>
    </row>
    <row r="996" spans="1:18" x14ac:dyDescent="0.35">
      <c r="A996" s="88">
        <f t="shared" si="30"/>
        <v>0</v>
      </c>
      <c r="B996" s="89"/>
      <c r="C996" s="90">
        <f t="shared" si="31"/>
        <v>0</v>
      </c>
      <c r="D996" s="97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9"/>
    </row>
    <row r="997" spans="1:18" x14ac:dyDescent="0.35">
      <c r="A997" s="88">
        <f t="shared" si="30"/>
        <v>0</v>
      </c>
      <c r="B997" s="89"/>
      <c r="C997" s="90">
        <f t="shared" si="31"/>
        <v>0</v>
      </c>
      <c r="D997" s="97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9"/>
    </row>
    <row r="998" spans="1:18" x14ac:dyDescent="0.35">
      <c r="A998" s="88">
        <f t="shared" si="30"/>
        <v>0</v>
      </c>
      <c r="B998" s="89"/>
      <c r="C998" s="90">
        <f t="shared" si="31"/>
        <v>0</v>
      </c>
      <c r="D998" s="97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9"/>
    </row>
    <row r="999" spans="1:18" x14ac:dyDescent="0.35">
      <c r="A999" s="88">
        <f t="shared" si="30"/>
        <v>0</v>
      </c>
      <c r="B999" s="89"/>
      <c r="C999" s="90">
        <f t="shared" si="31"/>
        <v>0</v>
      </c>
      <c r="D999" s="97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9"/>
    </row>
    <row r="1000" spans="1:18" x14ac:dyDescent="0.35">
      <c r="A1000" s="88">
        <f t="shared" si="30"/>
        <v>0</v>
      </c>
      <c r="B1000" s="89"/>
      <c r="C1000" s="90">
        <f t="shared" si="31"/>
        <v>0</v>
      </c>
      <c r="D1000" s="97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9"/>
    </row>
    <row r="1001" spans="1:18" x14ac:dyDescent="0.35">
      <c r="A1001" s="88">
        <f t="shared" si="30"/>
        <v>0</v>
      </c>
      <c r="B1001" s="89"/>
      <c r="C1001" s="90">
        <f t="shared" si="31"/>
        <v>0</v>
      </c>
      <c r="D1001" s="97"/>
      <c r="E1001" s="98"/>
      <c r="F1001" s="98"/>
      <c r="G1001" s="98"/>
      <c r="H1001" s="98"/>
      <c r="I1001" s="98"/>
      <c r="J1001" s="98"/>
      <c r="K1001" s="98"/>
      <c r="L1001" s="98"/>
      <c r="M1001" s="98"/>
      <c r="N1001" s="98"/>
      <c r="O1001" s="98"/>
      <c r="P1001" s="98"/>
      <c r="Q1001" s="98"/>
      <c r="R1001" s="99"/>
    </row>
    <row r="1002" spans="1:18" x14ac:dyDescent="0.35">
      <c r="A1002" s="88">
        <f t="shared" si="30"/>
        <v>0</v>
      </c>
      <c r="B1002" s="89"/>
      <c r="C1002" s="90">
        <f t="shared" si="31"/>
        <v>0</v>
      </c>
      <c r="D1002" s="97"/>
      <c r="E1002" s="98"/>
      <c r="F1002" s="98"/>
      <c r="G1002" s="98"/>
      <c r="H1002" s="98"/>
      <c r="I1002" s="98"/>
      <c r="J1002" s="98"/>
      <c r="K1002" s="98"/>
      <c r="L1002" s="98"/>
      <c r="M1002" s="98"/>
      <c r="N1002" s="98"/>
      <c r="O1002" s="98"/>
      <c r="P1002" s="98"/>
      <c r="Q1002" s="98"/>
      <c r="R1002" s="99"/>
    </row>
    <row r="1003" spans="1:18" x14ac:dyDescent="0.35">
      <c r="A1003" s="88">
        <f t="shared" si="30"/>
        <v>0</v>
      </c>
      <c r="B1003" s="89"/>
      <c r="C1003" s="90">
        <f t="shared" si="31"/>
        <v>0</v>
      </c>
      <c r="D1003" s="97"/>
      <c r="E1003" s="98"/>
      <c r="F1003" s="98"/>
      <c r="G1003" s="98"/>
      <c r="H1003" s="98"/>
      <c r="I1003" s="98"/>
      <c r="J1003" s="98"/>
      <c r="K1003" s="98"/>
      <c r="L1003" s="98"/>
      <c r="M1003" s="98"/>
      <c r="N1003" s="98"/>
      <c r="O1003" s="98"/>
      <c r="P1003" s="98"/>
      <c r="Q1003" s="98"/>
      <c r="R1003" s="99"/>
    </row>
    <row r="1004" spans="1:18" x14ac:dyDescent="0.35">
      <c r="A1004" s="88">
        <f t="shared" si="30"/>
        <v>0</v>
      </c>
      <c r="B1004" s="89"/>
      <c r="C1004" s="90">
        <f t="shared" si="31"/>
        <v>0</v>
      </c>
      <c r="D1004" s="97"/>
      <c r="E1004" s="98"/>
      <c r="F1004" s="98"/>
      <c r="G1004" s="98"/>
      <c r="H1004" s="98"/>
      <c r="I1004" s="98"/>
      <c r="J1004" s="98"/>
      <c r="K1004" s="98"/>
      <c r="L1004" s="98"/>
      <c r="M1004" s="98"/>
      <c r="N1004" s="98"/>
      <c r="O1004" s="98"/>
      <c r="P1004" s="98"/>
      <c r="Q1004" s="98"/>
      <c r="R1004" s="99"/>
    </row>
    <row r="1005" spans="1:18" x14ac:dyDescent="0.35">
      <c r="A1005" s="88">
        <f t="shared" si="30"/>
        <v>0</v>
      </c>
      <c r="B1005" s="89"/>
      <c r="C1005" s="90">
        <f t="shared" si="31"/>
        <v>0</v>
      </c>
      <c r="D1005" s="97"/>
      <c r="E1005" s="98"/>
      <c r="F1005" s="98"/>
      <c r="G1005" s="98"/>
      <c r="H1005" s="98"/>
      <c r="I1005" s="98"/>
      <c r="J1005" s="98"/>
      <c r="K1005" s="98"/>
      <c r="L1005" s="98"/>
      <c r="M1005" s="98"/>
      <c r="N1005" s="98"/>
      <c r="O1005" s="98"/>
      <c r="P1005" s="98"/>
      <c r="Q1005" s="98"/>
      <c r="R1005" s="99"/>
    </row>
    <row r="1006" spans="1:18" x14ac:dyDescent="0.35">
      <c r="A1006" s="88">
        <f t="shared" si="30"/>
        <v>0</v>
      </c>
      <c r="B1006" s="89"/>
      <c r="C1006" s="90">
        <f t="shared" si="31"/>
        <v>0</v>
      </c>
      <c r="D1006" s="97"/>
      <c r="E1006" s="98"/>
      <c r="F1006" s="98"/>
      <c r="G1006" s="98"/>
      <c r="H1006" s="98"/>
      <c r="I1006" s="98"/>
      <c r="J1006" s="98"/>
      <c r="K1006" s="98"/>
      <c r="L1006" s="98"/>
      <c r="M1006" s="98"/>
      <c r="N1006" s="98"/>
      <c r="O1006" s="98"/>
      <c r="P1006" s="98"/>
      <c r="Q1006" s="98"/>
      <c r="R1006" s="99"/>
    </row>
    <row r="1007" spans="1:18" x14ac:dyDescent="0.35">
      <c r="A1007" s="88">
        <f t="shared" si="30"/>
        <v>0</v>
      </c>
      <c r="B1007" s="89"/>
      <c r="C1007" s="90">
        <f t="shared" si="31"/>
        <v>0</v>
      </c>
      <c r="D1007" s="97"/>
      <c r="E1007" s="98"/>
      <c r="F1007" s="98"/>
      <c r="G1007" s="98"/>
      <c r="H1007" s="98"/>
      <c r="I1007" s="98"/>
      <c r="J1007" s="98"/>
      <c r="K1007" s="98"/>
      <c r="L1007" s="98"/>
      <c r="M1007" s="98"/>
      <c r="N1007" s="98"/>
      <c r="O1007" s="98"/>
      <c r="P1007" s="98"/>
      <c r="Q1007" s="98"/>
      <c r="R1007" s="99"/>
    </row>
    <row r="1008" spans="1:18" x14ac:dyDescent="0.35">
      <c r="A1008" s="88">
        <f t="shared" si="30"/>
        <v>0</v>
      </c>
      <c r="B1008" s="89"/>
      <c r="C1008" s="90">
        <f t="shared" si="31"/>
        <v>0</v>
      </c>
      <c r="D1008" s="97"/>
      <c r="E1008" s="98"/>
      <c r="F1008" s="98"/>
      <c r="G1008" s="98"/>
      <c r="H1008" s="98"/>
      <c r="I1008" s="98"/>
      <c r="J1008" s="98"/>
      <c r="K1008" s="98"/>
      <c r="L1008" s="98"/>
      <c r="M1008" s="98"/>
      <c r="N1008" s="98"/>
      <c r="O1008" s="98"/>
      <c r="P1008" s="98"/>
      <c r="Q1008" s="98"/>
      <c r="R1008" s="99"/>
    </row>
    <row r="1009" spans="1:18" x14ac:dyDescent="0.35">
      <c r="A1009" s="88">
        <f t="shared" si="30"/>
        <v>0</v>
      </c>
      <c r="B1009" s="89"/>
      <c r="C1009" s="90">
        <f t="shared" si="31"/>
        <v>0</v>
      </c>
      <c r="D1009" s="97"/>
      <c r="E1009" s="98"/>
      <c r="F1009" s="98"/>
      <c r="G1009" s="98"/>
      <c r="H1009" s="98"/>
      <c r="I1009" s="98"/>
      <c r="J1009" s="98"/>
      <c r="K1009" s="98"/>
      <c r="L1009" s="98"/>
      <c r="M1009" s="98"/>
      <c r="N1009" s="98"/>
      <c r="O1009" s="98"/>
      <c r="P1009" s="98"/>
      <c r="Q1009" s="98"/>
      <c r="R1009" s="99"/>
    </row>
    <row r="1010" spans="1:18" x14ac:dyDescent="0.35">
      <c r="A1010" s="88">
        <f t="shared" si="30"/>
        <v>0</v>
      </c>
      <c r="B1010" s="89"/>
      <c r="C1010" s="90">
        <f t="shared" si="31"/>
        <v>0</v>
      </c>
      <c r="D1010" s="97"/>
      <c r="E1010" s="98"/>
      <c r="F1010" s="98"/>
      <c r="G1010" s="98"/>
      <c r="H1010" s="98"/>
      <c r="I1010" s="98"/>
      <c r="J1010" s="98"/>
      <c r="K1010" s="98"/>
      <c r="L1010" s="98"/>
      <c r="M1010" s="98"/>
      <c r="N1010" s="98"/>
      <c r="O1010" s="98"/>
      <c r="P1010" s="98"/>
      <c r="Q1010" s="98"/>
      <c r="R1010" s="99"/>
    </row>
    <row r="1011" spans="1:18" x14ac:dyDescent="0.35">
      <c r="A1011" s="88">
        <f t="shared" si="30"/>
        <v>0</v>
      </c>
      <c r="B1011" s="89"/>
      <c r="C1011" s="90">
        <f t="shared" si="31"/>
        <v>0</v>
      </c>
      <c r="D1011" s="97"/>
      <c r="E1011" s="98"/>
      <c r="F1011" s="98"/>
      <c r="G1011" s="98"/>
      <c r="H1011" s="98"/>
      <c r="I1011" s="98"/>
      <c r="J1011" s="98"/>
      <c r="K1011" s="98"/>
      <c r="L1011" s="98"/>
      <c r="M1011" s="98"/>
      <c r="N1011" s="98"/>
      <c r="O1011" s="98"/>
      <c r="P1011" s="98"/>
      <c r="Q1011" s="98"/>
      <c r="R1011" s="99"/>
    </row>
    <row r="1012" spans="1:18" x14ac:dyDescent="0.35">
      <c r="A1012" s="88">
        <f t="shared" si="30"/>
        <v>0</v>
      </c>
      <c r="B1012" s="89"/>
      <c r="C1012" s="90">
        <f t="shared" si="31"/>
        <v>0</v>
      </c>
      <c r="D1012" s="97"/>
      <c r="E1012" s="98"/>
      <c r="F1012" s="98"/>
      <c r="G1012" s="98"/>
      <c r="H1012" s="98"/>
      <c r="I1012" s="98"/>
      <c r="J1012" s="98"/>
      <c r="K1012" s="98"/>
      <c r="L1012" s="98"/>
      <c r="M1012" s="98"/>
      <c r="N1012" s="98"/>
      <c r="O1012" s="98"/>
      <c r="P1012" s="98"/>
      <c r="Q1012" s="98"/>
      <c r="R1012" s="99"/>
    </row>
    <row r="1013" spans="1:18" x14ac:dyDescent="0.35">
      <c r="A1013" s="88">
        <f t="shared" si="30"/>
        <v>0</v>
      </c>
      <c r="B1013" s="89"/>
      <c r="C1013" s="90">
        <f t="shared" si="31"/>
        <v>0</v>
      </c>
      <c r="D1013" s="97"/>
      <c r="E1013" s="98"/>
      <c r="F1013" s="98"/>
      <c r="G1013" s="98"/>
      <c r="H1013" s="98"/>
      <c r="I1013" s="98"/>
      <c r="J1013" s="98"/>
      <c r="K1013" s="98"/>
      <c r="L1013" s="98"/>
      <c r="M1013" s="98"/>
      <c r="N1013" s="98"/>
      <c r="O1013" s="98"/>
      <c r="P1013" s="98"/>
      <c r="Q1013" s="98"/>
      <c r="R1013" s="99"/>
    </row>
    <row r="1014" spans="1:18" x14ac:dyDescent="0.35">
      <c r="A1014" s="88">
        <f t="shared" si="30"/>
        <v>0</v>
      </c>
      <c r="B1014" s="89"/>
      <c r="C1014" s="90">
        <f t="shared" si="31"/>
        <v>0</v>
      </c>
      <c r="D1014" s="97"/>
      <c r="E1014" s="98"/>
      <c r="F1014" s="98"/>
      <c r="G1014" s="98"/>
      <c r="H1014" s="98"/>
      <c r="I1014" s="98"/>
      <c r="J1014" s="98"/>
      <c r="K1014" s="98"/>
      <c r="L1014" s="98"/>
      <c r="M1014" s="98"/>
      <c r="N1014" s="98"/>
      <c r="O1014" s="98"/>
      <c r="P1014" s="98"/>
      <c r="Q1014" s="98"/>
      <c r="R1014" s="99"/>
    </row>
    <row r="1015" spans="1:18" x14ac:dyDescent="0.35">
      <c r="A1015" s="88">
        <f t="shared" si="30"/>
        <v>0</v>
      </c>
      <c r="B1015" s="89"/>
      <c r="C1015" s="90">
        <f t="shared" si="31"/>
        <v>0</v>
      </c>
      <c r="D1015" s="97"/>
      <c r="E1015" s="98"/>
      <c r="F1015" s="98"/>
      <c r="G1015" s="98"/>
      <c r="H1015" s="98"/>
      <c r="I1015" s="98"/>
      <c r="J1015" s="98"/>
      <c r="K1015" s="98"/>
      <c r="L1015" s="98"/>
      <c r="M1015" s="98"/>
      <c r="N1015" s="98"/>
      <c r="O1015" s="98"/>
      <c r="P1015" s="98"/>
      <c r="Q1015" s="98"/>
      <c r="R1015" s="99"/>
    </row>
    <row r="1016" spans="1:18" x14ac:dyDescent="0.35">
      <c r="A1016" s="88">
        <f t="shared" si="30"/>
        <v>0</v>
      </c>
      <c r="B1016" s="89"/>
      <c r="C1016" s="90">
        <f t="shared" si="31"/>
        <v>0</v>
      </c>
      <c r="D1016" s="97"/>
      <c r="E1016" s="98"/>
      <c r="F1016" s="98"/>
      <c r="G1016" s="98"/>
      <c r="H1016" s="98"/>
      <c r="I1016" s="98"/>
      <c r="J1016" s="98"/>
      <c r="K1016" s="98"/>
      <c r="L1016" s="98"/>
      <c r="M1016" s="98"/>
      <c r="N1016" s="98"/>
      <c r="O1016" s="98"/>
      <c r="P1016" s="98"/>
      <c r="Q1016" s="98"/>
      <c r="R1016" s="99"/>
    </row>
    <row r="1017" spans="1:18" x14ac:dyDescent="0.35">
      <c r="A1017" s="88">
        <f t="shared" si="30"/>
        <v>0</v>
      </c>
      <c r="B1017" s="89"/>
      <c r="C1017" s="90">
        <f t="shared" si="31"/>
        <v>0</v>
      </c>
      <c r="D1017" s="97"/>
      <c r="E1017" s="98"/>
      <c r="F1017" s="98"/>
      <c r="G1017" s="98"/>
      <c r="H1017" s="98"/>
      <c r="I1017" s="98"/>
      <c r="J1017" s="98"/>
      <c r="K1017" s="98"/>
      <c r="L1017" s="98"/>
      <c r="M1017" s="98"/>
      <c r="N1017" s="98"/>
      <c r="O1017" s="98"/>
      <c r="P1017" s="98"/>
      <c r="Q1017" s="98"/>
      <c r="R1017" s="99"/>
    </row>
    <row r="1018" spans="1:18" x14ac:dyDescent="0.35">
      <c r="A1018" s="88">
        <f t="shared" si="30"/>
        <v>0</v>
      </c>
      <c r="B1018" s="89"/>
      <c r="C1018" s="90">
        <f t="shared" si="31"/>
        <v>0</v>
      </c>
      <c r="D1018" s="97"/>
      <c r="E1018" s="98"/>
      <c r="F1018" s="98"/>
      <c r="G1018" s="98"/>
      <c r="H1018" s="98"/>
      <c r="I1018" s="98"/>
      <c r="J1018" s="98"/>
      <c r="K1018" s="98"/>
      <c r="L1018" s="98"/>
      <c r="M1018" s="98"/>
      <c r="N1018" s="98"/>
      <c r="O1018" s="98"/>
      <c r="P1018" s="98"/>
      <c r="Q1018" s="98"/>
      <c r="R1018" s="99"/>
    </row>
    <row r="1019" spans="1:18" x14ac:dyDescent="0.35">
      <c r="A1019" s="88">
        <f t="shared" si="30"/>
        <v>0</v>
      </c>
      <c r="B1019" s="89"/>
      <c r="C1019" s="90">
        <f t="shared" si="31"/>
        <v>0</v>
      </c>
      <c r="D1019" s="97"/>
      <c r="E1019" s="98"/>
      <c r="F1019" s="98"/>
      <c r="G1019" s="98"/>
      <c r="H1019" s="98"/>
      <c r="I1019" s="98"/>
      <c r="J1019" s="98"/>
      <c r="K1019" s="98"/>
      <c r="L1019" s="98"/>
      <c r="M1019" s="98"/>
      <c r="N1019" s="98"/>
      <c r="O1019" s="98"/>
      <c r="P1019" s="98"/>
      <c r="Q1019" s="98"/>
      <c r="R1019" s="99"/>
    </row>
    <row r="1020" spans="1:18" x14ac:dyDescent="0.35">
      <c r="A1020" s="88">
        <f t="shared" si="30"/>
        <v>0</v>
      </c>
      <c r="B1020" s="89"/>
      <c r="C1020" s="90">
        <f t="shared" si="31"/>
        <v>0</v>
      </c>
      <c r="D1020" s="97"/>
      <c r="E1020" s="98"/>
      <c r="F1020" s="98"/>
      <c r="G1020" s="98"/>
      <c r="H1020" s="98"/>
      <c r="I1020" s="98"/>
      <c r="J1020" s="98"/>
      <c r="K1020" s="98"/>
      <c r="L1020" s="98"/>
      <c r="M1020" s="98"/>
      <c r="N1020" s="98"/>
      <c r="O1020" s="98"/>
      <c r="P1020" s="98"/>
      <c r="Q1020" s="98"/>
      <c r="R1020" s="99"/>
    </row>
    <row r="1021" spans="1:18" x14ac:dyDescent="0.35">
      <c r="A1021" s="88">
        <f t="shared" si="30"/>
        <v>0</v>
      </c>
      <c r="B1021" s="89"/>
      <c r="C1021" s="90">
        <f t="shared" si="31"/>
        <v>0</v>
      </c>
      <c r="D1021" s="97"/>
      <c r="E1021" s="98"/>
      <c r="F1021" s="98"/>
      <c r="G1021" s="98"/>
      <c r="H1021" s="98"/>
      <c r="I1021" s="98"/>
      <c r="J1021" s="98"/>
      <c r="K1021" s="98"/>
      <c r="L1021" s="98"/>
      <c r="M1021" s="98"/>
      <c r="N1021" s="98"/>
      <c r="O1021" s="98"/>
      <c r="P1021" s="98"/>
      <c r="Q1021" s="98"/>
      <c r="R1021" s="99"/>
    </row>
    <row r="1022" spans="1:18" x14ac:dyDescent="0.35">
      <c r="A1022" s="88">
        <f t="shared" si="30"/>
        <v>0</v>
      </c>
      <c r="B1022" s="89"/>
      <c r="C1022" s="90">
        <f t="shared" si="31"/>
        <v>0</v>
      </c>
      <c r="D1022" s="97"/>
      <c r="E1022" s="98"/>
      <c r="F1022" s="98"/>
      <c r="G1022" s="98"/>
      <c r="H1022" s="98"/>
      <c r="I1022" s="98"/>
      <c r="J1022" s="98"/>
      <c r="K1022" s="98"/>
      <c r="L1022" s="98"/>
      <c r="M1022" s="98"/>
      <c r="N1022" s="98"/>
      <c r="O1022" s="98"/>
      <c r="P1022" s="98"/>
      <c r="Q1022" s="98"/>
      <c r="R1022" s="99"/>
    </row>
    <row r="1023" spans="1:18" x14ac:dyDescent="0.35">
      <c r="A1023" s="88">
        <f t="shared" si="30"/>
        <v>0</v>
      </c>
      <c r="B1023" s="89"/>
      <c r="C1023" s="90">
        <f t="shared" si="31"/>
        <v>0</v>
      </c>
      <c r="D1023" s="97"/>
      <c r="E1023" s="98"/>
      <c r="F1023" s="98"/>
      <c r="G1023" s="98"/>
      <c r="H1023" s="98"/>
      <c r="I1023" s="98"/>
      <c r="J1023" s="98"/>
      <c r="K1023" s="98"/>
      <c r="L1023" s="98"/>
      <c r="M1023" s="98"/>
      <c r="N1023" s="98"/>
      <c r="O1023" s="98"/>
      <c r="P1023" s="98"/>
      <c r="Q1023" s="98"/>
      <c r="R1023" s="99"/>
    </row>
    <row r="1024" spans="1:18" x14ac:dyDescent="0.35">
      <c r="A1024" s="88">
        <f t="shared" si="30"/>
        <v>0</v>
      </c>
      <c r="B1024" s="89"/>
      <c r="C1024" s="90">
        <f t="shared" si="31"/>
        <v>0</v>
      </c>
      <c r="D1024" s="97"/>
      <c r="E1024" s="98"/>
      <c r="F1024" s="98"/>
      <c r="G1024" s="98"/>
      <c r="H1024" s="98"/>
      <c r="I1024" s="98"/>
      <c r="J1024" s="98"/>
      <c r="K1024" s="98"/>
      <c r="L1024" s="98"/>
      <c r="M1024" s="98"/>
      <c r="N1024" s="98"/>
      <c r="O1024" s="98"/>
      <c r="P1024" s="98"/>
      <c r="Q1024" s="98"/>
      <c r="R1024" s="99"/>
    </row>
    <row r="1025" spans="1:18" x14ac:dyDescent="0.35">
      <c r="A1025" s="88">
        <f t="shared" si="30"/>
        <v>0</v>
      </c>
      <c r="B1025" s="89"/>
      <c r="C1025" s="90">
        <f t="shared" si="31"/>
        <v>0</v>
      </c>
      <c r="D1025" s="97"/>
      <c r="E1025" s="98"/>
      <c r="F1025" s="98"/>
      <c r="G1025" s="98"/>
      <c r="H1025" s="98"/>
      <c r="I1025" s="98"/>
      <c r="J1025" s="98"/>
      <c r="K1025" s="98"/>
      <c r="L1025" s="98"/>
      <c r="M1025" s="98"/>
      <c r="N1025" s="98"/>
      <c r="O1025" s="98"/>
      <c r="P1025" s="98"/>
      <c r="Q1025" s="98"/>
      <c r="R1025" s="99"/>
    </row>
    <row r="1026" spans="1:18" x14ac:dyDescent="0.35">
      <c r="A1026" s="88">
        <f t="shared" si="30"/>
        <v>0</v>
      </c>
      <c r="B1026" s="89"/>
      <c r="C1026" s="90">
        <f t="shared" si="31"/>
        <v>0</v>
      </c>
      <c r="D1026" s="97"/>
      <c r="E1026" s="98"/>
      <c r="F1026" s="98"/>
      <c r="G1026" s="98"/>
      <c r="H1026" s="98"/>
      <c r="I1026" s="98"/>
      <c r="J1026" s="98"/>
      <c r="K1026" s="98"/>
      <c r="L1026" s="98"/>
      <c r="M1026" s="98"/>
      <c r="N1026" s="98"/>
      <c r="O1026" s="98"/>
      <c r="P1026" s="98"/>
      <c r="Q1026" s="98"/>
      <c r="R1026" s="99"/>
    </row>
    <row r="1027" spans="1:18" x14ac:dyDescent="0.35">
      <c r="A1027" s="88">
        <f t="shared" si="30"/>
        <v>0</v>
      </c>
      <c r="B1027" s="89"/>
      <c r="C1027" s="90">
        <f t="shared" si="31"/>
        <v>0</v>
      </c>
      <c r="D1027" s="97"/>
      <c r="E1027" s="98"/>
      <c r="F1027" s="98"/>
      <c r="G1027" s="98"/>
      <c r="H1027" s="98"/>
      <c r="I1027" s="98"/>
      <c r="J1027" s="98"/>
      <c r="K1027" s="98"/>
      <c r="L1027" s="98"/>
      <c r="M1027" s="98"/>
      <c r="N1027" s="98"/>
      <c r="O1027" s="98"/>
      <c r="P1027" s="98"/>
      <c r="Q1027" s="98"/>
      <c r="R1027" s="99"/>
    </row>
    <row r="1028" spans="1:18" x14ac:dyDescent="0.35">
      <c r="A1028" s="88">
        <f t="shared" ref="A1028:A1091" si="32">F1028</f>
        <v>0</v>
      </c>
      <c r="B1028" s="89"/>
      <c r="C1028" s="90">
        <f t="shared" ref="C1028:C1091" si="33">F1028</f>
        <v>0</v>
      </c>
      <c r="D1028" s="97"/>
      <c r="E1028" s="98"/>
      <c r="F1028" s="98"/>
      <c r="G1028" s="98"/>
      <c r="H1028" s="98"/>
      <c r="I1028" s="98"/>
      <c r="J1028" s="98"/>
      <c r="K1028" s="98"/>
      <c r="L1028" s="98"/>
      <c r="M1028" s="98"/>
      <c r="N1028" s="98"/>
      <c r="O1028" s="98"/>
      <c r="P1028" s="98"/>
      <c r="Q1028" s="98"/>
      <c r="R1028" s="99"/>
    </row>
    <row r="1029" spans="1:18" x14ac:dyDescent="0.35">
      <c r="A1029" s="88">
        <f t="shared" si="32"/>
        <v>0</v>
      </c>
      <c r="B1029" s="89"/>
      <c r="C1029" s="90">
        <f t="shared" si="33"/>
        <v>0</v>
      </c>
      <c r="D1029" s="97"/>
      <c r="E1029" s="98"/>
      <c r="F1029" s="98"/>
      <c r="G1029" s="98"/>
      <c r="H1029" s="98"/>
      <c r="I1029" s="98"/>
      <c r="J1029" s="98"/>
      <c r="K1029" s="98"/>
      <c r="L1029" s="98"/>
      <c r="M1029" s="98"/>
      <c r="N1029" s="98"/>
      <c r="O1029" s="98"/>
      <c r="P1029" s="98"/>
      <c r="Q1029" s="98"/>
      <c r="R1029" s="99"/>
    </row>
    <row r="1030" spans="1:18" x14ac:dyDescent="0.35">
      <c r="A1030" s="88">
        <f t="shared" si="32"/>
        <v>0</v>
      </c>
      <c r="B1030" s="89"/>
      <c r="C1030" s="90">
        <f t="shared" si="33"/>
        <v>0</v>
      </c>
      <c r="D1030" s="97"/>
      <c r="E1030" s="98"/>
      <c r="F1030" s="98"/>
      <c r="G1030" s="98"/>
      <c r="H1030" s="98"/>
      <c r="I1030" s="98"/>
      <c r="J1030" s="98"/>
      <c r="K1030" s="98"/>
      <c r="L1030" s="98"/>
      <c r="M1030" s="98"/>
      <c r="N1030" s="98"/>
      <c r="O1030" s="98"/>
      <c r="P1030" s="98"/>
      <c r="Q1030" s="98"/>
      <c r="R1030" s="99"/>
    </row>
    <row r="1031" spans="1:18" x14ac:dyDescent="0.35">
      <c r="A1031" s="88">
        <f t="shared" si="32"/>
        <v>0</v>
      </c>
      <c r="B1031" s="89"/>
      <c r="C1031" s="90">
        <f t="shared" si="33"/>
        <v>0</v>
      </c>
      <c r="D1031" s="97"/>
      <c r="E1031" s="98"/>
      <c r="F1031" s="98"/>
      <c r="G1031" s="98"/>
      <c r="H1031" s="98"/>
      <c r="I1031" s="98"/>
      <c r="J1031" s="98"/>
      <c r="K1031" s="98"/>
      <c r="L1031" s="98"/>
      <c r="M1031" s="98"/>
      <c r="N1031" s="98"/>
      <c r="O1031" s="98"/>
      <c r="P1031" s="98"/>
      <c r="Q1031" s="98"/>
      <c r="R1031" s="99"/>
    </row>
    <row r="1032" spans="1:18" x14ac:dyDescent="0.35">
      <c r="A1032" s="88">
        <f t="shared" si="32"/>
        <v>0</v>
      </c>
      <c r="B1032" s="89"/>
      <c r="C1032" s="90">
        <f t="shared" si="33"/>
        <v>0</v>
      </c>
      <c r="D1032" s="97"/>
      <c r="E1032" s="98"/>
      <c r="F1032" s="98"/>
      <c r="G1032" s="98"/>
      <c r="H1032" s="98"/>
      <c r="I1032" s="98"/>
      <c r="J1032" s="98"/>
      <c r="K1032" s="98"/>
      <c r="L1032" s="98"/>
      <c r="M1032" s="98"/>
      <c r="N1032" s="98"/>
      <c r="O1032" s="98"/>
      <c r="P1032" s="98"/>
      <c r="Q1032" s="98"/>
      <c r="R1032" s="99"/>
    </row>
    <row r="1033" spans="1:18" x14ac:dyDescent="0.35">
      <c r="A1033" s="88">
        <f t="shared" si="32"/>
        <v>0</v>
      </c>
      <c r="B1033" s="89"/>
      <c r="C1033" s="90">
        <f t="shared" si="33"/>
        <v>0</v>
      </c>
      <c r="D1033" s="97"/>
      <c r="E1033" s="98"/>
      <c r="F1033" s="98"/>
      <c r="G1033" s="98"/>
      <c r="H1033" s="98"/>
      <c r="I1033" s="98"/>
      <c r="J1033" s="98"/>
      <c r="K1033" s="98"/>
      <c r="L1033" s="98"/>
      <c r="M1033" s="98"/>
      <c r="N1033" s="98"/>
      <c r="O1033" s="98"/>
      <c r="P1033" s="98"/>
      <c r="Q1033" s="98"/>
      <c r="R1033" s="99"/>
    </row>
    <row r="1034" spans="1:18" x14ac:dyDescent="0.35">
      <c r="A1034" s="88">
        <f t="shared" si="32"/>
        <v>0</v>
      </c>
      <c r="B1034" s="89"/>
      <c r="C1034" s="90">
        <f t="shared" si="33"/>
        <v>0</v>
      </c>
      <c r="D1034" s="97"/>
      <c r="E1034" s="98"/>
      <c r="F1034" s="98"/>
      <c r="G1034" s="98"/>
      <c r="H1034" s="98"/>
      <c r="I1034" s="98"/>
      <c r="J1034" s="98"/>
      <c r="K1034" s="98"/>
      <c r="L1034" s="98"/>
      <c r="M1034" s="98"/>
      <c r="N1034" s="98"/>
      <c r="O1034" s="98"/>
      <c r="P1034" s="98"/>
      <c r="Q1034" s="98"/>
      <c r="R1034" s="99"/>
    </row>
    <row r="1035" spans="1:18" x14ac:dyDescent="0.35">
      <c r="A1035" s="88">
        <f t="shared" si="32"/>
        <v>0</v>
      </c>
      <c r="B1035" s="89"/>
      <c r="C1035" s="90">
        <f t="shared" si="33"/>
        <v>0</v>
      </c>
      <c r="D1035" s="97"/>
      <c r="E1035" s="98"/>
      <c r="F1035" s="98"/>
      <c r="G1035" s="98"/>
      <c r="H1035" s="98"/>
      <c r="I1035" s="98"/>
      <c r="J1035" s="98"/>
      <c r="K1035" s="98"/>
      <c r="L1035" s="98"/>
      <c r="M1035" s="98"/>
      <c r="N1035" s="98"/>
      <c r="O1035" s="98"/>
      <c r="P1035" s="98"/>
      <c r="Q1035" s="98"/>
      <c r="R1035" s="99"/>
    </row>
    <row r="1036" spans="1:18" x14ac:dyDescent="0.35">
      <c r="A1036" s="88">
        <f t="shared" si="32"/>
        <v>0</v>
      </c>
      <c r="B1036" s="89"/>
      <c r="C1036" s="90">
        <f t="shared" si="33"/>
        <v>0</v>
      </c>
      <c r="D1036" s="97"/>
      <c r="E1036" s="98"/>
      <c r="F1036" s="98"/>
      <c r="G1036" s="98"/>
      <c r="H1036" s="98"/>
      <c r="I1036" s="98"/>
      <c r="J1036" s="98"/>
      <c r="K1036" s="98"/>
      <c r="L1036" s="98"/>
      <c r="M1036" s="98"/>
      <c r="N1036" s="98"/>
      <c r="O1036" s="98"/>
      <c r="P1036" s="98"/>
      <c r="Q1036" s="98"/>
      <c r="R1036" s="99"/>
    </row>
    <row r="1037" spans="1:18" x14ac:dyDescent="0.35">
      <c r="A1037" s="88">
        <f t="shared" si="32"/>
        <v>0</v>
      </c>
      <c r="B1037" s="89"/>
      <c r="C1037" s="90">
        <f t="shared" si="33"/>
        <v>0</v>
      </c>
      <c r="D1037" s="97"/>
      <c r="E1037" s="98"/>
      <c r="F1037" s="98"/>
      <c r="G1037" s="98"/>
      <c r="H1037" s="98"/>
      <c r="I1037" s="98"/>
      <c r="J1037" s="98"/>
      <c r="K1037" s="98"/>
      <c r="L1037" s="98"/>
      <c r="M1037" s="98"/>
      <c r="N1037" s="98"/>
      <c r="O1037" s="98"/>
      <c r="P1037" s="98"/>
      <c r="Q1037" s="98"/>
      <c r="R1037" s="99"/>
    </row>
    <row r="1038" spans="1:18" x14ac:dyDescent="0.35">
      <c r="A1038" s="88">
        <f t="shared" si="32"/>
        <v>0</v>
      </c>
      <c r="B1038" s="89"/>
      <c r="C1038" s="90">
        <f t="shared" si="33"/>
        <v>0</v>
      </c>
      <c r="D1038" s="97"/>
      <c r="E1038" s="98"/>
      <c r="F1038" s="98"/>
      <c r="G1038" s="98"/>
      <c r="H1038" s="98"/>
      <c r="I1038" s="98"/>
      <c r="J1038" s="98"/>
      <c r="K1038" s="98"/>
      <c r="L1038" s="98"/>
      <c r="M1038" s="98"/>
      <c r="N1038" s="98"/>
      <c r="O1038" s="98"/>
      <c r="P1038" s="98"/>
      <c r="Q1038" s="98"/>
      <c r="R1038" s="99"/>
    </row>
    <row r="1039" spans="1:18" x14ac:dyDescent="0.35">
      <c r="A1039" s="88">
        <f t="shared" si="32"/>
        <v>0</v>
      </c>
      <c r="B1039" s="89"/>
      <c r="C1039" s="90">
        <f t="shared" si="33"/>
        <v>0</v>
      </c>
      <c r="D1039" s="97"/>
      <c r="E1039" s="98"/>
      <c r="F1039" s="98"/>
      <c r="G1039" s="98"/>
      <c r="H1039" s="98"/>
      <c r="I1039" s="98"/>
      <c r="J1039" s="98"/>
      <c r="K1039" s="98"/>
      <c r="L1039" s="98"/>
      <c r="M1039" s="98"/>
      <c r="N1039" s="98"/>
      <c r="O1039" s="98"/>
      <c r="P1039" s="98"/>
      <c r="Q1039" s="98"/>
      <c r="R1039" s="99"/>
    </row>
    <row r="1040" spans="1:18" x14ac:dyDescent="0.35">
      <c r="A1040" s="88">
        <f t="shared" si="32"/>
        <v>0</v>
      </c>
      <c r="B1040" s="89"/>
      <c r="C1040" s="90">
        <f t="shared" si="33"/>
        <v>0</v>
      </c>
      <c r="D1040" s="97"/>
      <c r="E1040" s="98"/>
      <c r="F1040" s="98"/>
      <c r="G1040" s="98"/>
      <c r="H1040" s="98"/>
      <c r="I1040" s="98"/>
      <c r="J1040" s="98"/>
      <c r="K1040" s="98"/>
      <c r="L1040" s="98"/>
      <c r="M1040" s="98"/>
      <c r="N1040" s="98"/>
      <c r="O1040" s="98"/>
      <c r="P1040" s="98"/>
      <c r="Q1040" s="98"/>
      <c r="R1040" s="99"/>
    </row>
    <row r="1041" spans="1:18" x14ac:dyDescent="0.35">
      <c r="A1041" s="88">
        <f t="shared" si="32"/>
        <v>0</v>
      </c>
      <c r="B1041" s="89"/>
      <c r="C1041" s="90">
        <f t="shared" si="33"/>
        <v>0</v>
      </c>
      <c r="D1041" s="97"/>
      <c r="E1041" s="98"/>
      <c r="F1041" s="98"/>
      <c r="G1041" s="98"/>
      <c r="H1041" s="98"/>
      <c r="I1041" s="98"/>
      <c r="J1041" s="98"/>
      <c r="K1041" s="98"/>
      <c r="L1041" s="98"/>
      <c r="M1041" s="98"/>
      <c r="N1041" s="98"/>
      <c r="O1041" s="98"/>
      <c r="P1041" s="98"/>
      <c r="Q1041" s="98"/>
      <c r="R1041" s="99"/>
    </row>
    <row r="1042" spans="1:18" x14ac:dyDescent="0.35">
      <c r="A1042" s="88">
        <f t="shared" si="32"/>
        <v>0</v>
      </c>
      <c r="B1042" s="89"/>
      <c r="C1042" s="90">
        <f t="shared" si="33"/>
        <v>0</v>
      </c>
      <c r="D1042" s="97"/>
      <c r="E1042" s="98"/>
      <c r="F1042" s="98"/>
      <c r="G1042" s="98"/>
      <c r="H1042" s="98"/>
      <c r="I1042" s="98"/>
      <c r="J1042" s="98"/>
      <c r="K1042" s="98"/>
      <c r="L1042" s="98"/>
      <c r="M1042" s="98"/>
      <c r="N1042" s="98"/>
      <c r="O1042" s="98"/>
      <c r="P1042" s="98"/>
      <c r="Q1042" s="98"/>
      <c r="R1042" s="99"/>
    </row>
    <row r="1043" spans="1:18" x14ac:dyDescent="0.35">
      <c r="A1043" s="88">
        <f t="shared" si="32"/>
        <v>0</v>
      </c>
      <c r="B1043" s="89"/>
      <c r="C1043" s="90">
        <f t="shared" si="33"/>
        <v>0</v>
      </c>
      <c r="D1043" s="97"/>
      <c r="E1043" s="98"/>
      <c r="F1043" s="98"/>
      <c r="G1043" s="98"/>
      <c r="H1043" s="98"/>
      <c r="I1043" s="98"/>
      <c r="J1043" s="98"/>
      <c r="K1043" s="98"/>
      <c r="L1043" s="98"/>
      <c r="M1043" s="98"/>
      <c r="N1043" s="98"/>
      <c r="O1043" s="98"/>
      <c r="P1043" s="98"/>
      <c r="Q1043" s="98"/>
      <c r="R1043" s="99"/>
    </row>
    <row r="1044" spans="1:18" x14ac:dyDescent="0.35">
      <c r="A1044" s="88">
        <f t="shared" si="32"/>
        <v>0</v>
      </c>
      <c r="B1044" s="89"/>
      <c r="C1044" s="90">
        <f t="shared" si="33"/>
        <v>0</v>
      </c>
      <c r="D1044" s="97"/>
      <c r="E1044" s="98"/>
      <c r="F1044" s="98"/>
      <c r="G1044" s="98"/>
      <c r="H1044" s="98"/>
      <c r="I1044" s="98"/>
      <c r="J1044" s="98"/>
      <c r="K1044" s="98"/>
      <c r="L1044" s="98"/>
      <c r="M1044" s="98"/>
      <c r="N1044" s="98"/>
      <c r="O1044" s="98"/>
      <c r="P1044" s="98"/>
      <c r="Q1044" s="98"/>
      <c r="R1044" s="99"/>
    </row>
    <row r="1045" spans="1:18" x14ac:dyDescent="0.35">
      <c r="A1045" s="88">
        <f t="shared" si="32"/>
        <v>0</v>
      </c>
      <c r="B1045" s="89"/>
      <c r="C1045" s="90">
        <f t="shared" si="33"/>
        <v>0</v>
      </c>
      <c r="D1045" s="97"/>
      <c r="E1045" s="98"/>
      <c r="F1045" s="98"/>
      <c r="G1045" s="98"/>
      <c r="H1045" s="98"/>
      <c r="I1045" s="98"/>
      <c r="J1045" s="98"/>
      <c r="K1045" s="98"/>
      <c r="L1045" s="98"/>
      <c r="M1045" s="98"/>
      <c r="N1045" s="98"/>
      <c r="O1045" s="98"/>
      <c r="P1045" s="98"/>
      <c r="Q1045" s="98"/>
      <c r="R1045" s="99"/>
    </row>
    <row r="1046" spans="1:18" x14ac:dyDescent="0.35">
      <c r="A1046" s="88">
        <f t="shared" si="32"/>
        <v>0</v>
      </c>
      <c r="B1046" s="89"/>
      <c r="C1046" s="90">
        <f t="shared" si="33"/>
        <v>0</v>
      </c>
      <c r="D1046" s="97"/>
      <c r="E1046" s="98"/>
      <c r="F1046" s="98"/>
      <c r="G1046" s="98"/>
      <c r="H1046" s="98"/>
      <c r="I1046" s="98"/>
      <c r="J1046" s="98"/>
      <c r="K1046" s="98"/>
      <c r="L1046" s="98"/>
      <c r="M1046" s="98"/>
      <c r="N1046" s="98"/>
      <c r="O1046" s="98"/>
      <c r="P1046" s="98"/>
      <c r="Q1046" s="98"/>
      <c r="R1046" s="99"/>
    </row>
    <row r="1047" spans="1:18" x14ac:dyDescent="0.35">
      <c r="A1047" s="88">
        <f t="shared" si="32"/>
        <v>0</v>
      </c>
      <c r="B1047" s="89"/>
      <c r="C1047" s="90">
        <f t="shared" si="33"/>
        <v>0</v>
      </c>
      <c r="D1047" s="97"/>
      <c r="E1047" s="98"/>
      <c r="F1047" s="98"/>
      <c r="G1047" s="98"/>
      <c r="H1047" s="98"/>
      <c r="I1047" s="98"/>
      <c r="J1047" s="98"/>
      <c r="K1047" s="98"/>
      <c r="L1047" s="98"/>
      <c r="M1047" s="98"/>
      <c r="N1047" s="98"/>
      <c r="O1047" s="98"/>
      <c r="P1047" s="98"/>
      <c r="Q1047" s="98"/>
      <c r="R1047" s="99"/>
    </row>
    <row r="1048" spans="1:18" x14ac:dyDescent="0.35">
      <c r="A1048" s="88">
        <f t="shared" si="32"/>
        <v>0</v>
      </c>
      <c r="B1048" s="89"/>
      <c r="C1048" s="90">
        <f t="shared" si="33"/>
        <v>0</v>
      </c>
      <c r="D1048" s="97"/>
      <c r="E1048" s="98"/>
      <c r="F1048" s="98"/>
      <c r="G1048" s="98"/>
      <c r="H1048" s="98"/>
      <c r="I1048" s="98"/>
      <c r="J1048" s="98"/>
      <c r="K1048" s="98"/>
      <c r="L1048" s="98"/>
      <c r="M1048" s="98"/>
      <c r="N1048" s="98"/>
      <c r="O1048" s="98"/>
      <c r="P1048" s="98"/>
      <c r="Q1048" s="98"/>
      <c r="R1048" s="99"/>
    </row>
    <row r="1049" spans="1:18" x14ac:dyDescent="0.35">
      <c r="A1049" s="88">
        <f t="shared" si="32"/>
        <v>0</v>
      </c>
      <c r="B1049" s="89"/>
      <c r="C1049" s="90">
        <f t="shared" si="33"/>
        <v>0</v>
      </c>
      <c r="D1049" s="97"/>
      <c r="E1049" s="98"/>
      <c r="F1049" s="98"/>
      <c r="G1049" s="98"/>
      <c r="H1049" s="98"/>
      <c r="I1049" s="98"/>
      <c r="J1049" s="98"/>
      <c r="K1049" s="98"/>
      <c r="L1049" s="98"/>
      <c r="M1049" s="98"/>
      <c r="N1049" s="98"/>
      <c r="O1049" s="98"/>
      <c r="P1049" s="98"/>
      <c r="Q1049" s="98"/>
      <c r="R1049" s="99"/>
    </row>
    <row r="1050" spans="1:18" x14ac:dyDescent="0.35">
      <c r="A1050" s="88">
        <f t="shared" si="32"/>
        <v>0</v>
      </c>
      <c r="B1050" s="89"/>
      <c r="C1050" s="90">
        <f t="shared" si="33"/>
        <v>0</v>
      </c>
      <c r="D1050" s="97"/>
      <c r="E1050" s="98"/>
      <c r="F1050" s="98"/>
      <c r="G1050" s="98"/>
      <c r="H1050" s="98"/>
      <c r="I1050" s="98"/>
      <c r="J1050" s="98"/>
      <c r="K1050" s="98"/>
      <c r="L1050" s="98"/>
      <c r="M1050" s="98"/>
      <c r="N1050" s="98"/>
      <c r="O1050" s="98"/>
      <c r="P1050" s="98"/>
      <c r="Q1050" s="98"/>
      <c r="R1050" s="99"/>
    </row>
    <row r="1051" spans="1:18" x14ac:dyDescent="0.35">
      <c r="A1051" s="88">
        <f t="shared" si="32"/>
        <v>0</v>
      </c>
      <c r="B1051" s="89"/>
      <c r="C1051" s="90">
        <f t="shared" si="33"/>
        <v>0</v>
      </c>
      <c r="D1051" s="97"/>
      <c r="E1051" s="98"/>
      <c r="F1051" s="98"/>
      <c r="G1051" s="98"/>
      <c r="H1051" s="98"/>
      <c r="I1051" s="98"/>
      <c r="J1051" s="98"/>
      <c r="K1051" s="98"/>
      <c r="L1051" s="98"/>
      <c r="M1051" s="98"/>
      <c r="N1051" s="98"/>
      <c r="O1051" s="98"/>
      <c r="P1051" s="98"/>
      <c r="Q1051" s="98"/>
      <c r="R1051" s="99"/>
    </row>
    <row r="1052" spans="1:18" x14ac:dyDescent="0.35">
      <c r="A1052" s="88">
        <f t="shared" si="32"/>
        <v>0</v>
      </c>
      <c r="B1052" s="89"/>
      <c r="C1052" s="90">
        <f t="shared" si="33"/>
        <v>0</v>
      </c>
      <c r="D1052" s="97"/>
      <c r="E1052" s="98"/>
      <c r="F1052" s="98"/>
      <c r="G1052" s="98"/>
      <c r="H1052" s="98"/>
      <c r="I1052" s="98"/>
      <c r="J1052" s="98"/>
      <c r="K1052" s="98"/>
      <c r="L1052" s="98"/>
      <c r="M1052" s="98"/>
      <c r="N1052" s="98"/>
      <c r="O1052" s="98"/>
      <c r="P1052" s="98"/>
      <c r="Q1052" s="98"/>
      <c r="R1052" s="99"/>
    </row>
    <row r="1053" spans="1:18" x14ac:dyDescent="0.35">
      <c r="A1053" s="88">
        <f t="shared" si="32"/>
        <v>0</v>
      </c>
      <c r="B1053" s="89"/>
      <c r="C1053" s="90">
        <f t="shared" si="33"/>
        <v>0</v>
      </c>
      <c r="D1053" s="97"/>
      <c r="E1053" s="98"/>
      <c r="F1053" s="98"/>
      <c r="G1053" s="98"/>
      <c r="H1053" s="98"/>
      <c r="I1053" s="98"/>
      <c r="J1053" s="98"/>
      <c r="K1053" s="98"/>
      <c r="L1053" s="98"/>
      <c r="M1053" s="98"/>
      <c r="N1053" s="98"/>
      <c r="O1053" s="98"/>
      <c r="P1053" s="98"/>
      <c r="Q1053" s="98"/>
      <c r="R1053" s="99"/>
    </row>
    <row r="1054" spans="1:18" x14ac:dyDescent="0.35">
      <c r="A1054" s="88">
        <f t="shared" si="32"/>
        <v>0</v>
      </c>
      <c r="B1054" s="89"/>
      <c r="C1054" s="90">
        <f t="shared" si="33"/>
        <v>0</v>
      </c>
      <c r="D1054" s="97"/>
      <c r="E1054" s="98"/>
      <c r="F1054" s="98"/>
      <c r="G1054" s="98"/>
      <c r="H1054" s="98"/>
      <c r="I1054" s="98"/>
      <c r="J1054" s="98"/>
      <c r="K1054" s="98"/>
      <c r="L1054" s="98"/>
      <c r="M1054" s="98"/>
      <c r="N1054" s="98"/>
      <c r="O1054" s="98"/>
      <c r="P1054" s="98"/>
      <c r="Q1054" s="98"/>
      <c r="R1054" s="99"/>
    </row>
    <row r="1055" spans="1:18" x14ac:dyDescent="0.35">
      <c r="A1055" s="88">
        <f t="shared" si="32"/>
        <v>0</v>
      </c>
      <c r="B1055" s="89"/>
      <c r="C1055" s="90">
        <f t="shared" si="33"/>
        <v>0</v>
      </c>
      <c r="D1055" s="97"/>
      <c r="E1055" s="98"/>
      <c r="F1055" s="98"/>
      <c r="G1055" s="98"/>
      <c r="H1055" s="98"/>
      <c r="I1055" s="98"/>
      <c r="J1055" s="98"/>
      <c r="K1055" s="98"/>
      <c r="L1055" s="98"/>
      <c r="M1055" s="98"/>
      <c r="N1055" s="98"/>
      <c r="O1055" s="98"/>
      <c r="P1055" s="98"/>
      <c r="Q1055" s="98"/>
      <c r="R1055" s="99"/>
    </row>
    <row r="1056" spans="1:18" x14ac:dyDescent="0.35">
      <c r="A1056" s="88">
        <f t="shared" si="32"/>
        <v>0</v>
      </c>
      <c r="B1056" s="89"/>
      <c r="C1056" s="90">
        <f t="shared" si="33"/>
        <v>0</v>
      </c>
      <c r="D1056" s="97"/>
      <c r="E1056" s="98"/>
      <c r="F1056" s="98"/>
      <c r="G1056" s="98"/>
      <c r="H1056" s="98"/>
      <c r="I1056" s="98"/>
      <c r="J1056" s="98"/>
      <c r="K1056" s="98"/>
      <c r="L1056" s="98"/>
      <c r="M1056" s="98"/>
      <c r="N1056" s="98"/>
      <c r="O1056" s="98"/>
      <c r="P1056" s="98"/>
      <c r="Q1056" s="98"/>
      <c r="R1056" s="99"/>
    </row>
    <row r="1057" spans="1:18" x14ac:dyDescent="0.35">
      <c r="A1057" s="88">
        <f t="shared" si="32"/>
        <v>0</v>
      </c>
      <c r="B1057" s="89"/>
      <c r="C1057" s="90">
        <f t="shared" si="33"/>
        <v>0</v>
      </c>
      <c r="D1057" s="97"/>
      <c r="E1057" s="98"/>
      <c r="F1057" s="98"/>
      <c r="G1057" s="98"/>
      <c r="H1057" s="98"/>
      <c r="I1057" s="98"/>
      <c r="J1057" s="98"/>
      <c r="K1057" s="98"/>
      <c r="L1057" s="98"/>
      <c r="M1057" s="98"/>
      <c r="N1057" s="98"/>
      <c r="O1057" s="98"/>
      <c r="P1057" s="98"/>
      <c r="Q1057" s="98"/>
      <c r="R1057" s="99"/>
    </row>
    <row r="1058" spans="1:18" x14ac:dyDescent="0.35">
      <c r="A1058" s="88">
        <f t="shared" si="32"/>
        <v>0</v>
      </c>
      <c r="B1058" s="89"/>
      <c r="C1058" s="90">
        <f t="shared" si="33"/>
        <v>0</v>
      </c>
      <c r="D1058" s="97"/>
      <c r="E1058" s="98"/>
      <c r="F1058" s="98"/>
      <c r="G1058" s="98"/>
      <c r="H1058" s="98"/>
      <c r="I1058" s="98"/>
      <c r="J1058" s="98"/>
      <c r="K1058" s="98"/>
      <c r="L1058" s="98"/>
      <c r="M1058" s="98"/>
      <c r="N1058" s="98"/>
      <c r="O1058" s="98"/>
      <c r="P1058" s="98"/>
      <c r="Q1058" s="98"/>
      <c r="R1058" s="99"/>
    </row>
    <row r="1059" spans="1:18" x14ac:dyDescent="0.35">
      <c r="A1059" s="88">
        <f t="shared" si="32"/>
        <v>0</v>
      </c>
      <c r="B1059" s="89"/>
      <c r="C1059" s="90">
        <f t="shared" si="33"/>
        <v>0</v>
      </c>
      <c r="D1059" s="97"/>
      <c r="E1059" s="98"/>
      <c r="F1059" s="98"/>
      <c r="G1059" s="98"/>
      <c r="H1059" s="98"/>
      <c r="I1059" s="98"/>
      <c r="J1059" s="98"/>
      <c r="K1059" s="98"/>
      <c r="L1059" s="98"/>
      <c r="M1059" s="98"/>
      <c r="N1059" s="98"/>
      <c r="O1059" s="98"/>
      <c r="P1059" s="98"/>
      <c r="Q1059" s="98"/>
      <c r="R1059" s="99"/>
    </row>
    <row r="1060" spans="1:18" x14ac:dyDescent="0.35">
      <c r="A1060" s="88">
        <f t="shared" si="32"/>
        <v>0</v>
      </c>
      <c r="B1060" s="89"/>
      <c r="C1060" s="90">
        <f t="shared" si="33"/>
        <v>0</v>
      </c>
      <c r="D1060" s="97"/>
      <c r="E1060" s="98"/>
      <c r="F1060" s="98"/>
      <c r="G1060" s="98"/>
      <c r="H1060" s="98"/>
      <c r="I1060" s="98"/>
      <c r="J1060" s="98"/>
      <c r="K1060" s="98"/>
      <c r="L1060" s="98"/>
      <c r="M1060" s="98"/>
      <c r="N1060" s="98"/>
      <c r="O1060" s="98"/>
      <c r="P1060" s="98"/>
      <c r="Q1060" s="98"/>
      <c r="R1060" s="99"/>
    </row>
    <row r="1061" spans="1:18" x14ac:dyDescent="0.35">
      <c r="A1061" s="88">
        <f t="shared" si="32"/>
        <v>0</v>
      </c>
      <c r="B1061" s="89"/>
      <c r="C1061" s="90">
        <f t="shared" si="33"/>
        <v>0</v>
      </c>
      <c r="D1061" s="97"/>
      <c r="E1061" s="98"/>
      <c r="F1061" s="98"/>
      <c r="G1061" s="98"/>
      <c r="H1061" s="98"/>
      <c r="I1061" s="98"/>
      <c r="J1061" s="98"/>
      <c r="K1061" s="98"/>
      <c r="L1061" s="98"/>
      <c r="M1061" s="98"/>
      <c r="N1061" s="98"/>
      <c r="O1061" s="98"/>
      <c r="P1061" s="98"/>
      <c r="Q1061" s="98"/>
      <c r="R1061" s="99"/>
    </row>
    <row r="1062" spans="1:18" x14ac:dyDescent="0.35">
      <c r="A1062" s="88">
        <f t="shared" si="32"/>
        <v>0</v>
      </c>
      <c r="B1062" s="89"/>
      <c r="C1062" s="90">
        <f t="shared" si="33"/>
        <v>0</v>
      </c>
      <c r="D1062" s="97"/>
      <c r="E1062" s="98"/>
      <c r="F1062" s="98"/>
      <c r="G1062" s="98"/>
      <c r="H1062" s="98"/>
      <c r="I1062" s="98"/>
      <c r="J1062" s="98"/>
      <c r="K1062" s="98"/>
      <c r="L1062" s="98"/>
      <c r="M1062" s="98"/>
      <c r="N1062" s="98"/>
      <c r="O1062" s="98"/>
      <c r="P1062" s="98"/>
      <c r="Q1062" s="98"/>
      <c r="R1062" s="99"/>
    </row>
    <row r="1063" spans="1:18" x14ac:dyDescent="0.35">
      <c r="A1063" s="88">
        <f t="shared" si="32"/>
        <v>0</v>
      </c>
      <c r="B1063" s="89"/>
      <c r="C1063" s="90">
        <f t="shared" si="33"/>
        <v>0</v>
      </c>
      <c r="D1063" s="97"/>
      <c r="E1063" s="98"/>
      <c r="F1063" s="98"/>
      <c r="G1063" s="98"/>
      <c r="H1063" s="98"/>
      <c r="I1063" s="98"/>
      <c r="J1063" s="98"/>
      <c r="K1063" s="98"/>
      <c r="L1063" s="98"/>
      <c r="M1063" s="98"/>
      <c r="N1063" s="98"/>
      <c r="O1063" s="98"/>
      <c r="P1063" s="98"/>
      <c r="Q1063" s="98"/>
      <c r="R1063" s="99"/>
    </row>
    <row r="1064" spans="1:18" x14ac:dyDescent="0.35">
      <c r="A1064" s="88">
        <f t="shared" si="32"/>
        <v>0</v>
      </c>
      <c r="B1064" s="89"/>
      <c r="C1064" s="90">
        <f t="shared" si="33"/>
        <v>0</v>
      </c>
      <c r="D1064" s="97"/>
      <c r="E1064" s="98"/>
      <c r="F1064" s="98"/>
      <c r="G1064" s="98"/>
      <c r="H1064" s="98"/>
      <c r="I1064" s="98"/>
      <c r="J1064" s="98"/>
      <c r="K1064" s="98"/>
      <c r="L1064" s="98"/>
      <c r="M1064" s="98"/>
      <c r="N1064" s="98"/>
      <c r="O1064" s="98"/>
      <c r="P1064" s="98"/>
      <c r="Q1064" s="98"/>
      <c r="R1064" s="99"/>
    </row>
    <row r="1065" spans="1:18" x14ac:dyDescent="0.35">
      <c r="A1065" s="88">
        <f t="shared" si="32"/>
        <v>0</v>
      </c>
      <c r="B1065" s="89"/>
      <c r="C1065" s="90">
        <f t="shared" si="33"/>
        <v>0</v>
      </c>
      <c r="D1065" s="97"/>
      <c r="E1065" s="98"/>
      <c r="F1065" s="98"/>
      <c r="G1065" s="98"/>
      <c r="H1065" s="98"/>
      <c r="I1065" s="98"/>
      <c r="J1065" s="98"/>
      <c r="K1065" s="98"/>
      <c r="L1065" s="98"/>
      <c r="M1065" s="98"/>
      <c r="N1065" s="98"/>
      <c r="O1065" s="98"/>
      <c r="P1065" s="98"/>
      <c r="Q1065" s="98"/>
      <c r="R1065" s="99"/>
    </row>
    <row r="1066" spans="1:18" x14ac:dyDescent="0.35">
      <c r="A1066" s="88">
        <f t="shared" si="32"/>
        <v>0</v>
      </c>
      <c r="B1066" s="89"/>
      <c r="C1066" s="90">
        <f t="shared" si="33"/>
        <v>0</v>
      </c>
      <c r="D1066" s="97"/>
      <c r="E1066" s="98"/>
      <c r="F1066" s="98"/>
      <c r="G1066" s="98"/>
      <c r="H1066" s="98"/>
      <c r="I1066" s="98"/>
      <c r="J1066" s="98"/>
      <c r="K1066" s="98"/>
      <c r="L1066" s="98"/>
      <c r="M1066" s="98"/>
      <c r="N1066" s="98"/>
      <c r="O1066" s="98"/>
      <c r="P1066" s="98"/>
      <c r="Q1066" s="98"/>
      <c r="R1066" s="99"/>
    </row>
    <row r="1067" spans="1:18" x14ac:dyDescent="0.35">
      <c r="A1067" s="88">
        <f t="shared" si="32"/>
        <v>0</v>
      </c>
      <c r="B1067" s="89"/>
      <c r="C1067" s="90">
        <f t="shared" si="33"/>
        <v>0</v>
      </c>
      <c r="D1067" s="97"/>
      <c r="E1067" s="98"/>
      <c r="F1067" s="98"/>
      <c r="G1067" s="98"/>
      <c r="H1067" s="98"/>
      <c r="I1067" s="98"/>
      <c r="J1067" s="98"/>
      <c r="K1067" s="98"/>
      <c r="L1067" s="98"/>
      <c r="M1067" s="98"/>
      <c r="N1067" s="98"/>
      <c r="O1067" s="98"/>
      <c r="P1067" s="98"/>
      <c r="Q1067" s="98"/>
      <c r="R1067" s="99"/>
    </row>
    <row r="1068" spans="1:18" x14ac:dyDescent="0.35">
      <c r="A1068" s="88">
        <f t="shared" si="32"/>
        <v>0</v>
      </c>
      <c r="B1068" s="89"/>
      <c r="C1068" s="90">
        <f t="shared" si="33"/>
        <v>0</v>
      </c>
      <c r="D1068" s="97"/>
      <c r="E1068" s="98"/>
      <c r="F1068" s="98"/>
      <c r="G1068" s="98"/>
      <c r="H1068" s="98"/>
      <c r="I1068" s="98"/>
      <c r="J1068" s="98"/>
      <c r="K1068" s="98"/>
      <c r="L1068" s="98"/>
      <c r="M1068" s="98"/>
      <c r="N1068" s="98"/>
      <c r="O1068" s="98"/>
      <c r="P1068" s="98"/>
      <c r="Q1068" s="98"/>
      <c r="R1068" s="99"/>
    </row>
    <row r="1069" spans="1:18" x14ac:dyDescent="0.35">
      <c r="A1069" s="88">
        <f t="shared" si="32"/>
        <v>0</v>
      </c>
      <c r="B1069" s="89"/>
      <c r="C1069" s="90">
        <f t="shared" si="33"/>
        <v>0</v>
      </c>
      <c r="D1069" s="97"/>
      <c r="E1069" s="98"/>
      <c r="F1069" s="98"/>
      <c r="G1069" s="98"/>
      <c r="H1069" s="98"/>
      <c r="I1069" s="98"/>
      <c r="J1069" s="98"/>
      <c r="K1069" s="98"/>
      <c r="L1069" s="98"/>
      <c r="M1069" s="98"/>
      <c r="N1069" s="98"/>
      <c r="O1069" s="98"/>
      <c r="P1069" s="98"/>
      <c r="Q1069" s="98"/>
      <c r="R1069" s="99"/>
    </row>
    <row r="1070" spans="1:18" x14ac:dyDescent="0.35">
      <c r="A1070" s="88">
        <f t="shared" si="32"/>
        <v>0</v>
      </c>
      <c r="B1070" s="89"/>
      <c r="C1070" s="90">
        <f t="shared" si="33"/>
        <v>0</v>
      </c>
      <c r="D1070" s="97"/>
      <c r="E1070" s="98"/>
      <c r="F1070" s="98"/>
      <c r="G1070" s="98"/>
      <c r="H1070" s="98"/>
      <c r="I1070" s="98"/>
      <c r="J1070" s="98"/>
      <c r="K1070" s="98"/>
      <c r="L1070" s="98"/>
      <c r="M1070" s="98"/>
      <c r="N1070" s="98"/>
      <c r="O1070" s="98"/>
      <c r="P1070" s="98"/>
      <c r="Q1070" s="98"/>
      <c r="R1070" s="99"/>
    </row>
    <row r="1071" spans="1:18" x14ac:dyDescent="0.35">
      <c r="A1071" s="88">
        <f t="shared" si="32"/>
        <v>0</v>
      </c>
      <c r="B1071" s="89"/>
      <c r="C1071" s="90">
        <f t="shared" si="33"/>
        <v>0</v>
      </c>
      <c r="D1071" s="97"/>
      <c r="E1071" s="98"/>
      <c r="F1071" s="98"/>
      <c r="G1071" s="98"/>
      <c r="H1071" s="98"/>
      <c r="I1071" s="98"/>
      <c r="J1071" s="98"/>
      <c r="K1071" s="98"/>
      <c r="L1071" s="98"/>
      <c r="M1071" s="98"/>
      <c r="N1071" s="98"/>
      <c r="O1071" s="98"/>
      <c r="P1071" s="98"/>
      <c r="Q1071" s="98"/>
      <c r="R1071" s="99"/>
    </row>
    <row r="1072" spans="1:18" x14ac:dyDescent="0.35">
      <c r="A1072" s="88">
        <f t="shared" si="32"/>
        <v>0</v>
      </c>
      <c r="B1072" s="89"/>
      <c r="C1072" s="90">
        <f t="shared" si="33"/>
        <v>0</v>
      </c>
      <c r="D1072" s="97"/>
      <c r="E1072" s="98"/>
      <c r="F1072" s="98"/>
      <c r="G1072" s="98"/>
      <c r="H1072" s="98"/>
      <c r="I1072" s="98"/>
      <c r="J1072" s="98"/>
      <c r="K1072" s="98"/>
      <c r="L1072" s="98"/>
      <c r="M1072" s="98"/>
      <c r="N1072" s="98"/>
      <c r="O1072" s="98"/>
      <c r="P1072" s="98"/>
      <c r="Q1072" s="98"/>
      <c r="R1072" s="99"/>
    </row>
    <row r="1073" spans="1:18" x14ac:dyDescent="0.35">
      <c r="A1073" s="88">
        <f t="shared" si="32"/>
        <v>0</v>
      </c>
      <c r="B1073" s="89"/>
      <c r="C1073" s="90">
        <f t="shared" si="33"/>
        <v>0</v>
      </c>
      <c r="D1073" s="97"/>
      <c r="E1073" s="98"/>
      <c r="F1073" s="98"/>
      <c r="G1073" s="98"/>
      <c r="H1073" s="98"/>
      <c r="I1073" s="98"/>
      <c r="J1073" s="98"/>
      <c r="K1073" s="98"/>
      <c r="L1073" s="98"/>
      <c r="M1073" s="98"/>
      <c r="N1073" s="98"/>
      <c r="O1073" s="98"/>
      <c r="P1073" s="98"/>
      <c r="Q1073" s="98"/>
      <c r="R1073" s="99"/>
    </row>
    <row r="1074" spans="1:18" x14ac:dyDescent="0.35">
      <c r="A1074" s="88">
        <f t="shared" si="32"/>
        <v>0</v>
      </c>
      <c r="B1074" s="89"/>
      <c r="C1074" s="90">
        <f t="shared" si="33"/>
        <v>0</v>
      </c>
      <c r="D1074" s="97"/>
      <c r="E1074" s="98"/>
      <c r="F1074" s="98"/>
      <c r="G1074" s="98"/>
      <c r="H1074" s="98"/>
      <c r="I1074" s="98"/>
      <c r="J1074" s="98"/>
      <c r="K1074" s="98"/>
      <c r="L1074" s="98"/>
      <c r="M1074" s="98"/>
      <c r="N1074" s="98"/>
      <c r="O1074" s="98"/>
      <c r="P1074" s="98"/>
      <c r="Q1074" s="98"/>
      <c r="R1074" s="99"/>
    </row>
    <row r="1075" spans="1:18" x14ac:dyDescent="0.35">
      <c r="A1075" s="88">
        <f t="shared" si="32"/>
        <v>0</v>
      </c>
      <c r="B1075" s="89"/>
      <c r="C1075" s="90">
        <f t="shared" si="33"/>
        <v>0</v>
      </c>
      <c r="D1075" s="97"/>
      <c r="E1075" s="98"/>
      <c r="F1075" s="98"/>
      <c r="G1075" s="98"/>
      <c r="H1075" s="98"/>
      <c r="I1075" s="98"/>
      <c r="J1075" s="98"/>
      <c r="K1075" s="98"/>
      <c r="L1075" s="98"/>
      <c r="M1075" s="98"/>
      <c r="N1075" s="98"/>
      <c r="O1075" s="98"/>
      <c r="P1075" s="98"/>
      <c r="Q1075" s="98"/>
      <c r="R1075" s="99"/>
    </row>
    <row r="1076" spans="1:18" x14ac:dyDescent="0.35">
      <c r="A1076" s="88">
        <f t="shared" si="32"/>
        <v>0</v>
      </c>
      <c r="B1076" s="89"/>
      <c r="C1076" s="90">
        <f t="shared" si="33"/>
        <v>0</v>
      </c>
      <c r="D1076" s="97"/>
      <c r="E1076" s="98"/>
      <c r="F1076" s="98"/>
      <c r="G1076" s="98"/>
      <c r="H1076" s="98"/>
      <c r="I1076" s="98"/>
      <c r="J1076" s="98"/>
      <c r="K1076" s="98"/>
      <c r="L1076" s="98"/>
      <c r="M1076" s="98"/>
      <c r="N1076" s="98"/>
      <c r="O1076" s="98"/>
      <c r="P1076" s="98"/>
      <c r="Q1076" s="98"/>
      <c r="R1076" s="99"/>
    </row>
    <row r="1077" spans="1:18" x14ac:dyDescent="0.35">
      <c r="A1077" s="88">
        <f t="shared" si="32"/>
        <v>0</v>
      </c>
      <c r="B1077" s="89"/>
      <c r="C1077" s="90">
        <f t="shared" si="33"/>
        <v>0</v>
      </c>
      <c r="D1077" s="97"/>
      <c r="E1077" s="98"/>
      <c r="F1077" s="98"/>
      <c r="G1077" s="98"/>
      <c r="H1077" s="98"/>
      <c r="I1077" s="98"/>
      <c r="J1077" s="98"/>
      <c r="K1077" s="98"/>
      <c r="L1077" s="98"/>
      <c r="M1077" s="98"/>
      <c r="N1077" s="98"/>
      <c r="O1077" s="98"/>
      <c r="P1077" s="98"/>
      <c r="Q1077" s="98"/>
      <c r="R1077" s="99"/>
    </row>
    <row r="1078" spans="1:18" x14ac:dyDescent="0.35">
      <c r="A1078" s="88">
        <f t="shared" si="32"/>
        <v>0</v>
      </c>
      <c r="B1078" s="89"/>
      <c r="C1078" s="90">
        <f t="shared" si="33"/>
        <v>0</v>
      </c>
      <c r="D1078" s="97"/>
      <c r="E1078" s="98"/>
      <c r="F1078" s="98"/>
      <c r="G1078" s="98"/>
      <c r="H1078" s="98"/>
      <c r="I1078" s="98"/>
      <c r="J1078" s="98"/>
      <c r="K1078" s="98"/>
      <c r="L1078" s="98"/>
      <c r="M1078" s="98"/>
      <c r="N1078" s="98"/>
      <c r="O1078" s="98"/>
      <c r="P1078" s="98"/>
      <c r="Q1078" s="98"/>
      <c r="R1078" s="99"/>
    </row>
    <row r="1079" spans="1:18" x14ac:dyDescent="0.35">
      <c r="A1079" s="88">
        <f t="shared" si="32"/>
        <v>0</v>
      </c>
      <c r="B1079" s="89"/>
      <c r="C1079" s="90">
        <f t="shared" si="33"/>
        <v>0</v>
      </c>
      <c r="D1079" s="97"/>
      <c r="E1079" s="98"/>
      <c r="F1079" s="98"/>
      <c r="G1079" s="98"/>
      <c r="H1079" s="98"/>
      <c r="I1079" s="98"/>
      <c r="J1079" s="98"/>
      <c r="K1079" s="98"/>
      <c r="L1079" s="98"/>
      <c r="M1079" s="98"/>
      <c r="N1079" s="98"/>
      <c r="O1079" s="98"/>
      <c r="P1079" s="98"/>
      <c r="Q1079" s="98"/>
      <c r="R1079" s="99"/>
    </row>
    <row r="1080" spans="1:18" x14ac:dyDescent="0.35">
      <c r="A1080" s="88">
        <f t="shared" si="32"/>
        <v>0</v>
      </c>
      <c r="B1080" s="89"/>
      <c r="C1080" s="90">
        <f t="shared" si="33"/>
        <v>0</v>
      </c>
      <c r="D1080" s="97"/>
      <c r="E1080" s="98"/>
      <c r="F1080" s="98"/>
      <c r="G1080" s="98"/>
      <c r="H1080" s="98"/>
      <c r="I1080" s="98"/>
      <c r="J1080" s="98"/>
      <c r="K1080" s="98"/>
      <c r="L1080" s="98"/>
      <c r="M1080" s="98"/>
      <c r="N1080" s="98"/>
      <c r="O1080" s="98"/>
      <c r="P1080" s="98"/>
      <c r="Q1080" s="98"/>
      <c r="R1080" s="99"/>
    </row>
    <row r="1081" spans="1:18" x14ac:dyDescent="0.35">
      <c r="A1081" s="88">
        <f t="shared" si="32"/>
        <v>0</v>
      </c>
      <c r="B1081" s="89"/>
      <c r="C1081" s="90">
        <f t="shared" si="33"/>
        <v>0</v>
      </c>
      <c r="D1081" s="97"/>
      <c r="E1081" s="98"/>
      <c r="F1081" s="98"/>
      <c r="G1081" s="98"/>
      <c r="H1081" s="98"/>
      <c r="I1081" s="98"/>
      <c r="J1081" s="98"/>
      <c r="K1081" s="98"/>
      <c r="L1081" s="98"/>
      <c r="M1081" s="98"/>
      <c r="N1081" s="98"/>
      <c r="O1081" s="98"/>
      <c r="P1081" s="98"/>
      <c r="Q1081" s="98"/>
      <c r="R1081" s="99"/>
    </row>
    <row r="1082" spans="1:18" x14ac:dyDescent="0.35">
      <c r="A1082" s="88">
        <f t="shared" si="32"/>
        <v>0</v>
      </c>
      <c r="B1082" s="89"/>
      <c r="C1082" s="90">
        <f t="shared" si="33"/>
        <v>0</v>
      </c>
      <c r="D1082" s="97"/>
      <c r="E1082" s="98"/>
      <c r="F1082" s="98"/>
      <c r="G1082" s="98"/>
      <c r="H1082" s="98"/>
      <c r="I1082" s="98"/>
      <c r="J1082" s="98"/>
      <c r="K1082" s="98"/>
      <c r="L1082" s="98"/>
      <c r="M1082" s="98"/>
      <c r="N1082" s="98"/>
      <c r="O1082" s="98"/>
      <c r="P1082" s="98"/>
      <c r="Q1082" s="98"/>
      <c r="R1082" s="99"/>
    </row>
    <row r="1083" spans="1:18" x14ac:dyDescent="0.35">
      <c r="A1083" s="88">
        <f t="shared" si="32"/>
        <v>0</v>
      </c>
      <c r="B1083" s="89"/>
      <c r="C1083" s="90">
        <f t="shared" si="33"/>
        <v>0</v>
      </c>
      <c r="D1083" s="97"/>
      <c r="E1083" s="98"/>
      <c r="F1083" s="98"/>
      <c r="G1083" s="98"/>
      <c r="H1083" s="98"/>
      <c r="I1083" s="98"/>
      <c r="J1083" s="98"/>
      <c r="K1083" s="98"/>
      <c r="L1083" s="98"/>
      <c r="M1083" s="98"/>
      <c r="N1083" s="98"/>
      <c r="O1083" s="98"/>
      <c r="P1083" s="98"/>
      <c r="Q1083" s="98"/>
      <c r="R1083" s="99"/>
    </row>
    <row r="1084" spans="1:18" x14ac:dyDescent="0.35">
      <c r="A1084" s="88">
        <f t="shared" si="32"/>
        <v>0</v>
      </c>
      <c r="B1084" s="89"/>
      <c r="C1084" s="90">
        <f t="shared" si="33"/>
        <v>0</v>
      </c>
      <c r="D1084" s="97"/>
      <c r="E1084" s="98"/>
      <c r="F1084" s="98"/>
      <c r="G1084" s="98"/>
      <c r="H1084" s="98"/>
      <c r="I1084" s="98"/>
      <c r="J1084" s="98"/>
      <c r="K1084" s="98"/>
      <c r="L1084" s="98"/>
      <c r="M1084" s="98"/>
      <c r="N1084" s="98"/>
      <c r="O1084" s="98"/>
      <c r="P1084" s="98"/>
      <c r="Q1084" s="98"/>
      <c r="R1084" s="99"/>
    </row>
    <row r="1085" spans="1:18" x14ac:dyDescent="0.35">
      <c r="A1085" s="88">
        <f t="shared" si="32"/>
        <v>0</v>
      </c>
      <c r="B1085" s="89"/>
      <c r="C1085" s="90">
        <f t="shared" si="33"/>
        <v>0</v>
      </c>
      <c r="D1085" s="97"/>
      <c r="E1085" s="98"/>
      <c r="F1085" s="98"/>
      <c r="G1085" s="98"/>
      <c r="H1085" s="98"/>
      <c r="I1085" s="98"/>
      <c r="J1085" s="98"/>
      <c r="K1085" s="98"/>
      <c r="L1085" s="98"/>
      <c r="M1085" s="98"/>
      <c r="N1085" s="98"/>
      <c r="O1085" s="98"/>
      <c r="P1085" s="98"/>
      <c r="Q1085" s="98"/>
      <c r="R1085" s="99"/>
    </row>
    <row r="1086" spans="1:18" x14ac:dyDescent="0.35">
      <c r="A1086" s="88">
        <f t="shared" si="32"/>
        <v>0</v>
      </c>
      <c r="B1086" s="89"/>
      <c r="C1086" s="90">
        <f t="shared" si="33"/>
        <v>0</v>
      </c>
      <c r="D1086" s="97"/>
      <c r="E1086" s="98"/>
      <c r="F1086" s="98"/>
      <c r="G1086" s="98"/>
      <c r="H1086" s="98"/>
      <c r="I1086" s="98"/>
      <c r="J1086" s="98"/>
      <c r="K1086" s="98"/>
      <c r="L1086" s="98"/>
      <c r="M1086" s="98"/>
      <c r="N1086" s="98"/>
      <c r="O1086" s="98"/>
      <c r="P1086" s="98"/>
      <c r="Q1086" s="98"/>
      <c r="R1086" s="99"/>
    </row>
    <row r="1087" spans="1:18" x14ac:dyDescent="0.35">
      <c r="A1087" s="88">
        <f t="shared" si="32"/>
        <v>0</v>
      </c>
      <c r="B1087" s="89"/>
      <c r="C1087" s="90">
        <f t="shared" si="33"/>
        <v>0</v>
      </c>
      <c r="D1087" s="97"/>
      <c r="E1087" s="98"/>
      <c r="F1087" s="98"/>
      <c r="G1087" s="98"/>
      <c r="H1087" s="98"/>
      <c r="I1087" s="98"/>
      <c r="J1087" s="98"/>
      <c r="K1087" s="98"/>
      <c r="L1087" s="98"/>
      <c r="M1087" s="98"/>
      <c r="N1087" s="98"/>
      <c r="O1087" s="98"/>
      <c r="P1087" s="98"/>
      <c r="Q1087" s="98"/>
      <c r="R1087" s="99"/>
    </row>
    <row r="1088" spans="1:18" x14ac:dyDescent="0.35">
      <c r="A1088" s="88">
        <f t="shared" si="32"/>
        <v>0</v>
      </c>
      <c r="B1088" s="89"/>
      <c r="C1088" s="90">
        <f t="shared" si="33"/>
        <v>0</v>
      </c>
      <c r="D1088" s="97"/>
      <c r="E1088" s="98"/>
      <c r="F1088" s="98"/>
      <c r="G1088" s="98"/>
      <c r="H1088" s="98"/>
      <c r="I1088" s="98"/>
      <c r="J1088" s="98"/>
      <c r="K1088" s="98"/>
      <c r="L1088" s="98"/>
      <c r="M1088" s="98"/>
      <c r="N1088" s="98"/>
      <c r="O1088" s="98"/>
      <c r="P1088" s="98"/>
      <c r="Q1088" s="98"/>
      <c r="R1088" s="99"/>
    </row>
    <row r="1089" spans="1:18" x14ac:dyDescent="0.35">
      <c r="A1089" s="88">
        <f t="shared" si="32"/>
        <v>0</v>
      </c>
      <c r="B1089" s="89"/>
      <c r="C1089" s="90">
        <f t="shared" si="33"/>
        <v>0</v>
      </c>
      <c r="D1089" s="97"/>
      <c r="E1089" s="98"/>
      <c r="F1089" s="98"/>
      <c r="G1089" s="98"/>
      <c r="H1089" s="98"/>
      <c r="I1089" s="98"/>
      <c r="J1089" s="98"/>
      <c r="K1089" s="98"/>
      <c r="L1089" s="98"/>
      <c r="M1089" s="98"/>
      <c r="N1089" s="98"/>
      <c r="O1089" s="98"/>
      <c r="P1089" s="98"/>
      <c r="Q1089" s="98"/>
      <c r="R1089" s="99"/>
    </row>
    <row r="1090" spans="1:18" x14ac:dyDescent="0.35">
      <c r="A1090" s="88">
        <f t="shared" si="32"/>
        <v>0</v>
      </c>
      <c r="B1090" s="89"/>
      <c r="C1090" s="90">
        <f t="shared" si="33"/>
        <v>0</v>
      </c>
      <c r="D1090" s="97"/>
      <c r="E1090" s="98"/>
      <c r="F1090" s="98"/>
      <c r="G1090" s="98"/>
      <c r="H1090" s="98"/>
      <c r="I1090" s="98"/>
      <c r="J1090" s="98"/>
      <c r="K1090" s="98"/>
      <c r="L1090" s="98"/>
      <c r="M1090" s="98"/>
      <c r="N1090" s="98"/>
      <c r="O1090" s="98"/>
      <c r="P1090" s="98"/>
      <c r="Q1090" s="98"/>
      <c r="R1090" s="99"/>
    </row>
    <row r="1091" spans="1:18" x14ac:dyDescent="0.35">
      <c r="A1091" s="88">
        <f t="shared" si="32"/>
        <v>0</v>
      </c>
      <c r="B1091" s="89"/>
      <c r="C1091" s="90">
        <f t="shared" si="33"/>
        <v>0</v>
      </c>
      <c r="D1091" s="97"/>
      <c r="E1091" s="98"/>
      <c r="F1091" s="98"/>
      <c r="G1091" s="98"/>
      <c r="H1091" s="98"/>
      <c r="I1091" s="98"/>
      <c r="J1091" s="98"/>
      <c r="K1091" s="98"/>
      <c r="L1091" s="98"/>
      <c r="M1091" s="98"/>
      <c r="N1091" s="98"/>
      <c r="O1091" s="98"/>
      <c r="P1091" s="98"/>
      <c r="Q1091" s="98"/>
      <c r="R1091" s="99"/>
    </row>
    <row r="1092" spans="1:18" x14ac:dyDescent="0.35">
      <c r="A1092" s="88">
        <f t="shared" ref="A1092:A1155" si="34">F1092</f>
        <v>0</v>
      </c>
      <c r="B1092" s="89"/>
      <c r="C1092" s="90">
        <f t="shared" ref="C1092:C1155" si="35">F1092</f>
        <v>0</v>
      </c>
      <c r="D1092" s="97"/>
      <c r="E1092" s="98"/>
      <c r="F1092" s="98"/>
      <c r="G1092" s="98"/>
      <c r="H1092" s="98"/>
      <c r="I1092" s="98"/>
      <c r="J1092" s="98"/>
      <c r="K1092" s="98"/>
      <c r="L1092" s="98"/>
      <c r="M1092" s="98"/>
      <c r="N1092" s="98"/>
      <c r="O1092" s="98"/>
      <c r="P1092" s="98"/>
      <c r="Q1092" s="98"/>
      <c r="R1092" s="99"/>
    </row>
    <row r="1093" spans="1:18" x14ac:dyDescent="0.35">
      <c r="A1093" s="88">
        <f t="shared" si="34"/>
        <v>0</v>
      </c>
      <c r="B1093" s="89"/>
      <c r="C1093" s="90">
        <f t="shared" si="35"/>
        <v>0</v>
      </c>
      <c r="D1093" s="97"/>
      <c r="E1093" s="98"/>
      <c r="F1093" s="98"/>
      <c r="G1093" s="98"/>
      <c r="H1093" s="98"/>
      <c r="I1093" s="98"/>
      <c r="J1093" s="98"/>
      <c r="K1093" s="98"/>
      <c r="L1093" s="98"/>
      <c r="M1093" s="98"/>
      <c r="N1093" s="98"/>
      <c r="O1093" s="98"/>
      <c r="P1093" s="98"/>
      <c r="Q1093" s="98"/>
      <c r="R1093" s="99"/>
    </row>
    <row r="1094" spans="1:18" x14ac:dyDescent="0.35">
      <c r="A1094" s="88">
        <f t="shared" si="34"/>
        <v>0</v>
      </c>
      <c r="B1094" s="89"/>
      <c r="C1094" s="90">
        <f t="shared" si="35"/>
        <v>0</v>
      </c>
      <c r="D1094" s="97"/>
      <c r="E1094" s="98"/>
      <c r="F1094" s="98"/>
      <c r="G1094" s="98"/>
      <c r="H1094" s="98"/>
      <c r="I1094" s="98"/>
      <c r="J1094" s="98"/>
      <c r="K1094" s="98"/>
      <c r="L1094" s="98"/>
      <c r="M1094" s="98"/>
      <c r="N1094" s="98"/>
      <c r="O1094" s="98"/>
      <c r="P1094" s="98"/>
      <c r="Q1094" s="98"/>
      <c r="R1094" s="99"/>
    </row>
    <row r="1095" spans="1:18" x14ac:dyDescent="0.35">
      <c r="A1095" s="88">
        <f t="shared" si="34"/>
        <v>0</v>
      </c>
      <c r="B1095" s="89"/>
      <c r="C1095" s="90">
        <f t="shared" si="35"/>
        <v>0</v>
      </c>
      <c r="D1095" s="97"/>
      <c r="E1095" s="98"/>
      <c r="F1095" s="98"/>
      <c r="G1095" s="98"/>
      <c r="H1095" s="98"/>
      <c r="I1095" s="98"/>
      <c r="J1095" s="98"/>
      <c r="K1095" s="98"/>
      <c r="L1095" s="98"/>
      <c r="M1095" s="98"/>
      <c r="N1095" s="98"/>
      <c r="O1095" s="98"/>
      <c r="P1095" s="98"/>
      <c r="Q1095" s="98"/>
      <c r="R1095" s="99"/>
    </row>
    <row r="1096" spans="1:18" x14ac:dyDescent="0.35">
      <c r="A1096" s="88">
        <f t="shared" si="34"/>
        <v>0</v>
      </c>
      <c r="B1096" s="89"/>
      <c r="C1096" s="90">
        <f t="shared" si="35"/>
        <v>0</v>
      </c>
      <c r="D1096" s="97"/>
      <c r="E1096" s="98"/>
      <c r="F1096" s="98"/>
      <c r="G1096" s="98"/>
      <c r="H1096" s="98"/>
      <c r="I1096" s="98"/>
      <c r="J1096" s="98"/>
      <c r="K1096" s="98"/>
      <c r="L1096" s="98"/>
      <c r="M1096" s="98"/>
      <c r="N1096" s="98"/>
      <c r="O1096" s="98"/>
      <c r="P1096" s="98"/>
      <c r="Q1096" s="98"/>
      <c r="R1096" s="99"/>
    </row>
    <row r="1097" spans="1:18" x14ac:dyDescent="0.35">
      <c r="A1097" s="88">
        <f t="shared" si="34"/>
        <v>0</v>
      </c>
      <c r="B1097" s="89"/>
      <c r="C1097" s="90">
        <f t="shared" si="35"/>
        <v>0</v>
      </c>
      <c r="D1097" s="97"/>
      <c r="E1097" s="98"/>
      <c r="F1097" s="98"/>
      <c r="G1097" s="98"/>
      <c r="H1097" s="98"/>
      <c r="I1097" s="98"/>
      <c r="J1097" s="98"/>
      <c r="K1097" s="98"/>
      <c r="L1097" s="98"/>
      <c r="M1097" s="98"/>
      <c r="N1097" s="98"/>
      <c r="O1097" s="98"/>
      <c r="P1097" s="98"/>
      <c r="Q1097" s="98"/>
      <c r="R1097" s="99"/>
    </row>
    <row r="1098" spans="1:18" x14ac:dyDescent="0.35">
      <c r="A1098" s="88">
        <f t="shared" si="34"/>
        <v>0</v>
      </c>
      <c r="B1098" s="89"/>
      <c r="C1098" s="90">
        <f t="shared" si="35"/>
        <v>0</v>
      </c>
      <c r="D1098" s="97"/>
      <c r="E1098" s="98"/>
      <c r="F1098" s="98"/>
      <c r="G1098" s="98"/>
      <c r="H1098" s="98"/>
      <c r="I1098" s="98"/>
      <c r="J1098" s="98"/>
      <c r="K1098" s="98"/>
      <c r="L1098" s="98"/>
      <c r="M1098" s="98"/>
      <c r="N1098" s="98"/>
      <c r="O1098" s="98"/>
      <c r="P1098" s="98"/>
      <c r="Q1098" s="98"/>
      <c r="R1098" s="99"/>
    </row>
    <row r="1099" spans="1:18" x14ac:dyDescent="0.35">
      <c r="A1099" s="88">
        <f t="shared" si="34"/>
        <v>0</v>
      </c>
      <c r="B1099" s="89"/>
      <c r="C1099" s="90">
        <f t="shared" si="35"/>
        <v>0</v>
      </c>
      <c r="D1099" s="97"/>
      <c r="E1099" s="98"/>
      <c r="F1099" s="98"/>
      <c r="G1099" s="98"/>
      <c r="H1099" s="98"/>
      <c r="I1099" s="98"/>
      <c r="J1099" s="98"/>
      <c r="K1099" s="98"/>
      <c r="L1099" s="98"/>
      <c r="M1099" s="98"/>
      <c r="N1099" s="98"/>
      <c r="O1099" s="98"/>
      <c r="P1099" s="98"/>
      <c r="Q1099" s="98"/>
      <c r="R1099" s="99"/>
    </row>
    <row r="1100" spans="1:18" x14ac:dyDescent="0.35">
      <c r="A1100" s="88">
        <f t="shared" si="34"/>
        <v>0</v>
      </c>
      <c r="B1100" s="89"/>
      <c r="C1100" s="90">
        <f t="shared" si="35"/>
        <v>0</v>
      </c>
      <c r="D1100" s="97"/>
      <c r="E1100" s="98"/>
      <c r="F1100" s="98"/>
      <c r="G1100" s="98"/>
      <c r="H1100" s="98"/>
      <c r="I1100" s="98"/>
      <c r="J1100" s="98"/>
      <c r="K1100" s="98"/>
      <c r="L1100" s="98"/>
      <c r="M1100" s="98"/>
      <c r="N1100" s="98"/>
      <c r="O1100" s="98"/>
      <c r="P1100" s="98"/>
      <c r="Q1100" s="98"/>
      <c r="R1100" s="99"/>
    </row>
    <row r="1101" spans="1:18" x14ac:dyDescent="0.35">
      <c r="A1101" s="88">
        <f t="shared" si="34"/>
        <v>0</v>
      </c>
      <c r="B1101" s="89"/>
      <c r="C1101" s="90">
        <f t="shared" si="35"/>
        <v>0</v>
      </c>
      <c r="D1101" s="97"/>
      <c r="E1101" s="98"/>
      <c r="F1101" s="98"/>
      <c r="G1101" s="98"/>
      <c r="H1101" s="98"/>
      <c r="I1101" s="98"/>
      <c r="J1101" s="98"/>
      <c r="K1101" s="98"/>
      <c r="L1101" s="98"/>
      <c r="M1101" s="98"/>
      <c r="N1101" s="98"/>
      <c r="O1101" s="98"/>
      <c r="P1101" s="98"/>
      <c r="Q1101" s="98"/>
      <c r="R1101" s="99"/>
    </row>
    <row r="1102" spans="1:18" x14ac:dyDescent="0.35">
      <c r="A1102" s="88">
        <f t="shared" si="34"/>
        <v>0</v>
      </c>
      <c r="B1102" s="89"/>
      <c r="C1102" s="90">
        <f t="shared" si="35"/>
        <v>0</v>
      </c>
      <c r="D1102" s="97"/>
      <c r="E1102" s="98"/>
      <c r="F1102" s="98"/>
      <c r="G1102" s="98"/>
      <c r="H1102" s="98"/>
      <c r="I1102" s="98"/>
      <c r="J1102" s="98"/>
      <c r="K1102" s="98"/>
      <c r="L1102" s="98"/>
      <c r="M1102" s="98"/>
      <c r="N1102" s="98"/>
      <c r="O1102" s="98"/>
      <c r="P1102" s="98"/>
      <c r="Q1102" s="98"/>
      <c r="R1102" s="99"/>
    </row>
    <row r="1103" spans="1:18" x14ac:dyDescent="0.35">
      <c r="A1103" s="88">
        <f t="shared" si="34"/>
        <v>0</v>
      </c>
      <c r="B1103" s="89"/>
      <c r="C1103" s="90">
        <f t="shared" si="35"/>
        <v>0</v>
      </c>
      <c r="D1103" s="97"/>
      <c r="E1103" s="98"/>
      <c r="F1103" s="98"/>
      <c r="G1103" s="98"/>
      <c r="H1103" s="98"/>
      <c r="I1103" s="98"/>
      <c r="J1103" s="98"/>
      <c r="K1103" s="98"/>
      <c r="L1103" s="98"/>
      <c r="M1103" s="98"/>
      <c r="N1103" s="98"/>
      <c r="O1103" s="98"/>
      <c r="P1103" s="98"/>
      <c r="Q1103" s="98"/>
      <c r="R1103" s="99"/>
    </row>
    <row r="1104" spans="1:18" x14ac:dyDescent="0.35">
      <c r="A1104" s="88">
        <f t="shared" si="34"/>
        <v>0</v>
      </c>
      <c r="B1104" s="89"/>
      <c r="C1104" s="90">
        <f t="shared" si="35"/>
        <v>0</v>
      </c>
      <c r="D1104" s="97"/>
      <c r="E1104" s="98"/>
      <c r="F1104" s="98"/>
      <c r="G1104" s="98"/>
      <c r="H1104" s="98"/>
      <c r="I1104" s="98"/>
      <c r="J1104" s="98"/>
      <c r="K1104" s="98"/>
      <c r="L1104" s="98"/>
      <c r="M1104" s="98"/>
      <c r="N1104" s="98"/>
      <c r="O1104" s="98"/>
      <c r="P1104" s="98"/>
      <c r="Q1104" s="98"/>
      <c r="R1104" s="99"/>
    </row>
    <row r="1105" spans="1:18" x14ac:dyDescent="0.35">
      <c r="A1105" s="88">
        <f t="shared" si="34"/>
        <v>0</v>
      </c>
      <c r="B1105" s="89"/>
      <c r="C1105" s="90">
        <f t="shared" si="35"/>
        <v>0</v>
      </c>
      <c r="D1105" s="97"/>
      <c r="E1105" s="98"/>
      <c r="F1105" s="98"/>
      <c r="G1105" s="98"/>
      <c r="H1105" s="98"/>
      <c r="I1105" s="98"/>
      <c r="J1105" s="98"/>
      <c r="K1105" s="98"/>
      <c r="L1105" s="98"/>
      <c r="M1105" s="98"/>
      <c r="N1105" s="98"/>
      <c r="O1105" s="98"/>
      <c r="P1105" s="98"/>
      <c r="Q1105" s="98"/>
      <c r="R1105" s="99"/>
    </row>
    <row r="1106" spans="1:18" x14ac:dyDescent="0.35">
      <c r="A1106" s="88">
        <f t="shared" si="34"/>
        <v>0</v>
      </c>
      <c r="B1106" s="89"/>
      <c r="C1106" s="90">
        <f t="shared" si="35"/>
        <v>0</v>
      </c>
      <c r="D1106" s="97"/>
      <c r="E1106" s="98"/>
      <c r="F1106" s="98"/>
      <c r="G1106" s="98"/>
      <c r="H1106" s="98"/>
      <c r="I1106" s="98"/>
      <c r="J1106" s="98"/>
      <c r="K1106" s="98"/>
      <c r="L1106" s="98"/>
      <c r="M1106" s="98"/>
      <c r="N1106" s="98"/>
      <c r="O1106" s="98"/>
      <c r="P1106" s="98"/>
      <c r="Q1106" s="98"/>
      <c r="R1106" s="99"/>
    </row>
    <row r="1107" spans="1:18" x14ac:dyDescent="0.35">
      <c r="A1107" s="88">
        <f t="shared" si="34"/>
        <v>0</v>
      </c>
      <c r="B1107" s="89"/>
      <c r="C1107" s="90">
        <f t="shared" si="35"/>
        <v>0</v>
      </c>
      <c r="D1107" s="97"/>
      <c r="E1107" s="98"/>
      <c r="F1107" s="98"/>
      <c r="G1107" s="98"/>
      <c r="H1107" s="98"/>
      <c r="I1107" s="98"/>
      <c r="J1107" s="98"/>
      <c r="K1107" s="98"/>
      <c r="L1107" s="98"/>
      <c r="M1107" s="98"/>
      <c r="N1107" s="98"/>
      <c r="O1107" s="98"/>
      <c r="P1107" s="98"/>
      <c r="Q1107" s="98"/>
      <c r="R1107" s="99"/>
    </row>
    <row r="1108" spans="1:18" x14ac:dyDescent="0.35">
      <c r="A1108" s="88">
        <f t="shared" si="34"/>
        <v>0</v>
      </c>
      <c r="B1108" s="89"/>
      <c r="C1108" s="90">
        <f t="shared" si="35"/>
        <v>0</v>
      </c>
      <c r="D1108" s="97"/>
      <c r="E1108" s="98"/>
      <c r="F1108" s="98"/>
      <c r="G1108" s="98"/>
      <c r="H1108" s="98"/>
      <c r="I1108" s="98"/>
      <c r="J1108" s="98"/>
      <c r="K1108" s="98"/>
      <c r="L1108" s="98"/>
      <c r="M1108" s="98"/>
      <c r="N1108" s="98"/>
      <c r="O1108" s="98"/>
      <c r="P1108" s="98"/>
      <c r="Q1108" s="98"/>
      <c r="R1108" s="99"/>
    </row>
    <row r="1109" spans="1:18" x14ac:dyDescent="0.35">
      <c r="A1109" s="88">
        <f t="shared" si="34"/>
        <v>0</v>
      </c>
      <c r="B1109" s="89"/>
      <c r="C1109" s="90">
        <f t="shared" si="35"/>
        <v>0</v>
      </c>
      <c r="D1109" s="97"/>
      <c r="E1109" s="98"/>
      <c r="F1109" s="98"/>
      <c r="G1109" s="98"/>
      <c r="H1109" s="98"/>
      <c r="I1109" s="98"/>
      <c r="J1109" s="98"/>
      <c r="K1109" s="98"/>
      <c r="L1109" s="98"/>
      <c r="M1109" s="98"/>
      <c r="N1109" s="98"/>
      <c r="O1109" s="98"/>
      <c r="P1109" s="98"/>
      <c r="Q1109" s="98"/>
      <c r="R1109" s="99"/>
    </row>
    <row r="1110" spans="1:18" x14ac:dyDescent="0.35">
      <c r="A1110" s="88">
        <f t="shared" si="34"/>
        <v>0</v>
      </c>
      <c r="B1110" s="89"/>
      <c r="C1110" s="90">
        <f t="shared" si="35"/>
        <v>0</v>
      </c>
      <c r="D1110" s="97"/>
      <c r="E1110" s="98"/>
      <c r="F1110" s="98"/>
      <c r="G1110" s="98"/>
      <c r="H1110" s="98"/>
      <c r="I1110" s="98"/>
      <c r="J1110" s="98"/>
      <c r="K1110" s="98"/>
      <c r="L1110" s="98"/>
      <c r="M1110" s="98"/>
      <c r="N1110" s="98"/>
      <c r="O1110" s="98"/>
      <c r="P1110" s="98"/>
      <c r="Q1110" s="98"/>
      <c r="R1110" s="99"/>
    </row>
    <row r="1111" spans="1:18" x14ac:dyDescent="0.35">
      <c r="A1111" s="88">
        <f t="shared" si="34"/>
        <v>0</v>
      </c>
      <c r="B1111" s="89"/>
      <c r="C1111" s="90">
        <f t="shared" si="35"/>
        <v>0</v>
      </c>
      <c r="D1111" s="97"/>
      <c r="E1111" s="98"/>
      <c r="F1111" s="98"/>
      <c r="G1111" s="98"/>
      <c r="H1111" s="98"/>
      <c r="I1111" s="98"/>
      <c r="J1111" s="98"/>
      <c r="K1111" s="98"/>
      <c r="L1111" s="98"/>
      <c r="M1111" s="98"/>
      <c r="N1111" s="98"/>
      <c r="O1111" s="98"/>
      <c r="P1111" s="98"/>
      <c r="Q1111" s="98"/>
      <c r="R1111" s="99"/>
    </row>
    <row r="1112" spans="1:18" x14ac:dyDescent="0.35">
      <c r="A1112" s="88">
        <f t="shared" si="34"/>
        <v>0</v>
      </c>
      <c r="B1112" s="89"/>
      <c r="C1112" s="90">
        <f t="shared" si="35"/>
        <v>0</v>
      </c>
      <c r="D1112" s="97"/>
      <c r="E1112" s="98"/>
      <c r="F1112" s="98"/>
      <c r="G1112" s="98"/>
      <c r="H1112" s="98"/>
      <c r="I1112" s="98"/>
      <c r="J1112" s="98"/>
      <c r="K1112" s="98"/>
      <c r="L1112" s="98"/>
      <c r="M1112" s="98"/>
      <c r="N1112" s="98"/>
      <c r="O1112" s="98"/>
      <c r="P1112" s="98"/>
      <c r="Q1112" s="98"/>
      <c r="R1112" s="99"/>
    </row>
    <row r="1113" spans="1:18" x14ac:dyDescent="0.35">
      <c r="A1113" s="88">
        <f t="shared" si="34"/>
        <v>0</v>
      </c>
      <c r="B1113" s="89"/>
      <c r="C1113" s="90">
        <f t="shared" si="35"/>
        <v>0</v>
      </c>
      <c r="D1113" s="97"/>
      <c r="E1113" s="98"/>
      <c r="F1113" s="98"/>
      <c r="G1113" s="98"/>
      <c r="H1113" s="98"/>
      <c r="I1113" s="98"/>
      <c r="J1113" s="98"/>
      <c r="K1113" s="98"/>
      <c r="L1113" s="98"/>
      <c r="M1113" s="98"/>
      <c r="N1113" s="98"/>
      <c r="O1113" s="98"/>
      <c r="P1113" s="98"/>
      <c r="Q1113" s="98"/>
      <c r="R1113" s="99"/>
    </row>
    <row r="1114" spans="1:18" x14ac:dyDescent="0.35">
      <c r="A1114" s="88">
        <f t="shared" si="34"/>
        <v>0</v>
      </c>
      <c r="B1114" s="89"/>
      <c r="C1114" s="90">
        <f t="shared" si="35"/>
        <v>0</v>
      </c>
      <c r="D1114" s="97"/>
      <c r="E1114" s="98"/>
      <c r="F1114" s="98"/>
      <c r="G1114" s="98"/>
      <c r="H1114" s="98"/>
      <c r="I1114" s="98"/>
      <c r="J1114" s="98"/>
      <c r="K1114" s="98"/>
      <c r="L1114" s="98"/>
      <c r="M1114" s="98"/>
      <c r="N1114" s="98"/>
      <c r="O1114" s="98"/>
      <c r="P1114" s="98"/>
      <c r="Q1114" s="98"/>
      <c r="R1114" s="99"/>
    </row>
    <row r="1115" spans="1:18" x14ac:dyDescent="0.35">
      <c r="A1115" s="88">
        <f t="shared" si="34"/>
        <v>0</v>
      </c>
      <c r="B1115" s="89"/>
      <c r="C1115" s="90">
        <f t="shared" si="35"/>
        <v>0</v>
      </c>
      <c r="D1115" s="97"/>
      <c r="E1115" s="98"/>
      <c r="F1115" s="98"/>
      <c r="G1115" s="98"/>
      <c r="H1115" s="98"/>
      <c r="I1115" s="98"/>
      <c r="J1115" s="98"/>
      <c r="K1115" s="98"/>
      <c r="L1115" s="98"/>
      <c r="M1115" s="98"/>
      <c r="N1115" s="98"/>
      <c r="O1115" s="98"/>
      <c r="P1115" s="98"/>
      <c r="Q1115" s="98"/>
      <c r="R1115" s="99"/>
    </row>
    <row r="1116" spans="1:18" x14ac:dyDescent="0.35">
      <c r="A1116" s="88">
        <f t="shared" si="34"/>
        <v>0</v>
      </c>
      <c r="B1116" s="89"/>
      <c r="C1116" s="90">
        <f t="shared" si="35"/>
        <v>0</v>
      </c>
      <c r="D1116" s="97"/>
      <c r="E1116" s="98"/>
      <c r="F1116" s="98"/>
      <c r="G1116" s="98"/>
      <c r="H1116" s="98"/>
      <c r="I1116" s="98"/>
      <c r="J1116" s="98"/>
      <c r="K1116" s="98"/>
      <c r="L1116" s="98"/>
      <c r="M1116" s="98"/>
      <c r="N1116" s="98"/>
      <c r="O1116" s="98"/>
      <c r="P1116" s="98"/>
      <c r="Q1116" s="98"/>
      <c r="R1116" s="99"/>
    </row>
    <row r="1117" spans="1:18" x14ac:dyDescent="0.35">
      <c r="A1117" s="88">
        <f t="shared" si="34"/>
        <v>0</v>
      </c>
      <c r="B1117" s="89"/>
      <c r="C1117" s="90">
        <f t="shared" si="35"/>
        <v>0</v>
      </c>
      <c r="D1117" s="97"/>
      <c r="E1117" s="98"/>
      <c r="F1117" s="98"/>
      <c r="G1117" s="98"/>
      <c r="H1117" s="98"/>
      <c r="I1117" s="98"/>
      <c r="J1117" s="98"/>
      <c r="K1117" s="98"/>
      <c r="L1117" s="98"/>
      <c r="M1117" s="98"/>
      <c r="N1117" s="98"/>
      <c r="O1117" s="98"/>
      <c r="P1117" s="98"/>
      <c r="Q1117" s="98"/>
      <c r="R1117" s="99"/>
    </row>
    <row r="1118" spans="1:18" x14ac:dyDescent="0.35">
      <c r="A1118" s="88">
        <f t="shared" si="34"/>
        <v>0</v>
      </c>
      <c r="B1118" s="89"/>
      <c r="C1118" s="90">
        <f t="shared" si="35"/>
        <v>0</v>
      </c>
      <c r="D1118" s="97"/>
      <c r="E1118" s="98"/>
      <c r="F1118" s="98"/>
      <c r="G1118" s="98"/>
      <c r="H1118" s="98"/>
      <c r="I1118" s="98"/>
      <c r="J1118" s="98"/>
      <c r="K1118" s="98"/>
      <c r="L1118" s="98"/>
      <c r="M1118" s="98"/>
      <c r="N1118" s="98"/>
      <c r="O1118" s="98"/>
      <c r="P1118" s="98"/>
      <c r="Q1118" s="98"/>
      <c r="R1118" s="99"/>
    </row>
    <row r="1119" spans="1:18" x14ac:dyDescent="0.35">
      <c r="A1119" s="88">
        <f t="shared" si="34"/>
        <v>0</v>
      </c>
      <c r="B1119" s="89"/>
      <c r="C1119" s="90">
        <f t="shared" si="35"/>
        <v>0</v>
      </c>
      <c r="D1119" s="97"/>
      <c r="E1119" s="98"/>
      <c r="F1119" s="98"/>
      <c r="G1119" s="98"/>
      <c r="H1119" s="98"/>
      <c r="I1119" s="98"/>
      <c r="J1119" s="98"/>
      <c r="K1119" s="98"/>
      <c r="L1119" s="98"/>
      <c r="M1119" s="98"/>
      <c r="N1119" s="98"/>
      <c r="O1119" s="98"/>
      <c r="P1119" s="98"/>
      <c r="Q1119" s="98"/>
      <c r="R1119" s="99"/>
    </row>
    <row r="1120" spans="1:18" x14ac:dyDescent="0.35">
      <c r="A1120" s="88">
        <f t="shared" si="34"/>
        <v>0</v>
      </c>
      <c r="B1120" s="89"/>
      <c r="C1120" s="90">
        <f t="shared" si="35"/>
        <v>0</v>
      </c>
      <c r="D1120" s="97"/>
      <c r="E1120" s="98"/>
      <c r="F1120" s="98"/>
      <c r="G1120" s="98"/>
      <c r="H1120" s="98"/>
      <c r="I1120" s="98"/>
      <c r="J1120" s="98"/>
      <c r="K1120" s="98"/>
      <c r="L1120" s="98"/>
      <c r="M1120" s="98"/>
      <c r="N1120" s="98"/>
      <c r="O1120" s="98"/>
      <c r="P1120" s="98"/>
      <c r="Q1120" s="98"/>
      <c r="R1120" s="99"/>
    </row>
    <row r="1121" spans="1:18" x14ac:dyDescent="0.35">
      <c r="A1121" s="88">
        <f t="shared" si="34"/>
        <v>0</v>
      </c>
      <c r="B1121" s="89"/>
      <c r="C1121" s="90">
        <f t="shared" si="35"/>
        <v>0</v>
      </c>
      <c r="D1121" s="97"/>
      <c r="E1121" s="98"/>
      <c r="F1121" s="98"/>
      <c r="G1121" s="98"/>
      <c r="H1121" s="98"/>
      <c r="I1121" s="98"/>
      <c r="J1121" s="98"/>
      <c r="K1121" s="98"/>
      <c r="L1121" s="98"/>
      <c r="M1121" s="98"/>
      <c r="N1121" s="98"/>
      <c r="O1121" s="98"/>
      <c r="P1121" s="98"/>
      <c r="Q1121" s="98"/>
      <c r="R1121" s="99"/>
    </row>
    <row r="1122" spans="1:18" x14ac:dyDescent="0.35">
      <c r="A1122" s="88">
        <f t="shared" si="34"/>
        <v>0</v>
      </c>
      <c r="B1122" s="89"/>
      <c r="C1122" s="90">
        <f t="shared" si="35"/>
        <v>0</v>
      </c>
      <c r="D1122" s="97"/>
      <c r="E1122" s="98"/>
      <c r="F1122" s="98"/>
      <c r="G1122" s="98"/>
      <c r="H1122" s="98"/>
      <c r="I1122" s="98"/>
      <c r="J1122" s="98"/>
      <c r="K1122" s="98"/>
      <c r="L1122" s="98"/>
      <c r="M1122" s="98"/>
      <c r="N1122" s="98"/>
      <c r="O1122" s="98"/>
      <c r="P1122" s="98"/>
      <c r="Q1122" s="98"/>
      <c r="R1122" s="99"/>
    </row>
    <row r="1123" spans="1:18" x14ac:dyDescent="0.35">
      <c r="A1123" s="88">
        <f t="shared" si="34"/>
        <v>0</v>
      </c>
      <c r="B1123" s="89"/>
      <c r="C1123" s="90">
        <f t="shared" si="35"/>
        <v>0</v>
      </c>
      <c r="D1123" s="97"/>
      <c r="E1123" s="98"/>
      <c r="F1123" s="98"/>
      <c r="G1123" s="98"/>
      <c r="H1123" s="98"/>
      <c r="I1123" s="98"/>
      <c r="J1123" s="98"/>
      <c r="K1123" s="98"/>
      <c r="L1123" s="98"/>
      <c r="M1123" s="98"/>
      <c r="N1123" s="98"/>
      <c r="O1123" s="98"/>
      <c r="P1123" s="98"/>
      <c r="Q1123" s="98"/>
      <c r="R1123" s="99"/>
    </row>
    <row r="1124" spans="1:18" x14ac:dyDescent="0.35">
      <c r="A1124" s="88">
        <f t="shared" si="34"/>
        <v>0</v>
      </c>
      <c r="B1124" s="89"/>
      <c r="C1124" s="90">
        <f t="shared" si="35"/>
        <v>0</v>
      </c>
      <c r="D1124" s="97"/>
      <c r="E1124" s="98"/>
      <c r="F1124" s="98"/>
      <c r="G1124" s="98"/>
      <c r="H1124" s="98"/>
      <c r="I1124" s="98"/>
      <c r="J1124" s="98"/>
      <c r="K1124" s="98"/>
      <c r="L1124" s="98"/>
      <c r="M1124" s="98"/>
      <c r="N1124" s="98"/>
      <c r="O1124" s="98"/>
      <c r="P1124" s="98"/>
      <c r="Q1124" s="98"/>
      <c r="R1124" s="99"/>
    </row>
    <row r="1125" spans="1:18" x14ac:dyDescent="0.35">
      <c r="A1125" s="88">
        <f t="shared" si="34"/>
        <v>0</v>
      </c>
      <c r="B1125" s="89"/>
      <c r="C1125" s="90">
        <f t="shared" si="35"/>
        <v>0</v>
      </c>
      <c r="D1125" s="97"/>
      <c r="E1125" s="98"/>
      <c r="F1125" s="98"/>
      <c r="G1125" s="98"/>
      <c r="H1125" s="98"/>
      <c r="I1125" s="98"/>
      <c r="J1125" s="98"/>
      <c r="K1125" s="98"/>
      <c r="L1125" s="98"/>
      <c r="M1125" s="98"/>
      <c r="N1125" s="98"/>
      <c r="O1125" s="98"/>
      <c r="P1125" s="98"/>
      <c r="Q1125" s="98"/>
      <c r="R1125" s="99"/>
    </row>
    <row r="1126" spans="1:18" x14ac:dyDescent="0.35">
      <c r="A1126" s="88">
        <f t="shared" si="34"/>
        <v>0</v>
      </c>
      <c r="B1126" s="89"/>
      <c r="C1126" s="90">
        <f t="shared" si="35"/>
        <v>0</v>
      </c>
      <c r="D1126" s="97"/>
      <c r="E1126" s="98"/>
      <c r="F1126" s="98"/>
      <c r="G1126" s="98"/>
      <c r="H1126" s="98"/>
      <c r="I1126" s="98"/>
      <c r="J1126" s="98"/>
      <c r="K1126" s="98"/>
      <c r="L1126" s="98"/>
      <c r="M1126" s="98"/>
      <c r="N1126" s="98"/>
      <c r="O1126" s="98"/>
      <c r="P1126" s="98"/>
      <c r="Q1126" s="98"/>
      <c r="R1126" s="99"/>
    </row>
    <row r="1127" spans="1:18" x14ac:dyDescent="0.35">
      <c r="A1127" s="88">
        <f t="shared" si="34"/>
        <v>0</v>
      </c>
      <c r="B1127" s="89"/>
      <c r="C1127" s="90">
        <f t="shared" si="35"/>
        <v>0</v>
      </c>
      <c r="D1127" s="97"/>
      <c r="E1127" s="98"/>
      <c r="F1127" s="98"/>
      <c r="G1127" s="98"/>
      <c r="H1127" s="98"/>
      <c r="I1127" s="98"/>
      <c r="J1127" s="98"/>
      <c r="K1127" s="98"/>
      <c r="L1127" s="98"/>
      <c r="M1127" s="98"/>
      <c r="N1127" s="98"/>
      <c r="O1127" s="98"/>
      <c r="P1127" s="98"/>
      <c r="Q1127" s="98"/>
      <c r="R1127" s="99"/>
    </row>
    <row r="1128" spans="1:18" x14ac:dyDescent="0.35">
      <c r="A1128" s="88">
        <f t="shared" si="34"/>
        <v>0</v>
      </c>
      <c r="B1128" s="89"/>
      <c r="C1128" s="90">
        <f t="shared" si="35"/>
        <v>0</v>
      </c>
      <c r="D1128" s="97"/>
      <c r="E1128" s="98"/>
      <c r="F1128" s="98"/>
      <c r="G1128" s="98"/>
      <c r="H1128" s="98"/>
      <c r="I1128" s="98"/>
      <c r="J1128" s="98"/>
      <c r="K1128" s="98"/>
      <c r="L1128" s="98"/>
      <c r="M1128" s="98"/>
      <c r="N1128" s="98"/>
      <c r="O1128" s="98"/>
      <c r="P1128" s="98"/>
      <c r="Q1128" s="98"/>
      <c r="R1128" s="99"/>
    </row>
    <row r="1129" spans="1:18" x14ac:dyDescent="0.35">
      <c r="A1129" s="88">
        <f t="shared" si="34"/>
        <v>0</v>
      </c>
      <c r="B1129" s="89"/>
      <c r="C1129" s="90">
        <f t="shared" si="35"/>
        <v>0</v>
      </c>
      <c r="D1129" s="97"/>
      <c r="E1129" s="98"/>
      <c r="F1129" s="98"/>
      <c r="G1129" s="98"/>
      <c r="H1129" s="98"/>
      <c r="I1129" s="98"/>
      <c r="J1129" s="98"/>
      <c r="K1129" s="98"/>
      <c r="L1129" s="98"/>
      <c r="M1129" s="98"/>
      <c r="N1129" s="98"/>
      <c r="O1129" s="98"/>
      <c r="P1129" s="98"/>
      <c r="Q1129" s="98"/>
      <c r="R1129" s="99"/>
    </row>
    <row r="1130" spans="1:18" x14ac:dyDescent="0.35">
      <c r="A1130" s="88">
        <f t="shared" si="34"/>
        <v>0</v>
      </c>
      <c r="B1130" s="89"/>
      <c r="C1130" s="90">
        <f t="shared" si="35"/>
        <v>0</v>
      </c>
      <c r="D1130" s="97"/>
      <c r="E1130" s="98"/>
      <c r="F1130" s="98"/>
      <c r="G1130" s="98"/>
      <c r="H1130" s="98"/>
      <c r="I1130" s="98"/>
      <c r="J1130" s="98"/>
      <c r="K1130" s="98"/>
      <c r="L1130" s="98"/>
      <c r="M1130" s="98"/>
      <c r="N1130" s="98"/>
      <c r="O1130" s="98"/>
      <c r="P1130" s="98"/>
      <c r="Q1130" s="98"/>
      <c r="R1130" s="99"/>
    </row>
    <row r="1131" spans="1:18" x14ac:dyDescent="0.35">
      <c r="A1131" s="88">
        <f t="shared" si="34"/>
        <v>0</v>
      </c>
      <c r="B1131" s="89"/>
      <c r="C1131" s="90">
        <f t="shared" si="35"/>
        <v>0</v>
      </c>
      <c r="D1131" s="97"/>
      <c r="E1131" s="98"/>
      <c r="F1131" s="98"/>
      <c r="G1131" s="98"/>
      <c r="H1131" s="98"/>
      <c r="I1131" s="98"/>
      <c r="J1131" s="98"/>
      <c r="K1131" s="98"/>
      <c r="L1131" s="98"/>
      <c r="M1131" s="98"/>
      <c r="N1131" s="98"/>
      <c r="O1131" s="98"/>
      <c r="P1131" s="98"/>
      <c r="Q1131" s="98"/>
      <c r="R1131" s="99"/>
    </row>
    <row r="1132" spans="1:18" x14ac:dyDescent="0.35">
      <c r="A1132" s="88">
        <f t="shared" si="34"/>
        <v>0</v>
      </c>
      <c r="B1132" s="89"/>
      <c r="C1132" s="90">
        <f t="shared" si="35"/>
        <v>0</v>
      </c>
      <c r="D1132" s="97"/>
      <c r="E1132" s="98"/>
      <c r="F1132" s="98"/>
      <c r="G1132" s="98"/>
      <c r="H1132" s="98"/>
      <c r="I1132" s="98"/>
      <c r="J1132" s="98"/>
      <c r="K1132" s="98"/>
      <c r="L1132" s="98"/>
      <c r="M1132" s="98"/>
      <c r="N1132" s="98"/>
      <c r="O1132" s="98"/>
      <c r="P1132" s="98"/>
      <c r="Q1132" s="98"/>
      <c r="R1132" s="99"/>
    </row>
    <row r="1133" spans="1:18" x14ac:dyDescent="0.35">
      <c r="A1133" s="88">
        <f t="shared" si="34"/>
        <v>0</v>
      </c>
      <c r="B1133" s="89"/>
      <c r="C1133" s="90">
        <f t="shared" si="35"/>
        <v>0</v>
      </c>
      <c r="D1133" s="97"/>
      <c r="E1133" s="98"/>
      <c r="F1133" s="98"/>
      <c r="G1133" s="98"/>
      <c r="H1133" s="98"/>
      <c r="I1133" s="98"/>
      <c r="J1133" s="98"/>
      <c r="K1133" s="98"/>
      <c r="L1133" s="98"/>
      <c r="M1133" s="98"/>
      <c r="N1133" s="98"/>
      <c r="O1133" s="98"/>
      <c r="P1133" s="98"/>
      <c r="Q1133" s="98"/>
      <c r="R1133" s="99"/>
    </row>
    <row r="1134" spans="1:18" x14ac:dyDescent="0.35">
      <c r="A1134" s="88">
        <f t="shared" si="34"/>
        <v>0</v>
      </c>
      <c r="B1134" s="89"/>
      <c r="C1134" s="90">
        <f t="shared" si="35"/>
        <v>0</v>
      </c>
      <c r="D1134" s="97"/>
      <c r="E1134" s="98"/>
      <c r="F1134" s="98"/>
      <c r="G1134" s="98"/>
      <c r="H1134" s="98"/>
      <c r="I1134" s="98"/>
      <c r="J1134" s="98"/>
      <c r="K1134" s="98"/>
      <c r="L1134" s="98"/>
      <c r="M1134" s="98"/>
      <c r="N1134" s="98"/>
      <c r="O1134" s="98"/>
      <c r="P1134" s="98"/>
      <c r="Q1134" s="98"/>
      <c r="R1134" s="99"/>
    </row>
    <row r="1135" spans="1:18" x14ac:dyDescent="0.35">
      <c r="A1135" s="88">
        <f t="shared" si="34"/>
        <v>0</v>
      </c>
      <c r="B1135" s="89"/>
      <c r="C1135" s="90">
        <f t="shared" si="35"/>
        <v>0</v>
      </c>
      <c r="D1135" s="97"/>
      <c r="E1135" s="98"/>
      <c r="F1135" s="98"/>
      <c r="G1135" s="98"/>
      <c r="H1135" s="98"/>
      <c r="I1135" s="98"/>
      <c r="J1135" s="98"/>
      <c r="K1135" s="98"/>
      <c r="L1135" s="98"/>
      <c r="M1135" s="98"/>
      <c r="N1135" s="98"/>
      <c r="O1135" s="98"/>
      <c r="P1135" s="98"/>
      <c r="Q1135" s="98"/>
      <c r="R1135" s="99"/>
    </row>
    <row r="1136" spans="1:18" x14ac:dyDescent="0.35">
      <c r="A1136" s="88">
        <f t="shared" si="34"/>
        <v>0</v>
      </c>
      <c r="B1136" s="89"/>
      <c r="C1136" s="90">
        <f t="shared" si="35"/>
        <v>0</v>
      </c>
      <c r="D1136" s="97"/>
      <c r="E1136" s="98"/>
      <c r="F1136" s="98"/>
      <c r="G1136" s="98"/>
      <c r="H1136" s="98"/>
      <c r="I1136" s="98"/>
      <c r="J1136" s="98"/>
      <c r="K1136" s="98"/>
      <c r="L1136" s="98"/>
      <c r="M1136" s="98"/>
      <c r="N1136" s="98"/>
      <c r="O1136" s="98"/>
      <c r="P1136" s="98"/>
      <c r="Q1136" s="98"/>
      <c r="R1136" s="99"/>
    </row>
    <row r="1137" spans="1:18" x14ac:dyDescent="0.35">
      <c r="A1137" s="88">
        <f t="shared" si="34"/>
        <v>0</v>
      </c>
      <c r="B1137" s="89"/>
      <c r="C1137" s="90">
        <f t="shared" si="35"/>
        <v>0</v>
      </c>
      <c r="D1137" s="97"/>
      <c r="E1137" s="98"/>
      <c r="F1137" s="98"/>
      <c r="G1137" s="98"/>
      <c r="H1137" s="98"/>
      <c r="I1137" s="98"/>
      <c r="J1137" s="98"/>
      <c r="K1137" s="98"/>
      <c r="L1137" s="98"/>
      <c r="M1137" s="98"/>
      <c r="N1137" s="98"/>
      <c r="O1137" s="98"/>
      <c r="P1137" s="98"/>
      <c r="Q1137" s="98"/>
      <c r="R1137" s="99"/>
    </row>
    <row r="1138" spans="1:18" x14ac:dyDescent="0.35">
      <c r="A1138" s="88">
        <f t="shared" si="34"/>
        <v>0</v>
      </c>
      <c r="B1138" s="89"/>
      <c r="C1138" s="90">
        <f t="shared" si="35"/>
        <v>0</v>
      </c>
      <c r="D1138" s="97"/>
      <c r="E1138" s="98"/>
      <c r="F1138" s="98"/>
      <c r="G1138" s="98"/>
      <c r="H1138" s="98"/>
      <c r="I1138" s="98"/>
      <c r="J1138" s="98"/>
      <c r="K1138" s="98"/>
      <c r="L1138" s="98"/>
      <c r="M1138" s="98"/>
      <c r="N1138" s="98"/>
      <c r="O1138" s="98"/>
      <c r="P1138" s="98"/>
      <c r="Q1138" s="98"/>
      <c r="R1138" s="99"/>
    </row>
    <row r="1139" spans="1:18" x14ac:dyDescent="0.35">
      <c r="A1139" s="88">
        <f t="shared" si="34"/>
        <v>0</v>
      </c>
      <c r="B1139" s="89"/>
      <c r="C1139" s="90">
        <f t="shared" si="35"/>
        <v>0</v>
      </c>
      <c r="D1139" s="97"/>
      <c r="E1139" s="98"/>
      <c r="F1139" s="98"/>
      <c r="G1139" s="98"/>
      <c r="H1139" s="98"/>
      <c r="I1139" s="98"/>
      <c r="J1139" s="98"/>
      <c r="K1139" s="98"/>
      <c r="L1139" s="98"/>
      <c r="M1139" s="98"/>
      <c r="N1139" s="98"/>
      <c r="O1139" s="98"/>
      <c r="P1139" s="98"/>
      <c r="Q1139" s="98"/>
      <c r="R1139" s="99"/>
    </row>
    <row r="1140" spans="1:18" x14ac:dyDescent="0.35">
      <c r="A1140" s="88">
        <f t="shared" si="34"/>
        <v>0</v>
      </c>
      <c r="B1140" s="89"/>
      <c r="C1140" s="90">
        <f t="shared" si="35"/>
        <v>0</v>
      </c>
      <c r="D1140" s="97"/>
      <c r="E1140" s="98"/>
      <c r="F1140" s="98"/>
      <c r="G1140" s="98"/>
      <c r="H1140" s="98"/>
      <c r="I1140" s="98"/>
      <c r="J1140" s="98"/>
      <c r="K1140" s="98"/>
      <c r="L1140" s="98"/>
      <c r="M1140" s="98"/>
      <c r="N1140" s="98"/>
      <c r="O1140" s="98"/>
      <c r="P1140" s="98"/>
      <c r="Q1140" s="98"/>
      <c r="R1140" s="99"/>
    </row>
    <row r="1141" spans="1:18" x14ac:dyDescent="0.35">
      <c r="A1141" s="88">
        <f t="shared" si="34"/>
        <v>0</v>
      </c>
      <c r="B1141" s="89"/>
      <c r="C1141" s="90">
        <f t="shared" si="35"/>
        <v>0</v>
      </c>
      <c r="D1141" s="97"/>
      <c r="E1141" s="98"/>
      <c r="F1141" s="98"/>
      <c r="G1141" s="98"/>
      <c r="H1141" s="98"/>
      <c r="I1141" s="98"/>
      <c r="J1141" s="98"/>
      <c r="K1141" s="98"/>
      <c r="L1141" s="98"/>
      <c r="M1141" s="98"/>
      <c r="N1141" s="98"/>
      <c r="O1141" s="98"/>
      <c r="P1141" s="98"/>
      <c r="Q1141" s="98"/>
      <c r="R1141" s="99"/>
    </row>
    <row r="1142" spans="1:18" x14ac:dyDescent="0.35">
      <c r="A1142" s="88">
        <f t="shared" si="34"/>
        <v>0</v>
      </c>
      <c r="B1142" s="89"/>
      <c r="C1142" s="90">
        <f t="shared" si="35"/>
        <v>0</v>
      </c>
      <c r="D1142" s="97"/>
      <c r="E1142" s="98"/>
      <c r="F1142" s="98"/>
      <c r="G1142" s="98"/>
      <c r="H1142" s="98"/>
      <c r="I1142" s="98"/>
      <c r="J1142" s="98"/>
      <c r="K1142" s="98"/>
      <c r="L1142" s="98"/>
      <c r="M1142" s="98"/>
      <c r="N1142" s="98"/>
      <c r="O1142" s="98"/>
      <c r="P1142" s="98"/>
      <c r="Q1142" s="98"/>
      <c r="R1142" s="99"/>
    </row>
    <row r="1143" spans="1:18" x14ac:dyDescent="0.35">
      <c r="A1143" s="88">
        <f t="shared" si="34"/>
        <v>0</v>
      </c>
      <c r="B1143" s="89"/>
      <c r="C1143" s="90">
        <f t="shared" si="35"/>
        <v>0</v>
      </c>
      <c r="D1143" s="97"/>
      <c r="E1143" s="98"/>
      <c r="F1143" s="98"/>
      <c r="G1143" s="98"/>
      <c r="H1143" s="98"/>
      <c r="I1143" s="98"/>
      <c r="J1143" s="98"/>
      <c r="K1143" s="98"/>
      <c r="L1143" s="98"/>
      <c r="M1143" s="98"/>
      <c r="N1143" s="98"/>
      <c r="O1143" s="98"/>
      <c r="P1143" s="98"/>
      <c r="Q1143" s="98"/>
      <c r="R1143" s="99"/>
    </row>
    <row r="1144" spans="1:18" x14ac:dyDescent="0.35">
      <c r="A1144" s="88">
        <f t="shared" si="34"/>
        <v>0</v>
      </c>
      <c r="B1144" s="89"/>
      <c r="C1144" s="90">
        <f t="shared" si="35"/>
        <v>0</v>
      </c>
      <c r="D1144" s="97"/>
      <c r="E1144" s="98"/>
      <c r="F1144" s="98"/>
      <c r="G1144" s="98"/>
      <c r="H1144" s="98"/>
      <c r="I1144" s="98"/>
      <c r="J1144" s="98"/>
      <c r="K1144" s="98"/>
      <c r="L1144" s="98"/>
      <c r="M1144" s="98"/>
      <c r="N1144" s="98"/>
      <c r="O1144" s="98"/>
      <c r="P1144" s="98"/>
      <c r="Q1144" s="98"/>
      <c r="R1144" s="99"/>
    </row>
    <row r="1145" spans="1:18" x14ac:dyDescent="0.35">
      <c r="A1145" s="88">
        <f t="shared" si="34"/>
        <v>0</v>
      </c>
      <c r="B1145" s="89"/>
      <c r="C1145" s="90">
        <f t="shared" si="35"/>
        <v>0</v>
      </c>
      <c r="D1145" s="97"/>
      <c r="E1145" s="98"/>
      <c r="F1145" s="98"/>
      <c r="G1145" s="98"/>
      <c r="H1145" s="98"/>
      <c r="I1145" s="98"/>
      <c r="J1145" s="98"/>
      <c r="K1145" s="98"/>
      <c r="L1145" s="98"/>
      <c r="M1145" s="98"/>
      <c r="N1145" s="98"/>
      <c r="O1145" s="98"/>
      <c r="P1145" s="98"/>
      <c r="Q1145" s="98"/>
      <c r="R1145" s="99"/>
    </row>
    <row r="1146" spans="1:18" x14ac:dyDescent="0.35">
      <c r="A1146" s="88">
        <f t="shared" si="34"/>
        <v>0</v>
      </c>
      <c r="B1146" s="89"/>
      <c r="C1146" s="90">
        <f t="shared" si="35"/>
        <v>0</v>
      </c>
      <c r="D1146" s="97"/>
      <c r="E1146" s="98"/>
      <c r="F1146" s="98"/>
      <c r="G1146" s="98"/>
      <c r="H1146" s="98"/>
      <c r="I1146" s="98"/>
      <c r="J1146" s="98"/>
      <c r="K1146" s="98"/>
      <c r="L1146" s="98"/>
      <c r="M1146" s="98"/>
      <c r="N1146" s="98"/>
      <c r="O1146" s="98"/>
      <c r="P1146" s="98"/>
      <c r="Q1146" s="98"/>
      <c r="R1146" s="99"/>
    </row>
    <row r="1147" spans="1:18" x14ac:dyDescent="0.35">
      <c r="A1147" s="88">
        <f t="shared" si="34"/>
        <v>0</v>
      </c>
      <c r="B1147" s="89"/>
      <c r="C1147" s="90">
        <f t="shared" si="35"/>
        <v>0</v>
      </c>
      <c r="D1147" s="97"/>
      <c r="E1147" s="98"/>
      <c r="F1147" s="98"/>
      <c r="G1147" s="98"/>
      <c r="H1147" s="98"/>
      <c r="I1147" s="98"/>
      <c r="J1147" s="98"/>
      <c r="K1147" s="98"/>
      <c r="L1147" s="98"/>
      <c r="M1147" s="98"/>
      <c r="N1147" s="98"/>
      <c r="O1147" s="98"/>
      <c r="P1147" s="98"/>
      <c r="Q1147" s="98"/>
      <c r="R1147" s="99"/>
    </row>
    <row r="1148" spans="1:18" x14ac:dyDescent="0.35">
      <c r="A1148" s="88">
        <f t="shared" si="34"/>
        <v>0</v>
      </c>
      <c r="B1148" s="89"/>
      <c r="C1148" s="90">
        <f t="shared" si="35"/>
        <v>0</v>
      </c>
      <c r="D1148" s="97"/>
      <c r="E1148" s="98"/>
      <c r="F1148" s="98"/>
      <c r="G1148" s="98"/>
      <c r="H1148" s="98"/>
      <c r="I1148" s="98"/>
      <c r="J1148" s="98"/>
      <c r="K1148" s="98"/>
      <c r="L1148" s="98"/>
      <c r="M1148" s="98"/>
      <c r="N1148" s="98"/>
      <c r="O1148" s="98"/>
      <c r="P1148" s="98"/>
      <c r="Q1148" s="98"/>
      <c r="R1148" s="99"/>
    </row>
    <row r="1149" spans="1:18" x14ac:dyDescent="0.35">
      <c r="A1149" s="88">
        <f t="shared" si="34"/>
        <v>0</v>
      </c>
      <c r="B1149" s="89"/>
      <c r="C1149" s="90">
        <f t="shared" si="35"/>
        <v>0</v>
      </c>
      <c r="D1149" s="97"/>
      <c r="E1149" s="98"/>
      <c r="F1149" s="98"/>
      <c r="G1149" s="98"/>
      <c r="H1149" s="98"/>
      <c r="I1149" s="98"/>
      <c r="J1149" s="98"/>
      <c r="K1149" s="98"/>
      <c r="L1149" s="98"/>
      <c r="M1149" s="98"/>
      <c r="N1149" s="98"/>
      <c r="O1149" s="98"/>
      <c r="P1149" s="98"/>
      <c r="Q1149" s="98"/>
      <c r="R1149" s="99"/>
    </row>
    <row r="1150" spans="1:18" x14ac:dyDescent="0.35">
      <c r="A1150" s="88">
        <f t="shared" si="34"/>
        <v>0</v>
      </c>
      <c r="B1150" s="89"/>
      <c r="C1150" s="90">
        <f t="shared" si="35"/>
        <v>0</v>
      </c>
      <c r="D1150" s="97"/>
      <c r="E1150" s="98"/>
      <c r="F1150" s="98"/>
      <c r="G1150" s="98"/>
      <c r="H1150" s="98"/>
      <c r="I1150" s="98"/>
      <c r="J1150" s="98"/>
      <c r="K1150" s="98"/>
      <c r="L1150" s="98"/>
      <c r="M1150" s="98"/>
      <c r="N1150" s="98"/>
      <c r="O1150" s="98"/>
      <c r="P1150" s="98"/>
      <c r="Q1150" s="98"/>
      <c r="R1150" s="99"/>
    </row>
    <row r="1151" spans="1:18" x14ac:dyDescent="0.35">
      <c r="A1151" s="88">
        <f t="shared" si="34"/>
        <v>0</v>
      </c>
      <c r="B1151" s="89"/>
      <c r="C1151" s="90">
        <f t="shared" si="35"/>
        <v>0</v>
      </c>
      <c r="D1151" s="97"/>
      <c r="E1151" s="98"/>
      <c r="F1151" s="98"/>
      <c r="G1151" s="98"/>
      <c r="H1151" s="98"/>
      <c r="I1151" s="98"/>
      <c r="J1151" s="98"/>
      <c r="K1151" s="98"/>
      <c r="L1151" s="98"/>
      <c r="M1151" s="98"/>
      <c r="N1151" s="98"/>
      <c r="O1151" s="98"/>
      <c r="P1151" s="98"/>
      <c r="Q1151" s="98"/>
      <c r="R1151" s="99"/>
    </row>
    <row r="1152" spans="1:18" x14ac:dyDescent="0.35">
      <c r="A1152" s="88">
        <f t="shared" si="34"/>
        <v>0</v>
      </c>
      <c r="B1152" s="89"/>
      <c r="C1152" s="90">
        <f t="shared" si="35"/>
        <v>0</v>
      </c>
      <c r="D1152" s="97"/>
      <c r="E1152" s="98"/>
      <c r="F1152" s="98"/>
      <c r="G1152" s="98"/>
      <c r="H1152" s="98"/>
      <c r="I1152" s="98"/>
      <c r="J1152" s="98"/>
      <c r="K1152" s="98"/>
      <c r="L1152" s="98"/>
      <c r="M1152" s="98"/>
      <c r="N1152" s="98"/>
      <c r="O1152" s="98"/>
      <c r="P1152" s="98"/>
      <c r="Q1152" s="98"/>
      <c r="R1152" s="99"/>
    </row>
    <row r="1153" spans="1:18" x14ac:dyDescent="0.35">
      <c r="A1153" s="88">
        <f t="shared" si="34"/>
        <v>0</v>
      </c>
      <c r="B1153" s="89"/>
      <c r="C1153" s="90">
        <f t="shared" si="35"/>
        <v>0</v>
      </c>
      <c r="D1153" s="97"/>
      <c r="E1153" s="98"/>
      <c r="F1153" s="98"/>
      <c r="G1153" s="98"/>
      <c r="H1153" s="98"/>
      <c r="I1153" s="98"/>
      <c r="J1153" s="98"/>
      <c r="K1153" s="98"/>
      <c r="L1153" s="98"/>
      <c r="M1153" s="98"/>
      <c r="N1153" s="98"/>
      <c r="O1153" s="98"/>
      <c r="P1153" s="98"/>
      <c r="Q1153" s="98"/>
      <c r="R1153" s="99"/>
    </row>
    <row r="1154" spans="1:18" x14ac:dyDescent="0.35">
      <c r="A1154" s="88">
        <f t="shared" si="34"/>
        <v>0</v>
      </c>
      <c r="B1154" s="89"/>
      <c r="C1154" s="90">
        <f t="shared" si="35"/>
        <v>0</v>
      </c>
      <c r="D1154" s="97"/>
      <c r="E1154" s="98"/>
      <c r="F1154" s="98"/>
      <c r="G1154" s="98"/>
      <c r="H1154" s="98"/>
      <c r="I1154" s="98"/>
      <c r="J1154" s="98"/>
      <c r="K1154" s="98"/>
      <c r="L1154" s="98"/>
      <c r="M1154" s="98"/>
      <c r="N1154" s="98"/>
      <c r="O1154" s="98"/>
      <c r="P1154" s="98"/>
      <c r="Q1154" s="98"/>
      <c r="R1154" s="99"/>
    </row>
    <row r="1155" spans="1:18" x14ac:dyDescent="0.35">
      <c r="A1155" s="88">
        <f t="shared" si="34"/>
        <v>0</v>
      </c>
      <c r="B1155" s="89"/>
      <c r="C1155" s="90">
        <f t="shared" si="35"/>
        <v>0</v>
      </c>
      <c r="D1155" s="97"/>
      <c r="E1155" s="98"/>
      <c r="F1155" s="98"/>
      <c r="G1155" s="98"/>
      <c r="H1155" s="98"/>
      <c r="I1155" s="98"/>
      <c r="J1155" s="98"/>
      <c r="K1155" s="98"/>
      <c r="L1155" s="98"/>
      <c r="M1155" s="98"/>
      <c r="N1155" s="98"/>
      <c r="O1155" s="98"/>
      <c r="P1155" s="98"/>
      <c r="Q1155" s="98"/>
      <c r="R1155" s="99"/>
    </row>
    <row r="1156" spans="1:18" x14ac:dyDescent="0.35">
      <c r="A1156" s="88">
        <f t="shared" ref="A1156:A1219" si="36">F1156</f>
        <v>0</v>
      </c>
      <c r="B1156" s="89"/>
      <c r="C1156" s="90">
        <f t="shared" ref="C1156:C1219" si="37">F1156</f>
        <v>0</v>
      </c>
      <c r="D1156" s="97"/>
      <c r="E1156" s="98"/>
      <c r="F1156" s="98"/>
      <c r="G1156" s="98"/>
      <c r="H1156" s="98"/>
      <c r="I1156" s="98"/>
      <c r="J1156" s="98"/>
      <c r="K1156" s="98"/>
      <c r="L1156" s="98"/>
      <c r="M1156" s="98"/>
      <c r="N1156" s="98"/>
      <c r="O1156" s="98"/>
      <c r="P1156" s="98"/>
      <c r="Q1156" s="98"/>
      <c r="R1156" s="99"/>
    </row>
    <row r="1157" spans="1:18" x14ac:dyDescent="0.35">
      <c r="A1157" s="88">
        <f t="shared" si="36"/>
        <v>0</v>
      </c>
      <c r="B1157" s="89"/>
      <c r="C1157" s="90">
        <f t="shared" si="37"/>
        <v>0</v>
      </c>
      <c r="D1157" s="97"/>
      <c r="E1157" s="98"/>
      <c r="F1157" s="98"/>
      <c r="G1157" s="98"/>
      <c r="H1157" s="98"/>
      <c r="I1157" s="98"/>
      <c r="J1157" s="98"/>
      <c r="K1157" s="98"/>
      <c r="L1157" s="98"/>
      <c r="M1157" s="98"/>
      <c r="N1157" s="98"/>
      <c r="O1157" s="98"/>
      <c r="P1157" s="98"/>
      <c r="Q1157" s="98"/>
      <c r="R1157" s="99"/>
    </row>
    <row r="1158" spans="1:18" x14ac:dyDescent="0.35">
      <c r="A1158" s="88">
        <f t="shared" si="36"/>
        <v>0</v>
      </c>
      <c r="B1158" s="89"/>
      <c r="C1158" s="90">
        <f t="shared" si="37"/>
        <v>0</v>
      </c>
      <c r="D1158" s="97"/>
      <c r="E1158" s="98"/>
      <c r="F1158" s="98"/>
      <c r="G1158" s="98"/>
      <c r="H1158" s="98"/>
      <c r="I1158" s="98"/>
      <c r="J1158" s="98"/>
      <c r="K1158" s="98"/>
      <c r="L1158" s="98"/>
      <c r="M1158" s="98"/>
      <c r="N1158" s="98"/>
      <c r="O1158" s="98"/>
      <c r="P1158" s="98"/>
      <c r="Q1158" s="98"/>
      <c r="R1158" s="99"/>
    </row>
    <row r="1159" spans="1:18" x14ac:dyDescent="0.35">
      <c r="A1159" s="88">
        <f t="shared" si="36"/>
        <v>0</v>
      </c>
      <c r="B1159" s="89"/>
      <c r="C1159" s="90">
        <f t="shared" si="37"/>
        <v>0</v>
      </c>
      <c r="D1159" s="97"/>
      <c r="E1159" s="98"/>
      <c r="F1159" s="98"/>
      <c r="G1159" s="98"/>
      <c r="H1159" s="98"/>
      <c r="I1159" s="98"/>
      <c r="J1159" s="98"/>
      <c r="K1159" s="98"/>
      <c r="L1159" s="98"/>
      <c r="M1159" s="98"/>
      <c r="N1159" s="98"/>
      <c r="O1159" s="98"/>
      <c r="P1159" s="98"/>
      <c r="Q1159" s="98"/>
      <c r="R1159" s="99"/>
    </row>
    <row r="1160" spans="1:18" x14ac:dyDescent="0.35">
      <c r="A1160" s="88">
        <f t="shared" si="36"/>
        <v>0</v>
      </c>
      <c r="B1160" s="89"/>
      <c r="C1160" s="90">
        <f t="shared" si="37"/>
        <v>0</v>
      </c>
      <c r="D1160" s="97"/>
      <c r="E1160" s="98"/>
      <c r="F1160" s="98"/>
      <c r="G1160" s="98"/>
      <c r="H1160" s="98"/>
      <c r="I1160" s="98"/>
      <c r="J1160" s="98"/>
      <c r="K1160" s="98"/>
      <c r="L1160" s="98"/>
      <c r="M1160" s="98"/>
      <c r="N1160" s="98"/>
      <c r="O1160" s="98"/>
      <c r="P1160" s="98"/>
      <c r="Q1160" s="98"/>
      <c r="R1160" s="99"/>
    </row>
    <row r="1161" spans="1:18" x14ac:dyDescent="0.35">
      <c r="A1161" s="88">
        <f t="shared" si="36"/>
        <v>0</v>
      </c>
      <c r="B1161" s="89"/>
      <c r="C1161" s="90">
        <f t="shared" si="37"/>
        <v>0</v>
      </c>
      <c r="D1161" s="97"/>
      <c r="E1161" s="98"/>
      <c r="F1161" s="98"/>
      <c r="G1161" s="98"/>
      <c r="H1161" s="98"/>
      <c r="I1161" s="98"/>
      <c r="J1161" s="98"/>
      <c r="K1161" s="98"/>
      <c r="L1161" s="98"/>
      <c r="M1161" s="98"/>
      <c r="N1161" s="98"/>
      <c r="O1161" s="98"/>
      <c r="P1161" s="98"/>
      <c r="Q1161" s="98"/>
      <c r="R1161" s="99"/>
    </row>
    <row r="1162" spans="1:18" x14ac:dyDescent="0.35">
      <c r="A1162" s="88">
        <f t="shared" si="36"/>
        <v>0</v>
      </c>
      <c r="B1162" s="89"/>
      <c r="C1162" s="90">
        <f t="shared" si="37"/>
        <v>0</v>
      </c>
      <c r="D1162" s="97"/>
      <c r="E1162" s="98"/>
      <c r="F1162" s="98"/>
      <c r="G1162" s="98"/>
      <c r="H1162" s="98"/>
      <c r="I1162" s="98"/>
      <c r="J1162" s="98"/>
      <c r="K1162" s="98"/>
      <c r="L1162" s="98"/>
      <c r="M1162" s="98"/>
      <c r="N1162" s="98"/>
      <c r="O1162" s="98"/>
      <c r="P1162" s="98"/>
      <c r="Q1162" s="98"/>
      <c r="R1162" s="99"/>
    </row>
    <row r="1163" spans="1:18" x14ac:dyDescent="0.35">
      <c r="A1163" s="88">
        <f t="shared" si="36"/>
        <v>0</v>
      </c>
      <c r="B1163" s="89"/>
      <c r="C1163" s="90">
        <f t="shared" si="37"/>
        <v>0</v>
      </c>
      <c r="D1163" s="97"/>
      <c r="E1163" s="98"/>
      <c r="F1163" s="98"/>
      <c r="G1163" s="98"/>
      <c r="H1163" s="98"/>
      <c r="I1163" s="98"/>
      <c r="J1163" s="98"/>
      <c r="K1163" s="98"/>
      <c r="L1163" s="98"/>
      <c r="M1163" s="98"/>
      <c r="N1163" s="98"/>
      <c r="O1163" s="98"/>
      <c r="P1163" s="98"/>
      <c r="Q1163" s="98"/>
      <c r="R1163" s="99"/>
    </row>
    <row r="1164" spans="1:18" x14ac:dyDescent="0.35">
      <c r="A1164" s="88">
        <f t="shared" si="36"/>
        <v>0</v>
      </c>
      <c r="B1164" s="89"/>
      <c r="C1164" s="90">
        <f t="shared" si="37"/>
        <v>0</v>
      </c>
      <c r="D1164" s="97"/>
      <c r="E1164" s="98"/>
      <c r="F1164" s="98"/>
      <c r="G1164" s="98"/>
      <c r="H1164" s="98"/>
      <c r="I1164" s="98"/>
      <c r="J1164" s="98"/>
      <c r="K1164" s="98"/>
      <c r="L1164" s="98"/>
      <c r="M1164" s="98"/>
      <c r="N1164" s="98"/>
      <c r="O1164" s="98"/>
      <c r="P1164" s="98"/>
      <c r="Q1164" s="98"/>
      <c r="R1164" s="99"/>
    </row>
    <row r="1165" spans="1:18" x14ac:dyDescent="0.35">
      <c r="A1165" s="88">
        <f t="shared" si="36"/>
        <v>0</v>
      </c>
      <c r="B1165" s="89"/>
      <c r="C1165" s="90">
        <f t="shared" si="37"/>
        <v>0</v>
      </c>
      <c r="D1165" s="97"/>
      <c r="E1165" s="98"/>
      <c r="F1165" s="98"/>
      <c r="G1165" s="98"/>
      <c r="H1165" s="98"/>
      <c r="I1165" s="98"/>
      <c r="J1165" s="98"/>
      <c r="K1165" s="98"/>
      <c r="L1165" s="98"/>
      <c r="M1165" s="98"/>
      <c r="N1165" s="98"/>
      <c r="O1165" s="98"/>
      <c r="P1165" s="98"/>
      <c r="Q1165" s="98"/>
      <c r="R1165" s="99"/>
    </row>
    <row r="1166" spans="1:18" x14ac:dyDescent="0.35">
      <c r="A1166" s="88">
        <f t="shared" si="36"/>
        <v>0</v>
      </c>
      <c r="B1166" s="89"/>
      <c r="C1166" s="90">
        <f t="shared" si="37"/>
        <v>0</v>
      </c>
      <c r="D1166" s="97"/>
      <c r="E1166" s="98"/>
      <c r="F1166" s="98"/>
      <c r="G1166" s="98"/>
      <c r="H1166" s="98"/>
      <c r="I1166" s="98"/>
      <c r="J1166" s="98"/>
      <c r="K1166" s="98"/>
      <c r="L1166" s="98"/>
      <c r="M1166" s="98"/>
      <c r="N1166" s="98"/>
      <c r="O1166" s="98"/>
      <c r="P1166" s="98"/>
      <c r="Q1166" s="98"/>
      <c r="R1166" s="99"/>
    </row>
    <row r="1167" spans="1:18" x14ac:dyDescent="0.35">
      <c r="A1167" s="88">
        <f t="shared" si="36"/>
        <v>0</v>
      </c>
      <c r="B1167" s="89"/>
      <c r="C1167" s="90">
        <f t="shared" si="37"/>
        <v>0</v>
      </c>
      <c r="D1167" s="97"/>
      <c r="E1167" s="98"/>
      <c r="F1167" s="98"/>
      <c r="G1167" s="98"/>
      <c r="H1167" s="98"/>
      <c r="I1167" s="98"/>
      <c r="J1167" s="98"/>
      <c r="K1167" s="98"/>
      <c r="L1167" s="98"/>
      <c r="M1167" s="98"/>
      <c r="N1167" s="98"/>
      <c r="O1167" s="98"/>
      <c r="P1167" s="98"/>
      <c r="Q1167" s="98"/>
      <c r="R1167" s="99"/>
    </row>
    <row r="1168" spans="1:18" x14ac:dyDescent="0.35">
      <c r="A1168" s="88">
        <f t="shared" si="36"/>
        <v>0</v>
      </c>
      <c r="B1168" s="89"/>
      <c r="C1168" s="90">
        <f t="shared" si="37"/>
        <v>0</v>
      </c>
      <c r="D1168" s="97"/>
      <c r="E1168" s="98"/>
      <c r="F1168" s="98"/>
      <c r="G1168" s="98"/>
      <c r="H1168" s="98"/>
      <c r="I1168" s="98"/>
      <c r="J1168" s="98"/>
      <c r="K1168" s="98"/>
      <c r="L1168" s="98"/>
      <c r="M1168" s="98"/>
      <c r="N1168" s="98"/>
      <c r="O1168" s="98"/>
      <c r="P1168" s="98"/>
      <c r="Q1168" s="98"/>
      <c r="R1168" s="99"/>
    </row>
    <row r="1169" spans="1:18" x14ac:dyDescent="0.35">
      <c r="A1169" s="88">
        <f t="shared" si="36"/>
        <v>0</v>
      </c>
      <c r="B1169" s="89"/>
      <c r="C1169" s="90">
        <f t="shared" si="37"/>
        <v>0</v>
      </c>
      <c r="D1169" s="97"/>
      <c r="E1169" s="98"/>
      <c r="F1169" s="98"/>
      <c r="G1169" s="98"/>
      <c r="H1169" s="98"/>
      <c r="I1169" s="98"/>
      <c r="J1169" s="98"/>
      <c r="K1169" s="98"/>
      <c r="L1169" s="98"/>
      <c r="M1169" s="98"/>
      <c r="N1169" s="98"/>
      <c r="O1169" s="98"/>
      <c r="P1169" s="98"/>
      <c r="Q1169" s="98"/>
      <c r="R1169" s="99"/>
    </row>
    <row r="1170" spans="1:18" x14ac:dyDescent="0.35">
      <c r="A1170" s="88">
        <f t="shared" si="36"/>
        <v>0</v>
      </c>
      <c r="B1170" s="89"/>
      <c r="C1170" s="90">
        <f t="shared" si="37"/>
        <v>0</v>
      </c>
      <c r="D1170" s="97"/>
      <c r="E1170" s="98"/>
      <c r="F1170" s="98"/>
      <c r="G1170" s="98"/>
      <c r="H1170" s="98"/>
      <c r="I1170" s="98"/>
      <c r="J1170" s="98"/>
      <c r="K1170" s="98"/>
      <c r="L1170" s="98"/>
      <c r="M1170" s="98"/>
      <c r="N1170" s="98"/>
      <c r="O1170" s="98"/>
      <c r="P1170" s="98"/>
      <c r="Q1170" s="98"/>
      <c r="R1170" s="99"/>
    </row>
    <row r="1171" spans="1:18" x14ac:dyDescent="0.35">
      <c r="A1171" s="88">
        <f t="shared" si="36"/>
        <v>0</v>
      </c>
      <c r="B1171" s="89"/>
      <c r="C1171" s="90">
        <f t="shared" si="37"/>
        <v>0</v>
      </c>
      <c r="D1171" s="97"/>
      <c r="E1171" s="98"/>
      <c r="F1171" s="98"/>
      <c r="G1171" s="98"/>
      <c r="H1171" s="98"/>
      <c r="I1171" s="98"/>
      <c r="J1171" s="98"/>
      <c r="K1171" s="98"/>
      <c r="L1171" s="98"/>
      <c r="M1171" s="98"/>
      <c r="N1171" s="98"/>
      <c r="O1171" s="98"/>
      <c r="P1171" s="98"/>
      <c r="Q1171" s="98"/>
      <c r="R1171" s="99"/>
    </row>
    <row r="1172" spans="1:18" x14ac:dyDescent="0.35">
      <c r="A1172" s="88">
        <f t="shared" si="36"/>
        <v>0</v>
      </c>
      <c r="B1172" s="89"/>
      <c r="C1172" s="90">
        <f t="shared" si="37"/>
        <v>0</v>
      </c>
      <c r="D1172" s="97"/>
      <c r="E1172" s="98"/>
      <c r="F1172" s="98"/>
      <c r="G1172" s="98"/>
      <c r="H1172" s="98"/>
      <c r="I1172" s="98"/>
      <c r="J1172" s="98"/>
      <c r="K1172" s="98"/>
      <c r="L1172" s="98"/>
      <c r="M1172" s="98"/>
      <c r="N1172" s="98"/>
      <c r="O1172" s="98"/>
      <c r="P1172" s="98"/>
      <c r="Q1172" s="98"/>
      <c r="R1172" s="99"/>
    </row>
    <row r="1173" spans="1:18" x14ac:dyDescent="0.35">
      <c r="A1173" s="88">
        <f t="shared" si="36"/>
        <v>0</v>
      </c>
      <c r="B1173" s="89"/>
      <c r="C1173" s="90">
        <f t="shared" si="37"/>
        <v>0</v>
      </c>
      <c r="D1173" s="97"/>
      <c r="E1173" s="98"/>
      <c r="F1173" s="98"/>
      <c r="G1173" s="98"/>
      <c r="H1173" s="98"/>
      <c r="I1173" s="98"/>
      <c r="J1173" s="98"/>
      <c r="K1173" s="98"/>
      <c r="L1173" s="98"/>
      <c r="M1173" s="98"/>
      <c r="N1173" s="98"/>
      <c r="O1173" s="98"/>
      <c r="P1173" s="98"/>
      <c r="Q1173" s="98"/>
      <c r="R1173" s="99"/>
    </row>
    <row r="1174" spans="1:18" x14ac:dyDescent="0.35">
      <c r="A1174" s="88">
        <f t="shared" si="36"/>
        <v>0</v>
      </c>
      <c r="B1174" s="89"/>
      <c r="C1174" s="90">
        <f t="shared" si="37"/>
        <v>0</v>
      </c>
      <c r="D1174" s="97"/>
      <c r="E1174" s="98"/>
      <c r="F1174" s="98"/>
      <c r="G1174" s="98"/>
      <c r="H1174" s="98"/>
      <c r="I1174" s="98"/>
      <c r="J1174" s="98"/>
      <c r="K1174" s="98"/>
      <c r="L1174" s="98"/>
      <c r="M1174" s="98"/>
      <c r="N1174" s="98"/>
      <c r="O1174" s="98"/>
      <c r="P1174" s="98"/>
      <c r="Q1174" s="98"/>
      <c r="R1174" s="99"/>
    </row>
    <row r="1175" spans="1:18" x14ac:dyDescent="0.35">
      <c r="A1175" s="88">
        <f t="shared" si="36"/>
        <v>0</v>
      </c>
      <c r="B1175" s="89"/>
      <c r="C1175" s="90">
        <f t="shared" si="37"/>
        <v>0</v>
      </c>
      <c r="D1175" s="97"/>
      <c r="E1175" s="98"/>
      <c r="F1175" s="98"/>
      <c r="G1175" s="98"/>
      <c r="H1175" s="98"/>
      <c r="I1175" s="98"/>
      <c r="J1175" s="98"/>
      <c r="K1175" s="98"/>
      <c r="L1175" s="98"/>
      <c r="M1175" s="98"/>
      <c r="N1175" s="98"/>
      <c r="O1175" s="98"/>
      <c r="P1175" s="98"/>
      <c r="Q1175" s="98"/>
      <c r="R1175" s="99"/>
    </row>
    <row r="1176" spans="1:18" x14ac:dyDescent="0.35">
      <c r="A1176" s="88">
        <f t="shared" si="36"/>
        <v>0</v>
      </c>
      <c r="B1176" s="89"/>
      <c r="C1176" s="90">
        <f t="shared" si="37"/>
        <v>0</v>
      </c>
      <c r="D1176" s="97"/>
      <c r="E1176" s="98"/>
      <c r="F1176" s="98"/>
      <c r="G1176" s="98"/>
      <c r="H1176" s="98"/>
      <c r="I1176" s="98"/>
      <c r="J1176" s="98"/>
      <c r="K1176" s="98"/>
      <c r="L1176" s="98"/>
      <c r="M1176" s="98"/>
      <c r="N1176" s="98"/>
      <c r="O1176" s="98"/>
      <c r="P1176" s="98"/>
      <c r="Q1176" s="98"/>
      <c r="R1176" s="99"/>
    </row>
    <row r="1177" spans="1:18" x14ac:dyDescent="0.35">
      <c r="A1177" s="88">
        <f t="shared" si="36"/>
        <v>0</v>
      </c>
      <c r="B1177" s="89"/>
      <c r="C1177" s="90">
        <f t="shared" si="37"/>
        <v>0</v>
      </c>
      <c r="D1177" s="97"/>
      <c r="E1177" s="98"/>
      <c r="F1177" s="98"/>
      <c r="G1177" s="98"/>
      <c r="H1177" s="98"/>
      <c r="I1177" s="98"/>
      <c r="J1177" s="98"/>
      <c r="K1177" s="98"/>
      <c r="L1177" s="98"/>
      <c r="M1177" s="98"/>
      <c r="N1177" s="98"/>
      <c r="O1177" s="98"/>
      <c r="P1177" s="98"/>
      <c r="Q1177" s="98"/>
      <c r="R1177" s="99"/>
    </row>
    <row r="1178" spans="1:18" x14ac:dyDescent="0.35">
      <c r="A1178" s="88">
        <f t="shared" si="36"/>
        <v>0</v>
      </c>
      <c r="B1178" s="89"/>
      <c r="C1178" s="90">
        <f t="shared" si="37"/>
        <v>0</v>
      </c>
      <c r="D1178" s="97"/>
      <c r="E1178" s="98"/>
      <c r="F1178" s="98"/>
      <c r="G1178" s="98"/>
      <c r="H1178" s="98"/>
      <c r="I1178" s="98"/>
      <c r="J1178" s="98"/>
      <c r="K1178" s="98"/>
      <c r="L1178" s="98"/>
      <c r="M1178" s="98"/>
      <c r="N1178" s="98"/>
      <c r="O1178" s="98"/>
      <c r="P1178" s="98"/>
      <c r="Q1178" s="98"/>
      <c r="R1178" s="99"/>
    </row>
    <row r="1179" spans="1:18" x14ac:dyDescent="0.35">
      <c r="A1179" s="88">
        <f t="shared" si="36"/>
        <v>0</v>
      </c>
      <c r="B1179" s="89"/>
      <c r="C1179" s="90">
        <f t="shared" si="37"/>
        <v>0</v>
      </c>
      <c r="D1179" s="97"/>
      <c r="E1179" s="98"/>
      <c r="F1179" s="98"/>
      <c r="G1179" s="98"/>
      <c r="H1179" s="98"/>
      <c r="I1179" s="98"/>
      <c r="J1179" s="98"/>
      <c r="K1179" s="98"/>
      <c r="L1179" s="98"/>
      <c r="M1179" s="98"/>
      <c r="N1179" s="98"/>
      <c r="O1179" s="98"/>
      <c r="P1179" s="98"/>
      <c r="Q1179" s="98"/>
      <c r="R1179" s="99"/>
    </row>
    <row r="1180" spans="1:18" x14ac:dyDescent="0.35">
      <c r="A1180" s="88">
        <f t="shared" si="36"/>
        <v>0</v>
      </c>
      <c r="B1180" s="89"/>
      <c r="C1180" s="90">
        <f t="shared" si="37"/>
        <v>0</v>
      </c>
      <c r="D1180" s="97"/>
      <c r="E1180" s="98"/>
      <c r="F1180" s="98"/>
      <c r="G1180" s="98"/>
      <c r="H1180" s="98"/>
      <c r="I1180" s="98"/>
      <c r="J1180" s="98"/>
      <c r="K1180" s="98"/>
      <c r="L1180" s="98"/>
      <c r="M1180" s="98"/>
      <c r="N1180" s="98"/>
      <c r="O1180" s="98"/>
      <c r="P1180" s="98"/>
      <c r="Q1180" s="98"/>
      <c r="R1180" s="99"/>
    </row>
    <row r="1181" spans="1:18" x14ac:dyDescent="0.35">
      <c r="A1181" s="88">
        <f t="shared" si="36"/>
        <v>0</v>
      </c>
      <c r="B1181" s="89"/>
      <c r="C1181" s="90">
        <f t="shared" si="37"/>
        <v>0</v>
      </c>
      <c r="D1181" s="97"/>
      <c r="E1181" s="98"/>
      <c r="F1181" s="98"/>
      <c r="G1181" s="98"/>
      <c r="H1181" s="98"/>
      <c r="I1181" s="98"/>
      <c r="J1181" s="98"/>
      <c r="K1181" s="98"/>
      <c r="L1181" s="98"/>
      <c r="M1181" s="98"/>
      <c r="N1181" s="98"/>
      <c r="O1181" s="98"/>
      <c r="P1181" s="98"/>
      <c r="Q1181" s="98"/>
      <c r="R1181" s="99"/>
    </row>
    <row r="1182" spans="1:18" x14ac:dyDescent="0.35">
      <c r="A1182" s="88">
        <f t="shared" si="36"/>
        <v>0</v>
      </c>
      <c r="B1182" s="89"/>
      <c r="C1182" s="90">
        <f t="shared" si="37"/>
        <v>0</v>
      </c>
      <c r="D1182" s="97"/>
      <c r="E1182" s="98"/>
      <c r="F1182" s="98"/>
      <c r="G1182" s="98"/>
      <c r="H1182" s="98"/>
      <c r="I1182" s="98"/>
      <c r="J1182" s="98"/>
      <c r="K1182" s="98"/>
      <c r="L1182" s="98"/>
      <c r="M1182" s="98"/>
      <c r="N1182" s="98"/>
      <c r="O1182" s="98"/>
      <c r="P1182" s="98"/>
      <c r="Q1182" s="98"/>
      <c r="R1182" s="99"/>
    </row>
    <row r="1183" spans="1:18" x14ac:dyDescent="0.35">
      <c r="A1183" s="88">
        <f t="shared" si="36"/>
        <v>0</v>
      </c>
      <c r="B1183" s="89"/>
      <c r="C1183" s="90">
        <f t="shared" si="37"/>
        <v>0</v>
      </c>
      <c r="D1183" s="97"/>
      <c r="E1183" s="98"/>
      <c r="F1183" s="98"/>
      <c r="G1183" s="98"/>
      <c r="H1183" s="98"/>
      <c r="I1183" s="98"/>
      <c r="J1183" s="98"/>
      <c r="K1183" s="98"/>
      <c r="L1183" s="98"/>
      <c r="M1183" s="98"/>
      <c r="N1183" s="98"/>
      <c r="O1183" s="98"/>
      <c r="P1183" s="98"/>
      <c r="Q1183" s="98"/>
      <c r="R1183" s="99"/>
    </row>
    <row r="1184" spans="1:18" x14ac:dyDescent="0.35">
      <c r="A1184" s="88">
        <f t="shared" si="36"/>
        <v>0</v>
      </c>
      <c r="B1184" s="89"/>
      <c r="C1184" s="90">
        <f t="shared" si="37"/>
        <v>0</v>
      </c>
      <c r="D1184" s="97"/>
      <c r="E1184" s="98"/>
      <c r="F1184" s="98"/>
      <c r="G1184" s="98"/>
      <c r="H1184" s="98"/>
      <c r="I1184" s="98"/>
      <c r="J1184" s="98"/>
      <c r="K1184" s="98"/>
      <c r="L1184" s="98"/>
      <c r="M1184" s="98"/>
      <c r="N1184" s="98"/>
      <c r="O1184" s="98"/>
      <c r="P1184" s="98"/>
      <c r="Q1184" s="98"/>
      <c r="R1184" s="99"/>
    </row>
    <row r="1185" spans="1:18" x14ac:dyDescent="0.35">
      <c r="A1185" s="88">
        <f t="shared" si="36"/>
        <v>0</v>
      </c>
      <c r="B1185" s="89"/>
      <c r="C1185" s="90">
        <f t="shared" si="37"/>
        <v>0</v>
      </c>
      <c r="D1185" s="97"/>
      <c r="E1185" s="98"/>
      <c r="F1185" s="98"/>
      <c r="G1185" s="98"/>
      <c r="H1185" s="98"/>
      <c r="I1185" s="98"/>
      <c r="J1185" s="98"/>
      <c r="K1185" s="98"/>
      <c r="L1185" s="98"/>
      <c r="M1185" s="98"/>
      <c r="N1185" s="98"/>
      <c r="O1185" s="98"/>
      <c r="P1185" s="98"/>
      <c r="Q1185" s="98"/>
      <c r="R1185" s="99"/>
    </row>
    <row r="1186" spans="1:18" x14ac:dyDescent="0.35">
      <c r="A1186" s="88">
        <f t="shared" si="36"/>
        <v>0</v>
      </c>
      <c r="B1186" s="89"/>
      <c r="C1186" s="90">
        <f t="shared" si="37"/>
        <v>0</v>
      </c>
      <c r="D1186" s="97"/>
      <c r="E1186" s="98"/>
      <c r="F1186" s="98"/>
      <c r="G1186" s="98"/>
      <c r="H1186" s="98"/>
      <c r="I1186" s="98"/>
      <c r="J1186" s="98"/>
      <c r="K1186" s="98"/>
      <c r="L1186" s="98"/>
      <c r="M1186" s="98"/>
      <c r="N1186" s="98"/>
      <c r="O1186" s="98"/>
      <c r="P1186" s="98"/>
      <c r="Q1186" s="98"/>
      <c r="R1186" s="99"/>
    </row>
    <row r="1187" spans="1:18" x14ac:dyDescent="0.35">
      <c r="A1187" s="88">
        <f t="shared" si="36"/>
        <v>0</v>
      </c>
      <c r="B1187" s="89"/>
      <c r="C1187" s="90">
        <f t="shared" si="37"/>
        <v>0</v>
      </c>
      <c r="D1187" s="97"/>
      <c r="E1187" s="98"/>
      <c r="F1187" s="98"/>
      <c r="G1187" s="98"/>
      <c r="H1187" s="98"/>
      <c r="I1187" s="98"/>
      <c r="J1187" s="98"/>
      <c r="K1187" s="98"/>
      <c r="L1187" s="98"/>
      <c r="M1187" s="98"/>
      <c r="N1187" s="98"/>
      <c r="O1187" s="98"/>
      <c r="P1187" s="98"/>
      <c r="Q1187" s="98"/>
      <c r="R1187" s="99"/>
    </row>
    <row r="1188" spans="1:18" x14ac:dyDescent="0.35">
      <c r="A1188" s="88">
        <f t="shared" si="36"/>
        <v>0</v>
      </c>
      <c r="B1188" s="89"/>
      <c r="C1188" s="90">
        <f t="shared" si="37"/>
        <v>0</v>
      </c>
      <c r="D1188" s="97"/>
      <c r="E1188" s="98"/>
      <c r="F1188" s="98"/>
      <c r="G1188" s="98"/>
      <c r="H1188" s="98"/>
      <c r="I1188" s="98"/>
      <c r="J1188" s="98"/>
      <c r="K1188" s="98"/>
      <c r="L1188" s="98"/>
      <c r="M1188" s="98"/>
      <c r="N1188" s="98"/>
      <c r="O1188" s="98"/>
      <c r="P1188" s="98"/>
      <c r="Q1188" s="98"/>
      <c r="R1188" s="99"/>
    </row>
    <row r="1189" spans="1:18" x14ac:dyDescent="0.35">
      <c r="A1189" s="88">
        <f t="shared" si="36"/>
        <v>0</v>
      </c>
      <c r="B1189" s="89"/>
      <c r="C1189" s="90">
        <f t="shared" si="37"/>
        <v>0</v>
      </c>
      <c r="D1189" s="97"/>
      <c r="E1189" s="98"/>
      <c r="F1189" s="98"/>
      <c r="G1189" s="98"/>
      <c r="H1189" s="98"/>
      <c r="I1189" s="98"/>
      <c r="J1189" s="98"/>
      <c r="K1189" s="98"/>
      <c r="L1189" s="98"/>
      <c r="M1189" s="98"/>
      <c r="N1189" s="98"/>
      <c r="O1189" s="98"/>
      <c r="P1189" s="98"/>
      <c r="Q1189" s="98"/>
      <c r="R1189" s="99"/>
    </row>
    <row r="1190" spans="1:18" x14ac:dyDescent="0.35">
      <c r="A1190" s="88">
        <f t="shared" si="36"/>
        <v>0</v>
      </c>
      <c r="B1190" s="89"/>
      <c r="C1190" s="90">
        <f t="shared" si="37"/>
        <v>0</v>
      </c>
      <c r="D1190" s="97"/>
      <c r="E1190" s="98"/>
      <c r="F1190" s="98"/>
      <c r="G1190" s="98"/>
      <c r="H1190" s="98"/>
      <c r="I1190" s="98"/>
      <c r="J1190" s="98"/>
      <c r="K1190" s="98"/>
      <c r="L1190" s="98"/>
      <c r="M1190" s="98"/>
      <c r="N1190" s="98"/>
      <c r="O1190" s="98"/>
      <c r="P1190" s="98"/>
      <c r="Q1190" s="98"/>
      <c r="R1190" s="99"/>
    </row>
    <row r="1191" spans="1:18" x14ac:dyDescent="0.35">
      <c r="A1191" s="88">
        <f t="shared" si="36"/>
        <v>0</v>
      </c>
      <c r="B1191" s="89"/>
      <c r="C1191" s="90">
        <f t="shared" si="37"/>
        <v>0</v>
      </c>
      <c r="D1191" s="97"/>
      <c r="E1191" s="98"/>
      <c r="F1191" s="98"/>
      <c r="G1191" s="98"/>
      <c r="H1191" s="98"/>
      <c r="I1191" s="98"/>
      <c r="J1191" s="98"/>
      <c r="K1191" s="98"/>
      <c r="L1191" s="98"/>
      <c r="M1191" s="98"/>
      <c r="N1191" s="98"/>
      <c r="O1191" s="98"/>
      <c r="P1191" s="98"/>
      <c r="Q1191" s="98"/>
      <c r="R1191" s="99"/>
    </row>
    <row r="1192" spans="1:18" x14ac:dyDescent="0.35">
      <c r="A1192" s="88">
        <f t="shared" si="36"/>
        <v>0</v>
      </c>
      <c r="B1192" s="89"/>
      <c r="C1192" s="90">
        <f t="shared" si="37"/>
        <v>0</v>
      </c>
      <c r="D1192" s="97"/>
      <c r="E1192" s="98"/>
      <c r="F1192" s="98"/>
      <c r="G1192" s="98"/>
      <c r="H1192" s="98"/>
      <c r="I1192" s="98"/>
      <c r="J1192" s="98"/>
      <c r="K1192" s="98"/>
      <c r="L1192" s="98"/>
      <c r="M1192" s="98"/>
      <c r="N1192" s="98"/>
      <c r="O1192" s="98"/>
      <c r="P1192" s="98"/>
      <c r="Q1192" s="98"/>
      <c r="R1192" s="99"/>
    </row>
    <row r="1193" spans="1:18" x14ac:dyDescent="0.35">
      <c r="A1193" s="88">
        <f t="shared" si="36"/>
        <v>0</v>
      </c>
      <c r="B1193" s="89"/>
      <c r="C1193" s="90">
        <f t="shared" si="37"/>
        <v>0</v>
      </c>
      <c r="D1193" s="97"/>
      <c r="E1193" s="98"/>
      <c r="F1193" s="98"/>
      <c r="G1193" s="98"/>
      <c r="H1193" s="98"/>
      <c r="I1193" s="98"/>
      <c r="J1193" s="98"/>
      <c r="K1193" s="98"/>
      <c r="L1193" s="98"/>
      <c r="M1193" s="98"/>
      <c r="N1193" s="98"/>
      <c r="O1193" s="98"/>
      <c r="P1193" s="98"/>
      <c r="Q1193" s="98"/>
      <c r="R1193" s="99"/>
    </row>
    <row r="1194" spans="1:18" x14ac:dyDescent="0.35">
      <c r="A1194" s="88">
        <f t="shared" si="36"/>
        <v>0</v>
      </c>
      <c r="B1194" s="89"/>
      <c r="C1194" s="90">
        <f t="shared" si="37"/>
        <v>0</v>
      </c>
      <c r="D1194" s="97"/>
      <c r="E1194" s="98"/>
      <c r="F1194" s="98"/>
      <c r="G1194" s="98"/>
      <c r="H1194" s="98"/>
      <c r="I1194" s="98"/>
      <c r="J1194" s="98"/>
      <c r="K1194" s="98"/>
      <c r="L1194" s="98"/>
      <c r="M1194" s="98"/>
      <c r="N1194" s="98"/>
      <c r="O1194" s="98"/>
      <c r="P1194" s="98"/>
      <c r="Q1194" s="98"/>
      <c r="R1194" s="99"/>
    </row>
    <row r="1195" spans="1:18" x14ac:dyDescent="0.35">
      <c r="A1195" s="88">
        <f t="shared" si="36"/>
        <v>0</v>
      </c>
      <c r="B1195" s="89"/>
      <c r="C1195" s="90">
        <f t="shared" si="37"/>
        <v>0</v>
      </c>
      <c r="D1195" s="97"/>
      <c r="E1195" s="98"/>
      <c r="F1195" s="98"/>
      <c r="G1195" s="98"/>
      <c r="H1195" s="98"/>
      <c r="I1195" s="98"/>
      <c r="J1195" s="98"/>
      <c r="K1195" s="98"/>
      <c r="L1195" s="98"/>
      <c r="M1195" s="98"/>
      <c r="N1195" s="98"/>
      <c r="O1195" s="98"/>
      <c r="P1195" s="98"/>
      <c r="Q1195" s="98"/>
      <c r="R1195" s="99"/>
    </row>
    <row r="1196" spans="1:18" x14ac:dyDescent="0.35">
      <c r="A1196" s="88">
        <f t="shared" si="36"/>
        <v>0</v>
      </c>
      <c r="B1196" s="89"/>
      <c r="C1196" s="90">
        <f t="shared" si="37"/>
        <v>0</v>
      </c>
      <c r="D1196" s="97"/>
      <c r="E1196" s="98"/>
      <c r="F1196" s="98"/>
      <c r="G1196" s="98"/>
      <c r="H1196" s="98"/>
      <c r="I1196" s="98"/>
      <c r="J1196" s="98"/>
      <c r="K1196" s="98"/>
      <c r="L1196" s="98"/>
      <c r="M1196" s="98"/>
      <c r="N1196" s="98"/>
      <c r="O1196" s="98"/>
      <c r="P1196" s="98"/>
      <c r="Q1196" s="98"/>
      <c r="R1196" s="99"/>
    </row>
    <row r="1197" spans="1:18" x14ac:dyDescent="0.35">
      <c r="A1197" s="88">
        <f t="shared" si="36"/>
        <v>0</v>
      </c>
      <c r="B1197" s="89"/>
      <c r="C1197" s="90">
        <f t="shared" si="37"/>
        <v>0</v>
      </c>
      <c r="D1197" s="97"/>
      <c r="E1197" s="98"/>
      <c r="F1197" s="98"/>
      <c r="G1197" s="98"/>
      <c r="H1197" s="98"/>
      <c r="I1197" s="98"/>
      <c r="J1197" s="98"/>
      <c r="K1197" s="98"/>
      <c r="L1197" s="98"/>
      <c r="M1197" s="98"/>
      <c r="N1197" s="98"/>
      <c r="O1197" s="98"/>
      <c r="P1197" s="98"/>
      <c r="Q1197" s="98"/>
      <c r="R1197" s="99"/>
    </row>
    <row r="1198" spans="1:18" x14ac:dyDescent="0.35">
      <c r="A1198" s="88">
        <f t="shared" si="36"/>
        <v>0</v>
      </c>
      <c r="B1198" s="89"/>
      <c r="C1198" s="90">
        <f t="shared" si="37"/>
        <v>0</v>
      </c>
      <c r="D1198" s="97"/>
      <c r="E1198" s="98"/>
      <c r="F1198" s="98"/>
      <c r="G1198" s="98"/>
      <c r="H1198" s="98"/>
      <c r="I1198" s="98"/>
      <c r="J1198" s="98"/>
      <c r="K1198" s="98"/>
      <c r="L1198" s="98"/>
      <c r="M1198" s="98"/>
      <c r="N1198" s="98"/>
      <c r="O1198" s="98"/>
      <c r="P1198" s="98"/>
      <c r="Q1198" s="98"/>
      <c r="R1198" s="99"/>
    </row>
    <row r="1199" spans="1:18" x14ac:dyDescent="0.35">
      <c r="A1199" s="88">
        <f t="shared" si="36"/>
        <v>0</v>
      </c>
      <c r="B1199" s="89"/>
      <c r="C1199" s="90">
        <f t="shared" si="37"/>
        <v>0</v>
      </c>
      <c r="D1199" s="97"/>
      <c r="E1199" s="98"/>
      <c r="F1199" s="98"/>
      <c r="G1199" s="98"/>
      <c r="H1199" s="98"/>
      <c r="I1199" s="98"/>
      <c r="J1199" s="98"/>
      <c r="K1199" s="98"/>
      <c r="L1199" s="98"/>
      <c r="M1199" s="98"/>
      <c r="N1199" s="98"/>
      <c r="O1199" s="98"/>
      <c r="P1199" s="98"/>
      <c r="Q1199" s="98"/>
      <c r="R1199" s="99"/>
    </row>
    <row r="1200" spans="1:18" x14ac:dyDescent="0.35">
      <c r="A1200" s="88">
        <f t="shared" si="36"/>
        <v>0</v>
      </c>
      <c r="B1200" s="89"/>
      <c r="C1200" s="90">
        <f t="shared" si="37"/>
        <v>0</v>
      </c>
      <c r="D1200" s="97"/>
      <c r="E1200" s="98"/>
      <c r="F1200" s="98"/>
      <c r="G1200" s="98"/>
      <c r="H1200" s="98"/>
      <c r="I1200" s="98"/>
      <c r="J1200" s="98"/>
      <c r="K1200" s="98"/>
      <c r="L1200" s="98"/>
      <c r="M1200" s="98"/>
      <c r="N1200" s="98"/>
      <c r="O1200" s="98"/>
      <c r="P1200" s="98"/>
      <c r="Q1200" s="98"/>
      <c r="R1200" s="99"/>
    </row>
    <row r="1201" spans="1:18" x14ac:dyDescent="0.35">
      <c r="A1201" s="88">
        <f t="shared" si="36"/>
        <v>0</v>
      </c>
      <c r="B1201" s="89"/>
      <c r="C1201" s="90">
        <f t="shared" si="37"/>
        <v>0</v>
      </c>
      <c r="D1201" s="97"/>
      <c r="E1201" s="98"/>
      <c r="F1201" s="98"/>
      <c r="G1201" s="98"/>
      <c r="H1201" s="98"/>
      <c r="I1201" s="98"/>
      <c r="J1201" s="98"/>
      <c r="K1201" s="98"/>
      <c r="L1201" s="98"/>
      <c r="M1201" s="98"/>
      <c r="N1201" s="98"/>
      <c r="O1201" s="98"/>
      <c r="P1201" s="98"/>
      <c r="Q1201" s="98"/>
      <c r="R1201" s="99"/>
    </row>
    <row r="1202" spans="1:18" x14ac:dyDescent="0.35">
      <c r="A1202" s="88">
        <f t="shared" si="36"/>
        <v>0</v>
      </c>
      <c r="B1202" s="89"/>
      <c r="C1202" s="90">
        <f t="shared" si="37"/>
        <v>0</v>
      </c>
      <c r="D1202" s="97"/>
      <c r="E1202" s="98"/>
      <c r="F1202" s="98"/>
      <c r="G1202" s="98"/>
      <c r="H1202" s="98"/>
      <c r="I1202" s="98"/>
      <c r="J1202" s="98"/>
      <c r="K1202" s="98"/>
      <c r="L1202" s="98"/>
      <c r="M1202" s="98"/>
      <c r="N1202" s="98"/>
      <c r="O1202" s="98"/>
      <c r="P1202" s="98"/>
      <c r="Q1202" s="98"/>
      <c r="R1202" s="99"/>
    </row>
    <row r="1203" spans="1:18" x14ac:dyDescent="0.35">
      <c r="A1203" s="88">
        <f t="shared" si="36"/>
        <v>0</v>
      </c>
      <c r="B1203" s="89"/>
      <c r="C1203" s="90">
        <f t="shared" si="37"/>
        <v>0</v>
      </c>
      <c r="D1203" s="97"/>
      <c r="E1203" s="98"/>
      <c r="F1203" s="98"/>
      <c r="G1203" s="98"/>
      <c r="H1203" s="98"/>
      <c r="I1203" s="98"/>
      <c r="J1203" s="98"/>
      <c r="K1203" s="98"/>
      <c r="L1203" s="98"/>
      <c r="M1203" s="98"/>
      <c r="N1203" s="98"/>
      <c r="O1203" s="98"/>
      <c r="P1203" s="98"/>
      <c r="Q1203" s="98"/>
      <c r="R1203" s="99"/>
    </row>
    <row r="1204" spans="1:18" x14ac:dyDescent="0.35">
      <c r="A1204" s="88">
        <f t="shared" si="36"/>
        <v>0</v>
      </c>
      <c r="B1204" s="89"/>
      <c r="C1204" s="90">
        <f t="shared" si="37"/>
        <v>0</v>
      </c>
      <c r="D1204" s="97"/>
      <c r="E1204" s="98"/>
      <c r="F1204" s="98"/>
      <c r="G1204" s="98"/>
      <c r="H1204" s="98"/>
      <c r="I1204" s="98"/>
      <c r="J1204" s="98"/>
      <c r="K1204" s="98"/>
      <c r="L1204" s="98"/>
      <c r="M1204" s="98"/>
      <c r="N1204" s="98"/>
      <c r="O1204" s="98"/>
      <c r="P1204" s="98"/>
      <c r="Q1204" s="98"/>
      <c r="R1204" s="99"/>
    </row>
    <row r="1205" spans="1:18" x14ac:dyDescent="0.35">
      <c r="A1205" s="88">
        <f t="shared" si="36"/>
        <v>0</v>
      </c>
      <c r="B1205" s="89"/>
      <c r="C1205" s="90">
        <f t="shared" si="37"/>
        <v>0</v>
      </c>
      <c r="D1205" s="97"/>
      <c r="E1205" s="98"/>
      <c r="F1205" s="98"/>
      <c r="G1205" s="98"/>
      <c r="H1205" s="98"/>
      <c r="I1205" s="98"/>
      <c r="J1205" s="98"/>
      <c r="K1205" s="98"/>
      <c r="L1205" s="98"/>
      <c r="M1205" s="98"/>
      <c r="N1205" s="98"/>
      <c r="O1205" s="98"/>
      <c r="P1205" s="98"/>
      <c r="Q1205" s="98"/>
      <c r="R1205" s="99"/>
    </row>
    <row r="1206" spans="1:18" x14ac:dyDescent="0.35">
      <c r="A1206" s="88">
        <f t="shared" si="36"/>
        <v>0</v>
      </c>
      <c r="B1206" s="89"/>
      <c r="C1206" s="90">
        <f t="shared" si="37"/>
        <v>0</v>
      </c>
      <c r="D1206" s="97"/>
      <c r="E1206" s="98"/>
      <c r="F1206" s="98"/>
      <c r="G1206" s="98"/>
      <c r="H1206" s="98"/>
      <c r="I1206" s="98"/>
      <c r="J1206" s="98"/>
      <c r="K1206" s="98"/>
      <c r="L1206" s="98"/>
      <c r="M1206" s="98"/>
      <c r="N1206" s="98"/>
      <c r="O1206" s="98"/>
      <c r="P1206" s="98"/>
      <c r="Q1206" s="98"/>
      <c r="R1206" s="99"/>
    </row>
    <row r="1207" spans="1:18" x14ac:dyDescent="0.35">
      <c r="A1207" s="88">
        <f t="shared" si="36"/>
        <v>0</v>
      </c>
      <c r="B1207" s="89"/>
      <c r="C1207" s="90">
        <f t="shared" si="37"/>
        <v>0</v>
      </c>
      <c r="D1207" s="97"/>
      <c r="E1207" s="98"/>
      <c r="F1207" s="98"/>
      <c r="G1207" s="98"/>
      <c r="H1207" s="98"/>
      <c r="I1207" s="98"/>
      <c r="J1207" s="98"/>
      <c r="K1207" s="98"/>
      <c r="L1207" s="98"/>
      <c r="M1207" s="98"/>
      <c r="N1207" s="98"/>
      <c r="O1207" s="98"/>
      <c r="P1207" s="98"/>
      <c r="Q1207" s="98"/>
      <c r="R1207" s="99"/>
    </row>
    <row r="1208" spans="1:18" x14ac:dyDescent="0.35">
      <c r="A1208" s="88">
        <f t="shared" si="36"/>
        <v>0</v>
      </c>
      <c r="B1208" s="89"/>
      <c r="C1208" s="90">
        <f t="shared" si="37"/>
        <v>0</v>
      </c>
      <c r="D1208" s="97"/>
      <c r="E1208" s="98"/>
      <c r="F1208" s="98"/>
      <c r="G1208" s="98"/>
      <c r="H1208" s="98"/>
      <c r="I1208" s="98"/>
      <c r="J1208" s="98"/>
      <c r="K1208" s="98"/>
      <c r="L1208" s="98"/>
      <c r="M1208" s="98"/>
      <c r="N1208" s="98"/>
      <c r="O1208" s="98"/>
      <c r="P1208" s="98"/>
      <c r="Q1208" s="98"/>
      <c r="R1208" s="99"/>
    </row>
    <row r="1209" spans="1:18" x14ac:dyDescent="0.35">
      <c r="A1209" s="88">
        <f t="shared" si="36"/>
        <v>0</v>
      </c>
      <c r="B1209" s="89"/>
      <c r="C1209" s="90">
        <f t="shared" si="37"/>
        <v>0</v>
      </c>
      <c r="D1209" s="97"/>
      <c r="E1209" s="98"/>
      <c r="F1209" s="98"/>
      <c r="G1209" s="98"/>
      <c r="H1209" s="98"/>
      <c r="I1209" s="98"/>
      <c r="J1209" s="98"/>
      <c r="K1209" s="98"/>
      <c r="L1209" s="98"/>
      <c r="M1209" s="98"/>
      <c r="N1209" s="98"/>
      <c r="O1209" s="98"/>
      <c r="P1209" s="98"/>
      <c r="Q1209" s="98"/>
      <c r="R1209" s="99"/>
    </row>
    <row r="1210" spans="1:18" x14ac:dyDescent="0.35">
      <c r="A1210" s="88">
        <f t="shared" si="36"/>
        <v>0</v>
      </c>
      <c r="B1210" s="89"/>
      <c r="C1210" s="90">
        <f t="shared" si="37"/>
        <v>0</v>
      </c>
      <c r="D1210" s="97"/>
      <c r="E1210" s="98"/>
      <c r="F1210" s="98"/>
      <c r="G1210" s="98"/>
      <c r="H1210" s="98"/>
      <c r="I1210" s="98"/>
      <c r="J1210" s="98"/>
      <c r="K1210" s="98"/>
      <c r="L1210" s="98"/>
      <c r="M1210" s="98"/>
      <c r="N1210" s="98"/>
      <c r="O1210" s="98"/>
      <c r="P1210" s="98"/>
      <c r="Q1210" s="98"/>
      <c r="R1210" s="99"/>
    </row>
    <row r="1211" spans="1:18" x14ac:dyDescent="0.35">
      <c r="A1211" s="88">
        <f t="shared" si="36"/>
        <v>0</v>
      </c>
      <c r="B1211" s="89"/>
      <c r="C1211" s="90">
        <f t="shared" si="37"/>
        <v>0</v>
      </c>
      <c r="D1211" s="97"/>
      <c r="E1211" s="98"/>
      <c r="F1211" s="98"/>
      <c r="G1211" s="98"/>
      <c r="H1211" s="98"/>
      <c r="I1211" s="98"/>
      <c r="J1211" s="98"/>
      <c r="K1211" s="98"/>
      <c r="L1211" s="98"/>
      <c r="M1211" s="98"/>
      <c r="N1211" s="98"/>
      <c r="O1211" s="98"/>
      <c r="P1211" s="98"/>
      <c r="Q1211" s="98"/>
      <c r="R1211" s="99"/>
    </row>
    <row r="1212" spans="1:18" x14ac:dyDescent="0.35">
      <c r="A1212" s="88">
        <f t="shared" si="36"/>
        <v>0</v>
      </c>
      <c r="B1212" s="89"/>
      <c r="C1212" s="90">
        <f t="shared" si="37"/>
        <v>0</v>
      </c>
      <c r="D1212" s="97"/>
      <c r="E1212" s="98"/>
      <c r="F1212" s="98"/>
      <c r="G1212" s="98"/>
      <c r="H1212" s="98"/>
      <c r="I1212" s="98"/>
      <c r="J1212" s="98"/>
      <c r="K1212" s="98"/>
      <c r="L1212" s="98"/>
      <c r="M1212" s="98"/>
      <c r="N1212" s="98"/>
      <c r="O1212" s="98"/>
      <c r="P1212" s="98"/>
      <c r="Q1212" s="98"/>
      <c r="R1212" s="99"/>
    </row>
    <row r="1213" spans="1:18" x14ac:dyDescent="0.35">
      <c r="A1213" s="88">
        <f t="shared" si="36"/>
        <v>0</v>
      </c>
      <c r="B1213" s="89"/>
      <c r="C1213" s="90">
        <f t="shared" si="37"/>
        <v>0</v>
      </c>
      <c r="D1213" s="97"/>
      <c r="E1213" s="98"/>
      <c r="F1213" s="98"/>
      <c r="G1213" s="98"/>
      <c r="H1213" s="98"/>
      <c r="I1213" s="98"/>
      <c r="J1213" s="98"/>
      <c r="K1213" s="98"/>
      <c r="L1213" s="98"/>
      <c r="M1213" s="98"/>
      <c r="N1213" s="98"/>
      <c r="O1213" s="98"/>
      <c r="P1213" s="98"/>
      <c r="Q1213" s="98"/>
      <c r="R1213" s="99"/>
    </row>
    <row r="1214" spans="1:18" x14ac:dyDescent="0.35">
      <c r="A1214" s="88">
        <f t="shared" si="36"/>
        <v>0</v>
      </c>
      <c r="B1214" s="89"/>
      <c r="C1214" s="90">
        <f t="shared" si="37"/>
        <v>0</v>
      </c>
      <c r="D1214" s="97"/>
      <c r="E1214" s="98"/>
      <c r="F1214" s="98"/>
      <c r="G1214" s="98"/>
      <c r="H1214" s="98"/>
      <c r="I1214" s="98"/>
      <c r="J1214" s="98"/>
      <c r="K1214" s="98"/>
      <c r="L1214" s="98"/>
      <c r="M1214" s="98"/>
      <c r="N1214" s="98"/>
      <c r="O1214" s="98"/>
      <c r="P1214" s="98"/>
      <c r="Q1214" s="98"/>
      <c r="R1214" s="99"/>
    </row>
    <row r="1215" spans="1:18" x14ac:dyDescent="0.35">
      <c r="A1215" s="88">
        <f t="shared" si="36"/>
        <v>0</v>
      </c>
      <c r="B1215" s="89"/>
      <c r="C1215" s="90">
        <f t="shared" si="37"/>
        <v>0</v>
      </c>
      <c r="D1215" s="97"/>
      <c r="E1215" s="98"/>
      <c r="F1215" s="98"/>
      <c r="G1215" s="98"/>
      <c r="H1215" s="98"/>
      <c r="I1215" s="98"/>
      <c r="J1215" s="98"/>
      <c r="K1215" s="98"/>
      <c r="L1215" s="98"/>
      <c r="M1215" s="98"/>
      <c r="N1215" s="98"/>
      <c r="O1215" s="98"/>
      <c r="P1215" s="98"/>
      <c r="Q1215" s="98"/>
      <c r="R1215" s="99"/>
    </row>
    <row r="1216" spans="1:18" x14ac:dyDescent="0.35">
      <c r="A1216" s="88">
        <f t="shared" si="36"/>
        <v>0</v>
      </c>
      <c r="B1216" s="89"/>
      <c r="C1216" s="90">
        <f t="shared" si="37"/>
        <v>0</v>
      </c>
      <c r="D1216" s="97"/>
      <c r="E1216" s="98"/>
      <c r="F1216" s="98"/>
      <c r="G1216" s="98"/>
      <c r="H1216" s="98"/>
      <c r="I1216" s="98"/>
      <c r="J1216" s="98"/>
      <c r="K1216" s="98"/>
      <c r="L1216" s="98"/>
      <c r="M1216" s="98"/>
      <c r="N1216" s="98"/>
      <c r="O1216" s="98"/>
      <c r="P1216" s="98"/>
      <c r="Q1216" s="98"/>
      <c r="R1216" s="99"/>
    </row>
    <row r="1217" spans="1:18" x14ac:dyDescent="0.35">
      <c r="A1217" s="88">
        <f t="shared" si="36"/>
        <v>0</v>
      </c>
      <c r="B1217" s="89"/>
      <c r="C1217" s="90">
        <f t="shared" si="37"/>
        <v>0</v>
      </c>
      <c r="D1217" s="97"/>
      <c r="E1217" s="98"/>
      <c r="F1217" s="98"/>
      <c r="G1217" s="98"/>
      <c r="H1217" s="98"/>
      <c r="I1217" s="98"/>
      <c r="J1217" s="98"/>
      <c r="K1217" s="98"/>
      <c r="L1217" s="98"/>
      <c r="M1217" s="98"/>
      <c r="N1217" s="98"/>
      <c r="O1217" s="98"/>
      <c r="P1217" s="98"/>
      <c r="Q1217" s="98"/>
      <c r="R1217" s="99"/>
    </row>
    <row r="1218" spans="1:18" x14ac:dyDescent="0.35">
      <c r="A1218" s="88">
        <f t="shared" si="36"/>
        <v>0</v>
      </c>
      <c r="B1218" s="89"/>
      <c r="C1218" s="90">
        <f t="shared" si="37"/>
        <v>0</v>
      </c>
      <c r="D1218" s="97"/>
      <c r="E1218" s="98"/>
      <c r="F1218" s="98"/>
      <c r="G1218" s="98"/>
      <c r="H1218" s="98"/>
      <c r="I1218" s="98"/>
      <c r="J1218" s="98"/>
      <c r="K1218" s="98"/>
      <c r="L1218" s="98"/>
      <c r="M1218" s="98"/>
      <c r="N1218" s="98"/>
      <c r="O1218" s="98"/>
      <c r="P1218" s="98"/>
      <c r="Q1218" s="98"/>
      <c r="R1218" s="99"/>
    </row>
    <row r="1219" spans="1:18" x14ac:dyDescent="0.35">
      <c r="A1219" s="88">
        <f t="shared" si="36"/>
        <v>0</v>
      </c>
      <c r="B1219" s="89"/>
      <c r="C1219" s="90">
        <f t="shared" si="37"/>
        <v>0</v>
      </c>
      <c r="D1219" s="97"/>
      <c r="E1219" s="98"/>
      <c r="F1219" s="98"/>
      <c r="G1219" s="98"/>
      <c r="H1219" s="98"/>
      <c r="I1219" s="98"/>
      <c r="J1219" s="98"/>
      <c r="K1219" s="98"/>
      <c r="L1219" s="98"/>
      <c r="M1219" s="98"/>
      <c r="N1219" s="98"/>
      <c r="O1219" s="98"/>
      <c r="P1219" s="98"/>
      <c r="Q1219" s="98"/>
      <c r="R1219" s="99"/>
    </row>
    <row r="1220" spans="1:18" x14ac:dyDescent="0.35">
      <c r="A1220" s="88">
        <f t="shared" ref="A1220:A1283" si="38">F1220</f>
        <v>0</v>
      </c>
      <c r="B1220" s="89"/>
      <c r="C1220" s="90">
        <f t="shared" ref="C1220:C1283" si="39">F1220</f>
        <v>0</v>
      </c>
      <c r="D1220" s="97"/>
      <c r="E1220" s="98"/>
      <c r="F1220" s="98"/>
      <c r="G1220" s="98"/>
      <c r="H1220" s="98"/>
      <c r="I1220" s="98"/>
      <c r="J1220" s="98"/>
      <c r="K1220" s="98"/>
      <c r="L1220" s="98"/>
      <c r="M1220" s="98"/>
      <c r="N1220" s="98"/>
      <c r="O1220" s="98"/>
      <c r="P1220" s="98"/>
      <c r="Q1220" s="98"/>
      <c r="R1220" s="99"/>
    </row>
    <row r="1221" spans="1:18" x14ac:dyDescent="0.35">
      <c r="A1221" s="88">
        <f t="shared" si="38"/>
        <v>0</v>
      </c>
      <c r="B1221" s="89"/>
      <c r="C1221" s="90">
        <f t="shared" si="39"/>
        <v>0</v>
      </c>
      <c r="D1221" s="97"/>
      <c r="E1221" s="98"/>
      <c r="F1221" s="98"/>
      <c r="G1221" s="98"/>
      <c r="H1221" s="98"/>
      <c r="I1221" s="98"/>
      <c r="J1221" s="98"/>
      <c r="K1221" s="98"/>
      <c r="L1221" s="98"/>
      <c r="M1221" s="98"/>
      <c r="N1221" s="98"/>
      <c r="O1221" s="98"/>
      <c r="P1221" s="98"/>
      <c r="Q1221" s="98"/>
      <c r="R1221" s="99"/>
    </row>
    <row r="1222" spans="1:18" x14ac:dyDescent="0.35">
      <c r="A1222" s="88">
        <f t="shared" si="38"/>
        <v>0</v>
      </c>
      <c r="B1222" s="89"/>
      <c r="C1222" s="90">
        <f t="shared" si="39"/>
        <v>0</v>
      </c>
      <c r="D1222" s="97"/>
      <c r="E1222" s="98"/>
      <c r="F1222" s="98"/>
      <c r="G1222" s="98"/>
      <c r="H1222" s="98"/>
      <c r="I1222" s="98"/>
      <c r="J1222" s="98"/>
      <c r="K1222" s="98"/>
      <c r="L1222" s="98"/>
      <c r="M1222" s="98"/>
      <c r="N1222" s="98"/>
      <c r="O1222" s="98"/>
      <c r="P1222" s="98"/>
      <c r="Q1222" s="98"/>
      <c r="R1222" s="99"/>
    </row>
    <row r="1223" spans="1:18" x14ac:dyDescent="0.35">
      <c r="A1223" s="88">
        <f t="shared" si="38"/>
        <v>0</v>
      </c>
      <c r="B1223" s="89"/>
      <c r="C1223" s="90">
        <f t="shared" si="39"/>
        <v>0</v>
      </c>
      <c r="D1223" s="97"/>
      <c r="E1223" s="98"/>
      <c r="F1223" s="98"/>
      <c r="G1223" s="98"/>
      <c r="H1223" s="98"/>
      <c r="I1223" s="98"/>
      <c r="J1223" s="98"/>
      <c r="K1223" s="98"/>
      <c r="L1223" s="98"/>
      <c r="M1223" s="98"/>
      <c r="N1223" s="98"/>
      <c r="O1223" s="98"/>
      <c r="P1223" s="98"/>
      <c r="Q1223" s="98"/>
      <c r="R1223" s="99"/>
    </row>
    <row r="1224" spans="1:18" x14ac:dyDescent="0.35">
      <c r="A1224" s="88">
        <f t="shared" si="38"/>
        <v>0</v>
      </c>
      <c r="B1224" s="89"/>
      <c r="C1224" s="90">
        <f t="shared" si="39"/>
        <v>0</v>
      </c>
      <c r="D1224" s="97"/>
      <c r="E1224" s="98"/>
      <c r="F1224" s="98"/>
      <c r="G1224" s="98"/>
      <c r="H1224" s="98"/>
      <c r="I1224" s="98"/>
      <c r="J1224" s="98"/>
      <c r="K1224" s="98"/>
      <c r="L1224" s="98"/>
      <c r="M1224" s="98"/>
      <c r="N1224" s="98"/>
      <c r="O1224" s="98"/>
      <c r="P1224" s="98"/>
      <c r="Q1224" s="98"/>
      <c r="R1224" s="99"/>
    </row>
    <row r="1225" spans="1:18" x14ac:dyDescent="0.35">
      <c r="A1225" s="88">
        <f t="shared" si="38"/>
        <v>0</v>
      </c>
      <c r="B1225" s="89"/>
      <c r="C1225" s="90">
        <f t="shared" si="39"/>
        <v>0</v>
      </c>
      <c r="D1225" s="97"/>
      <c r="E1225" s="98"/>
      <c r="F1225" s="98"/>
      <c r="G1225" s="98"/>
      <c r="H1225" s="98"/>
      <c r="I1225" s="98"/>
      <c r="J1225" s="98"/>
      <c r="K1225" s="98"/>
      <c r="L1225" s="98"/>
      <c r="M1225" s="98"/>
      <c r="N1225" s="98"/>
      <c r="O1225" s="98"/>
      <c r="P1225" s="98"/>
      <c r="Q1225" s="98"/>
      <c r="R1225" s="99"/>
    </row>
    <row r="1226" spans="1:18" x14ac:dyDescent="0.35">
      <c r="A1226" s="88">
        <f t="shared" si="38"/>
        <v>0</v>
      </c>
      <c r="B1226" s="89"/>
      <c r="C1226" s="90">
        <f t="shared" si="39"/>
        <v>0</v>
      </c>
      <c r="D1226" s="97"/>
      <c r="E1226" s="98"/>
      <c r="F1226" s="98"/>
      <c r="G1226" s="98"/>
      <c r="H1226" s="98"/>
      <c r="I1226" s="98"/>
      <c r="J1226" s="98"/>
      <c r="K1226" s="98"/>
      <c r="L1226" s="98"/>
      <c r="M1226" s="98"/>
      <c r="N1226" s="98"/>
      <c r="O1226" s="98"/>
      <c r="P1226" s="98"/>
      <c r="Q1226" s="98"/>
      <c r="R1226" s="99"/>
    </row>
    <row r="1227" spans="1:18" x14ac:dyDescent="0.35">
      <c r="A1227" s="88">
        <f t="shared" si="38"/>
        <v>0</v>
      </c>
      <c r="B1227" s="89"/>
      <c r="C1227" s="90">
        <f t="shared" si="39"/>
        <v>0</v>
      </c>
      <c r="D1227" s="97"/>
      <c r="E1227" s="98"/>
      <c r="F1227" s="98"/>
      <c r="G1227" s="98"/>
      <c r="H1227" s="98"/>
      <c r="I1227" s="98"/>
      <c r="J1227" s="98"/>
      <c r="K1227" s="98"/>
      <c r="L1227" s="98"/>
      <c r="M1227" s="98"/>
      <c r="N1227" s="98"/>
      <c r="O1227" s="98"/>
      <c r="P1227" s="98"/>
      <c r="Q1227" s="98"/>
      <c r="R1227" s="99"/>
    </row>
    <row r="1228" spans="1:18" x14ac:dyDescent="0.35">
      <c r="A1228" s="88">
        <f t="shared" si="38"/>
        <v>0</v>
      </c>
      <c r="B1228" s="89"/>
      <c r="C1228" s="90">
        <f t="shared" si="39"/>
        <v>0</v>
      </c>
      <c r="D1228" s="97"/>
      <c r="E1228" s="98"/>
      <c r="F1228" s="98"/>
      <c r="G1228" s="98"/>
      <c r="H1228" s="98"/>
      <c r="I1228" s="98"/>
      <c r="J1228" s="98"/>
      <c r="K1228" s="98"/>
      <c r="L1228" s="98"/>
      <c r="M1228" s="98"/>
      <c r="N1228" s="98"/>
      <c r="O1228" s="98"/>
      <c r="P1228" s="98"/>
      <c r="Q1228" s="98"/>
      <c r="R1228" s="99"/>
    </row>
    <row r="1229" spans="1:18" x14ac:dyDescent="0.35">
      <c r="A1229" s="88">
        <f t="shared" si="38"/>
        <v>0</v>
      </c>
      <c r="B1229" s="89"/>
      <c r="C1229" s="90">
        <f t="shared" si="39"/>
        <v>0</v>
      </c>
      <c r="D1229" s="97"/>
      <c r="E1229" s="98"/>
      <c r="F1229" s="98"/>
      <c r="G1229" s="98"/>
      <c r="H1229" s="98"/>
      <c r="I1229" s="98"/>
      <c r="J1229" s="98"/>
      <c r="K1229" s="98"/>
      <c r="L1229" s="98"/>
      <c r="M1229" s="98"/>
      <c r="N1229" s="98"/>
      <c r="O1229" s="98"/>
      <c r="P1229" s="98"/>
      <c r="Q1229" s="98"/>
      <c r="R1229" s="99"/>
    </row>
    <row r="1230" spans="1:18" x14ac:dyDescent="0.35">
      <c r="A1230" s="88">
        <f t="shared" si="38"/>
        <v>0</v>
      </c>
      <c r="B1230" s="89"/>
      <c r="C1230" s="90">
        <f t="shared" si="39"/>
        <v>0</v>
      </c>
      <c r="D1230" s="97"/>
      <c r="E1230" s="98"/>
      <c r="F1230" s="98"/>
      <c r="G1230" s="98"/>
      <c r="H1230" s="98"/>
      <c r="I1230" s="98"/>
      <c r="J1230" s="98"/>
      <c r="K1230" s="98"/>
      <c r="L1230" s="98"/>
      <c r="M1230" s="98"/>
      <c r="N1230" s="98"/>
      <c r="O1230" s="98"/>
      <c r="P1230" s="98"/>
      <c r="Q1230" s="98"/>
      <c r="R1230" s="99"/>
    </row>
    <row r="1231" spans="1:18" x14ac:dyDescent="0.35">
      <c r="A1231" s="88">
        <f t="shared" si="38"/>
        <v>0</v>
      </c>
      <c r="B1231" s="89"/>
      <c r="C1231" s="90">
        <f t="shared" si="39"/>
        <v>0</v>
      </c>
      <c r="D1231" s="97"/>
      <c r="E1231" s="98"/>
      <c r="F1231" s="98"/>
      <c r="G1231" s="98"/>
      <c r="H1231" s="98"/>
      <c r="I1231" s="98"/>
      <c r="J1231" s="98"/>
      <c r="K1231" s="98"/>
      <c r="L1231" s="98"/>
      <c r="M1231" s="98"/>
      <c r="N1231" s="98"/>
      <c r="O1231" s="98"/>
      <c r="P1231" s="98"/>
      <c r="Q1231" s="98"/>
      <c r="R1231" s="99"/>
    </row>
    <row r="1232" spans="1:18" x14ac:dyDescent="0.35">
      <c r="A1232" s="88">
        <f t="shared" si="38"/>
        <v>0</v>
      </c>
      <c r="B1232" s="89"/>
      <c r="C1232" s="90">
        <f t="shared" si="39"/>
        <v>0</v>
      </c>
      <c r="D1232" s="97"/>
      <c r="E1232" s="98"/>
      <c r="F1232" s="98"/>
      <c r="G1232" s="98"/>
      <c r="H1232" s="98"/>
      <c r="I1232" s="98"/>
      <c r="J1232" s="98"/>
      <c r="K1232" s="98"/>
      <c r="L1232" s="98"/>
      <c r="M1232" s="98"/>
      <c r="N1232" s="98"/>
      <c r="O1232" s="98"/>
      <c r="P1232" s="98"/>
      <c r="Q1232" s="98"/>
      <c r="R1232" s="99"/>
    </row>
    <row r="1233" spans="1:18" x14ac:dyDescent="0.35">
      <c r="A1233" s="88">
        <f t="shared" si="38"/>
        <v>0</v>
      </c>
      <c r="B1233" s="89"/>
      <c r="C1233" s="90">
        <f t="shared" si="39"/>
        <v>0</v>
      </c>
      <c r="D1233" s="97"/>
      <c r="E1233" s="98"/>
      <c r="F1233" s="98"/>
      <c r="G1233" s="98"/>
      <c r="H1233" s="98"/>
      <c r="I1233" s="98"/>
      <c r="J1233" s="98"/>
      <c r="K1233" s="98"/>
      <c r="L1233" s="98"/>
      <c r="M1233" s="98"/>
      <c r="N1233" s="98"/>
      <c r="O1233" s="98"/>
      <c r="P1233" s="98"/>
      <c r="Q1233" s="98"/>
      <c r="R1233" s="99"/>
    </row>
    <row r="1234" spans="1:18" x14ac:dyDescent="0.35">
      <c r="A1234" s="88">
        <f t="shared" si="38"/>
        <v>0</v>
      </c>
      <c r="B1234" s="89"/>
      <c r="C1234" s="90">
        <f t="shared" si="39"/>
        <v>0</v>
      </c>
      <c r="D1234" s="97"/>
      <c r="E1234" s="98"/>
      <c r="F1234" s="98"/>
      <c r="G1234" s="98"/>
      <c r="H1234" s="98"/>
      <c r="I1234" s="98"/>
      <c r="J1234" s="98"/>
      <c r="K1234" s="98"/>
      <c r="L1234" s="98"/>
      <c r="M1234" s="98"/>
      <c r="N1234" s="98"/>
      <c r="O1234" s="98"/>
      <c r="P1234" s="98"/>
      <c r="Q1234" s="98"/>
      <c r="R1234" s="99"/>
    </row>
    <row r="1235" spans="1:18" x14ac:dyDescent="0.35">
      <c r="A1235" s="88">
        <f t="shared" si="38"/>
        <v>0</v>
      </c>
      <c r="B1235" s="89"/>
      <c r="C1235" s="90">
        <f t="shared" si="39"/>
        <v>0</v>
      </c>
      <c r="D1235" s="97"/>
      <c r="E1235" s="98"/>
      <c r="F1235" s="98"/>
      <c r="G1235" s="98"/>
      <c r="H1235" s="98"/>
      <c r="I1235" s="98"/>
      <c r="J1235" s="98"/>
      <c r="K1235" s="98"/>
      <c r="L1235" s="98"/>
      <c r="M1235" s="98"/>
      <c r="N1235" s="98"/>
      <c r="O1235" s="98"/>
      <c r="P1235" s="98"/>
      <c r="Q1235" s="98"/>
      <c r="R1235" s="99"/>
    </row>
    <row r="1236" spans="1:18" x14ac:dyDescent="0.35">
      <c r="A1236" s="88">
        <f t="shared" si="38"/>
        <v>0</v>
      </c>
      <c r="B1236" s="89"/>
      <c r="C1236" s="90">
        <f t="shared" si="39"/>
        <v>0</v>
      </c>
      <c r="D1236" s="97"/>
      <c r="E1236" s="98"/>
      <c r="F1236" s="98"/>
      <c r="G1236" s="98"/>
      <c r="H1236" s="98"/>
      <c r="I1236" s="98"/>
      <c r="J1236" s="98"/>
      <c r="K1236" s="98"/>
      <c r="L1236" s="98"/>
      <c r="M1236" s="98"/>
      <c r="N1236" s="98"/>
      <c r="O1236" s="98"/>
      <c r="P1236" s="98"/>
      <c r="Q1236" s="98"/>
      <c r="R1236" s="99"/>
    </row>
    <row r="1237" spans="1:18" x14ac:dyDescent="0.35">
      <c r="A1237" s="88">
        <f t="shared" si="38"/>
        <v>0</v>
      </c>
      <c r="B1237" s="89"/>
      <c r="C1237" s="90">
        <f t="shared" si="39"/>
        <v>0</v>
      </c>
      <c r="D1237" s="97"/>
      <c r="E1237" s="98"/>
      <c r="F1237" s="98"/>
      <c r="G1237" s="98"/>
      <c r="H1237" s="98"/>
      <c r="I1237" s="98"/>
      <c r="J1237" s="98"/>
      <c r="K1237" s="98"/>
      <c r="L1237" s="98"/>
      <c r="M1237" s="98"/>
      <c r="N1237" s="98"/>
      <c r="O1237" s="98"/>
      <c r="P1237" s="98"/>
      <c r="Q1237" s="98"/>
      <c r="R1237" s="99"/>
    </row>
    <row r="1238" spans="1:18" x14ac:dyDescent="0.35">
      <c r="A1238" s="88">
        <f t="shared" si="38"/>
        <v>0</v>
      </c>
      <c r="B1238" s="89"/>
      <c r="C1238" s="90">
        <f t="shared" si="39"/>
        <v>0</v>
      </c>
      <c r="D1238" s="97"/>
      <c r="E1238" s="98"/>
      <c r="F1238" s="98"/>
      <c r="G1238" s="98"/>
      <c r="H1238" s="98"/>
      <c r="I1238" s="98"/>
      <c r="J1238" s="98"/>
      <c r="K1238" s="98"/>
      <c r="L1238" s="98"/>
      <c r="M1238" s="98"/>
      <c r="N1238" s="98"/>
      <c r="O1238" s="98"/>
      <c r="P1238" s="98"/>
      <c r="Q1238" s="98"/>
      <c r="R1238" s="99"/>
    </row>
    <row r="1239" spans="1:18" x14ac:dyDescent="0.35">
      <c r="A1239" s="88">
        <f t="shared" si="38"/>
        <v>0</v>
      </c>
      <c r="B1239" s="89"/>
      <c r="C1239" s="90">
        <f t="shared" si="39"/>
        <v>0</v>
      </c>
      <c r="D1239" s="97"/>
      <c r="E1239" s="98"/>
      <c r="F1239" s="98"/>
      <c r="G1239" s="98"/>
      <c r="H1239" s="98"/>
      <c r="I1239" s="98"/>
      <c r="J1239" s="98"/>
      <c r="K1239" s="98"/>
      <c r="L1239" s="98"/>
      <c r="M1239" s="98"/>
      <c r="N1239" s="98"/>
      <c r="O1239" s="98"/>
      <c r="P1239" s="98"/>
      <c r="Q1239" s="98"/>
      <c r="R1239" s="99"/>
    </row>
    <row r="1240" spans="1:18" x14ac:dyDescent="0.35">
      <c r="A1240" s="88">
        <f t="shared" si="38"/>
        <v>0</v>
      </c>
      <c r="B1240" s="89"/>
      <c r="C1240" s="90">
        <f t="shared" si="39"/>
        <v>0</v>
      </c>
      <c r="D1240" s="97"/>
      <c r="E1240" s="98"/>
      <c r="F1240" s="98"/>
      <c r="G1240" s="98"/>
      <c r="H1240" s="98"/>
      <c r="I1240" s="98"/>
      <c r="J1240" s="98"/>
      <c r="K1240" s="98"/>
      <c r="L1240" s="98"/>
      <c r="M1240" s="98"/>
      <c r="N1240" s="98"/>
      <c r="O1240" s="98"/>
      <c r="P1240" s="98"/>
      <c r="Q1240" s="98"/>
      <c r="R1240" s="99"/>
    </row>
    <row r="1241" spans="1:18" x14ac:dyDescent="0.35">
      <c r="A1241" s="88">
        <f t="shared" si="38"/>
        <v>0</v>
      </c>
      <c r="B1241" s="89"/>
      <c r="C1241" s="90">
        <f t="shared" si="39"/>
        <v>0</v>
      </c>
      <c r="D1241" s="97"/>
      <c r="E1241" s="98"/>
      <c r="F1241" s="98"/>
      <c r="G1241" s="98"/>
      <c r="H1241" s="98"/>
      <c r="I1241" s="98"/>
      <c r="J1241" s="98"/>
      <c r="K1241" s="98"/>
      <c r="L1241" s="98"/>
      <c r="M1241" s="98"/>
      <c r="N1241" s="98"/>
      <c r="O1241" s="98"/>
      <c r="P1241" s="98"/>
      <c r="Q1241" s="98"/>
      <c r="R1241" s="99"/>
    </row>
    <row r="1242" spans="1:18" x14ac:dyDescent="0.35">
      <c r="A1242" s="88">
        <f t="shared" si="38"/>
        <v>0</v>
      </c>
      <c r="B1242" s="89"/>
      <c r="C1242" s="90">
        <f t="shared" si="39"/>
        <v>0</v>
      </c>
      <c r="D1242" s="97"/>
      <c r="E1242" s="98"/>
      <c r="F1242" s="98"/>
      <c r="G1242" s="98"/>
      <c r="H1242" s="98"/>
      <c r="I1242" s="98"/>
      <c r="J1242" s="98"/>
      <c r="K1242" s="98"/>
      <c r="L1242" s="98"/>
      <c r="M1242" s="98"/>
      <c r="N1242" s="98"/>
      <c r="O1242" s="98"/>
      <c r="P1242" s="98"/>
      <c r="Q1242" s="98"/>
      <c r="R1242" s="99"/>
    </row>
    <row r="1243" spans="1:18" x14ac:dyDescent="0.35">
      <c r="A1243" s="88">
        <f t="shared" si="38"/>
        <v>0</v>
      </c>
      <c r="B1243" s="89"/>
      <c r="C1243" s="90">
        <f t="shared" si="39"/>
        <v>0</v>
      </c>
      <c r="D1243" s="97"/>
      <c r="E1243" s="98"/>
      <c r="F1243" s="98"/>
      <c r="G1243" s="98"/>
      <c r="H1243" s="98"/>
      <c r="I1243" s="98"/>
      <c r="J1243" s="98"/>
      <c r="K1243" s="98"/>
      <c r="L1243" s="98"/>
      <c r="M1243" s="98"/>
      <c r="N1243" s="98"/>
      <c r="O1243" s="98"/>
      <c r="P1243" s="98"/>
      <c r="Q1243" s="98"/>
      <c r="R1243" s="99"/>
    </row>
    <row r="1244" spans="1:18" x14ac:dyDescent="0.35">
      <c r="A1244" s="88">
        <f t="shared" si="38"/>
        <v>0</v>
      </c>
      <c r="B1244" s="89"/>
      <c r="C1244" s="90">
        <f t="shared" si="39"/>
        <v>0</v>
      </c>
      <c r="D1244" s="97"/>
      <c r="E1244" s="98"/>
      <c r="F1244" s="98"/>
      <c r="G1244" s="98"/>
      <c r="H1244" s="98"/>
      <c r="I1244" s="98"/>
      <c r="J1244" s="98"/>
      <c r="K1244" s="98"/>
      <c r="L1244" s="98"/>
      <c r="M1244" s="98"/>
      <c r="N1244" s="98"/>
      <c r="O1244" s="98"/>
      <c r="P1244" s="98"/>
      <c r="Q1244" s="98"/>
      <c r="R1244" s="99"/>
    </row>
    <row r="1245" spans="1:18" x14ac:dyDescent="0.35">
      <c r="A1245" s="88">
        <f t="shared" si="38"/>
        <v>0</v>
      </c>
      <c r="B1245" s="89"/>
      <c r="C1245" s="90">
        <f t="shared" si="39"/>
        <v>0</v>
      </c>
      <c r="D1245" s="97"/>
      <c r="E1245" s="98"/>
      <c r="F1245" s="98"/>
      <c r="G1245" s="98"/>
      <c r="H1245" s="98"/>
      <c r="I1245" s="98"/>
      <c r="J1245" s="98"/>
      <c r="K1245" s="98"/>
      <c r="L1245" s="98"/>
      <c r="M1245" s="98"/>
      <c r="N1245" s="98"/>
      <c r="O1245" s="98"/>
      <c r="P1245" s="98"/>
      <c r="Q1245" s="98"/>
      <c r="R1245" s="99"/>
    </row>
    <row r="1246" spans="1:18" x14ac:dyDescent="0.35">
      <c r="A1246" s="88">
        <f t="shared" si="38"/>
        <v>0</v>
      </c>
      <c r="B1246" s="89"/>
      <c r="C1246" s="90">
        <f t="shared" si="39"/>
        <v>0</v>
      </c>
      <c r="D1246" s="97"/>
      <c r="E1246" s="98"/>
      <c r="F1246" s="98"/>
      <c r="G1246" s="98"/>
      <c r="H1246" s="98"/>
      <c r="I1246" s="98"/>
      <c r="J1246" s="98"/>
      <c r="K1246" s="98"/>
      <c r="L1246" s="98"/>
      <c r="M1246" s="98"/>
      <c r="N1246" s="98"/>
      <c r="O1246" s="98"/>
      <c r="P1246" s="98"/>
      <c r="Q1246" s="98"/>
      <c r="R1246" s="99"/>
    </row>
    <row r="1247" spans="1:18" x14ac:dyDescent="0.35">
      <c r="A1247" s="88">
        <f t="shared" si="38"/>
        <v>0</v>
      </c>
      <c r="B1247" s="89"/>
      <c r="C1247" s="90">
        <f t="shared" si="39"/>
        <v>0</v>
      </c>
      <c r="D1247" s="97"/>
      <c r="E1247" s="98"/>
      <c r="F1247" s="98"/>
      <c r="G1247" s="98"/>
      <c r="H1247" s="98"/>
      <c r="I1247" s="98"/>
      <c r="J1247" s="98"/>
      <c r="K1247" s="98"/>
      <c r="L1247" s="98"/>
      <c r="M1247" s="98"/>
      <c r="N1247" s="98"/>
      <c r="O1247" s="98"/>
      <c r="P1247" s="98"/>
      <c r="Q1247" s="98"/>
      <c r="R1247" s="99"/>
    </row>
    <row r="1248" spans="1:18" x14ac:dyDescent="0.35">
      <c r="A1248" s="88">
        <f t="shared" si="38"/>
        <v>0</v>
      </c>
      <c r="B1248" s="89"/>
      <c r="C1248" s="90">
        <f t="shared" si="39"/>
        <v>0</v>
      </c>
      <c r="D1248" s="97"/>
      <c r="E1248" s="98"/>
      <c r="F1248" s="98"/>
      <c r="G1248" s="98"/>
      <c r="H1248" s="98"/>
      <c r="I1248" s="98"/>
      <c r="J1248" s="98"/>
      <c r="K1248" s="98"/>
      <c r="L1248" s="98"/>
      <c r="M1248" s="98"/>
      <c r="N1248" s="98"/>
      <c r="O1248" s="98"/>
      <c r="P1248" s="98"/>
      <c r="Q1248" s="98"/>
      <c r="R1248" s="99"/>
    </row>
    <row r="1249" spans="1:18" x14ac:dyDescent="0.35">
      <c r="A1249" s="88">
        <f t="shared" si="38"/>
        <v>0</v>
      </c>
      <c r="B1249" s="89"/>
      <c r="C1249" s="90">
        <f t="shared" si="39"/>
        <v>0</v>
      </c>
      <c r="D1249" s="97"/>
      <c r="E1249" s="98"/>
      <c r="F1249" s="98"/>
      <c r="G1249" s="98"/>
      <c r="H1249" s="98"/>
      <c r="I1249" s="98"/>
      <c r="J1249" s="98"/>
      <c r="K1249" s="98"/>
      <c r="L1249" s="98"/>
      <c r="M1249" s="98"/>
      <c r="N1249" s="98"/>
      <c r="O1249" s="98"/>
      <c r="P1249" s="98"/>
      <c r="Q1249" s="98"/>
      <c r="R1249" s="99"/>
    </row>
    <row r="1250" spans="1:18" x14ac:dyDescent="0.35">
      <c r="A1250" s="88">
        <f t="shared" si="38"/>
        <v>0</v>
      </c>
      <c r="B1250" s="89"/>
      <c r="C1250" s="90">
        <f t="shared" si="39"/>
        <v>0</v>
      </c>
      <c r="D1250" s="97"/>
      <c r="E1250" s="98"/>
      <c r="F1250" s="98"/>
      <c r="G1250" s="98"/>
      <c r="H1250" s="98"/>
      <c r="I1250" s="98"/>
      <c r="J1250" s="98"/>
      <c r="K1250" s="98"/>
      <c r="L1250" s="98"/>
      <c r="M1250" s="98"/>
      <c r="N1250" s="98"/>
      <c r="O1250" s="98"/>
      <c r="P1250" s="98"/>
      <c r="Q1250" s="98"/>
      <c r="R1250" s="99"/>
    </row>
    <row r="1251" spans="1:18" x14ac:dyDescent="0.35">
      <c r="A1251" s="88">
        <f t="shared" si="38"/>
        <v>0</v>
      </c>
      <c r="B1251" s="89"/>
      <c r="C1251" s="90">
        <f t="shared" si="39"/>
        <v>0</v>
      </c>
      <c r="D1251" s="97"/>
      <c r="E1251" s="98"/>
      <c r="F1251" s="98"/>
      <c r="G1251" s="98"/>
      <c r="H1251" s="98"/>
      <c r="I1251" s="98"/>
      <c r="J1251" s="98"/>
      <c r="K1251" s="98"/>
      <c r="L1251" s="98"/>
      <c r="M1251" s="98"/>
      <c r="N1251" s="98"/>
      <c r="O1251" s="98"/>
      <c r="P1251" s="98"/>
      <c r="Q1251" s="98"/>
      <c r="R1251" s="99"/>
    </row>
    <row r="1252" spans="1:18" x14ac:dyDescent="0.35">
      <c r="A1252" s="88">
        <f t="shared" si="38"/>
        <v>0</v>
      </c>
      <c r="B1252" s="89"/>
      <c r="C1252" s="90">
        <f t="shared" si="39"/>
        <v>0</v>
      </c>
      <c r="D1252" s="97"/>
      <c r="E1252" s="98"/>
      <c r="F1252" s="98"/>
      <c r="G1252" s="98"/>
      <c r="H1252" s="98"/>
      <c r="I1252" s="98"/>
      <c r="J1252" s="98"/>
      <c r="K1252" s="98"/>
      <c r="L1252" s="98"/>
      <c r="M1252" s="98"/>
      <c r="N1252" s="98"/>
      <c r="O1252" s="98"/>
      <c r="P1252" s="98"/>
      <c r="Q1252" s="98"/>
      <c r="R1252" s="99"/>
    </row>
    <row r="1253" spans="1:18" x14ac:dyDescent="0.35">
      <c r="A1253" s="88">
        <f t="shared" si="38"/>
        <v>0</v>
      </c>
      <c r="B1253" s="89"/>
      <c r="C1253" s="90">
        <f t="shared" si="39"/>
        <v>0</v>
      </c>
      <c r="D1253" s="97"/>
      <c r="E1253" s="98"/>
      <c r="F1253" s="98"/>
      <c r="G1253" s="98"/>
      <c r="H1253" s="98"/>
      <c r="I1253" s="98"/>
      <c r="J1253" s="98"/>
      <c r="K1253" s="98"/>
      <c r="L1253" s="98"/>
      <c r="M1253" s="98"/>
      <c r="N1253" s="98"/>
      <c r="O1253" s="98"/>
      <c r="P1253" s="98"/>
      <c r="Q1253" s="98"/>
      <c r="R1253" s="99"/>
    </row>
    <row r="1254" spans="1:18" x14ac:dyDescent="0.35">
      <c r="A1254" s="88">
        <f t="shared" si="38"/>
        <v>0</v>
      </c>
      <c r="B1254" s="89"/>
      <c r="C1254" s="90">
        <f t="shared" si="39"/>
        <v>0</v>
      </c>
      <c r="D1254" s="97"/>
      <c r="E1254" s="98"/>
      <c r="F1254" s="98"/>
      <c r="G1254" s="98"/>
      <c r="H1254" s="98"/>
      <c r="I1254" s="98"/>
      <c r="J1254" s="98"/>
      <c r="K1254" s="98"/>
      <c r="L1254" s="98"/>
      <c r="M1254" s="98"/>
      <c r="N1254" s="98"/>
      <c r="O1254" s="98"/>
      <c r="P1254" s="98"/>
      <c r="Q1254" s="98"/>
      <c r="R1254" s="99"/>
    </row>
    <row r="1255" spans="1:18" x14ac:dyDescent="0.35">
      <c r="A1255" s="88">
        <f t="shared" si="38"/>
        <v>0</v>
      </c>
      <c r="B1255" s="89"/>
      <c r="C1255" s="90">
        <f t="shared" si="39"/>
        <v>0</v>
      </c>
      <c r="D1255" s="97"/>
      <c r="E1255" s="98"/>
      <c r="F1255" s="98"/>
      <c r="G1255" s="98"/>
      <c r="H1255" s="98"/>
      <c r="I1255" s="98"/>
      <c r="J1255" s="98"/>
      <c r="K1255" s="98"/>
      <c r="L1255" s="98"/>
      <c r="M1255" s="98"/>
      <c r="N1255" s="98"/>
      <c r="O1255" s="98"/>
      <c r="P1255" s="98"/>
      <c r="Q1255" s="98"/>
      <c r="R1255" s="99"/>
    </row>
    <row r="1256" spans="1:18" x14ac:dyDescent="0.35">
      <c r="A1256" s="88">
        <f t="shared" si="38"/>
        <v>0</v>
      </c>
      <c r="B1256" s="89"/>
      <c r="C1256" s="90">
        <f t="shared" si="39"/>
        <v>0</v>
      </c>
      <c r="D1256" s="97"/>
      <c r="E1256" s="98"/>
      <c r="F1256" s="98"/>
      <c r="G1256" s="98"/>
      <c r="H1256" s="98"/>
      <c r="I1256" s="98"/>
      <c r="J1256" s="98"/>
      <c r="K1256" s="98"/>
      <c r="L1256" s="98"/>
      <c r="M1256" s="98"/>
      <c r="N1256" s="98"/>
      <c r="O1256" s="98"/>
      <c r="P1256" s="98"/>
      <c r="Q1256" s="98"/>
      <c r="R1256" s="99"/>
    </row>
    <row r="1257" spans="1:18" x14ac:dyDescent="0.35">
      <c r="A1257" s="88">
        <f t="shared" si="38"/>
        <v>0</v>
      </c>
      <c r="B1257" s="89"/>
      <c r="C1257" s="90">
        <f t="shared" si="39"/>
        <v>0</v>
      </c>
      <c r="D1257" s="97"/>
      <c r="E1257" s="98"/>
      <c r="F1257" s="98"/>
      <c r="G1257" s="98"/>
      <c r="H1257" s="98"/>
      <c r="I1257" s="98"/>
      <c r="J1257" s="98"/>
      <c r="K1257" s="98"/>
      <c r="L1257" s="98"/>
      <c r="M1257" s="98"/>
      <c r="N1257" s="98"/>
      <c r="O1257" s="98"/>
      <c r="P1257" s="98"/>
      <c r="Q1257" s="98"/>
      <c r="R1257" s="99"/>
    </row>
    <row r="1258" spans="1:18" x14ac:dyDescent="0.35">
      <c r="A1258" s="88">
        <f t="shared" si="38"/>
        <v>0</v>
      </c>
      <c r="B1258" s="89"/>
      <c r="C1258" s="90">
        <f t="shared" si="39"/>
        <v>0</v>
      </c>
      <c r="D1258" s="97"/>
      <c r="E1258" s="98"/>
      <c r="F1258" s="98"/>
      <c r="G1258" s="98"/>
      <c r="H1258" s="98"/>
      <c r="I1258" s="98"/>
      <c r="J1258" s="98"/>
      <c r="K1258" s="98"/>
      <c r="L1258" s="98"/>
      <c r="M1258" s="98"/>
      <c r="N1258" s="98"/>
      <c r="O1258" s="98"/>
      <c r="P1258" s="98"/>
      <c r="Q1258" s="98"/>
      <c r="R1258" s="99"/>
    </row>
    <row r="1259" spans="1:18" x14ac:dyDescent="0.35">
      <c r="A1259" s="88">
        <f t="shared" si="38"/>
        <v>0</v>
      </c>
      <c r="B1259" s="89"/>
      <c r="C1259" s="90">
        <f t="shared" si="39"/>
        <v>0</v>
      </c>
      <c r="D1259" s="97"/>
      <c r="E1259" s="98"/>
      <c r="F1259" s="98"/>
      <c r="G1259" s="98"/>
      <c r="H1259" s="98"/>
      <c r="I1259" s="98"/>
      <c r="J1259" s="98"/>
      <c r="K1259" s="98"/>
      <c r="L1259" s="98"/>
      <c r="M1259" s="98"/>
      <c r="N1259" s="98"/>
      <c r="O1259" s="98"/>
      <c r="P1259" s="98"/>
      <c r="Q1259" s="98"/>
      <c r="R1259" s="99"/>
    </row>
    <row r="1260" spans="1:18" x14ac:dyDescent="0.35">
      <c r="A1260" s="88">
        <f t="shared" si="38"/>
        <v>0</v>
      </c>
      <c r="B1260" s="89"/>
      <c r="C1260" s="90">
        <f t="shared" si="39"/>
        <v>0</v>
      </c>
      <c r="D1260" s="97"/>
      <c r="E1260" s="98"/>
      <c r="F1260" s="98"/>
      <c r="G1260" s="98"/>
      <c r="H1260" s="98"/>
      <c r="I1260" s="98"/>
      <c r="J1260" s="98"/>
      <c r="K1260" s="98"/>
      <c r="L1260" s="98"/>
      <c r="M1260" s="98"/>
      <c r="N1260" s="98"/>
      <c r="O1260" s="98"/>
      <c r="P1260" s="98"/>
      <c r="Q1260" s="98"/>
      <c r="R1260" s="99"/>
    </row>
    <row r="1261" spans="1:18" x14ac:dyDescent="0.35">
      <c r="A1261" s="88">
        <f t="shared" si="38"/>
        <v>0</v>
      </c>
      <c r="B1261" s="89"/>
      <c r="C1261" s="90">
        <f t="shared" si="39"/>
        <v>0</v>
      </c>
      <c r="D1261" s="97"/>
      <c r="E1261" s="98"/>
      <c r="F1261" s="98"/>
      <c r="G1261" s="98"/>
      <c r="H1261" s="98"/>
      <c r="I1261" s="98"/>
      <c r="J1261" s="98"/>
      <c r="K1261" s="98"/>
      <c r="L1261" s="98"/>
      <c r="M1261" s="98"/>
      <c r="N1261" s="98"/>
      <c r="O1261" s="98"/>
      <c r="P1261" s="98"/>
      <c r="Q1261" s="98"/>
      <c r="R1261" s="99"/>
    </row>
    <row r="1262" spans="1:18" x14ac:dyDescent="0.35">
      <c r="A1262" s="88">
        <f t="shared" si="38"/>
        <v>0</v>
      </c>
      <c r="B1262" s="89"/>
      <c r="C1262" s="90">
        <f t="shared" si="39"/>
        <v>0</v>
      </c>
      <c r="D1262" s="97"/>
      <c r="E1262" s="98"/>
      <c r="F1262" s="98"/>
      <c r="G1262" s="98"/>
      <c r="H1262" s="98"/>
      <c r="I1262" s="98"/>
      <c r="J1262" s="98"/>
      <c r="K1262" s="98"/>
      <c r="L1262" s="98"/>
      <c r="M1262" s="98"/>
      <c r="N1262" s="98"/>
      <c r="O1262" s="98"/>
      <c r="P1262" s="98"/>
      <c r="Q1262" s="98"/>
      <c r="R1262" s="99"/>
    </row>
    <row r="1263" spans="1:18" x14ac:dyDescent="0.35">
      <c r="A1263" s="88">
        <f t="shared" si="38"/>
        <v>0</v>
      </c>
      <c r="B1263" s="89"/>
      <c r="C1263" s="90">
        <f t="shared" si="39"/>
        <v>0</v>
      </c>
      <c r="D1263" s="97"/>
      <c r="E1263" s="98"/>
      <c r="F1263" s="98"/>
      <c r="G1263" s="98"/>
      <c r="H1263" s="98"/>
      <c r="I1263" s="98"/>
      <c r="J1263" s="98"/>
      <c r="K1263" s="98"/>
      <c r="L1263" s="98"/>
      <c r="M1263" s="98"/>
      <c r="N1263" s="98"/>
      <c r="O1263" s="98"/>
      <c r="P1263" s="98"/>
      <c r="Q1263" s="98"/>
      <c r="R1263" s="99"/>
    </row>
    <row r="1264" spans="1:18" x14ac:dyDescent="0.35">
      <c r="A1264" s="88">
        <f t="shared" si="38"/>
        <v>0</v>
      </c>
      <c r="B1264" s="89"/>
      <c r="C1264" s="90">
        <f t="shared" si="39"/>
        <v>0</v>
      </c>
      <c r="D1264" s="97"/>
      <c r="E1264" s="98"/>
      <c r="F1264" s="98"/>
      <c r="G1264" s="98"/>
      <c r="H1264" s="98"/>
      <c r="I1264" s="98"/>
      <c r="J1264" s="98"/>
      <c r="K1264" s="98"/>
      <c r="L1264" s="98"/>
      <c r="M1264" s="98"/>
      <c r="N1264" s="98"/>
      <c r="O1264" s="98"/>
      <c r="P1264" s="98"/>
      <c r="Q1264" s="98"/>
      <c r="R1264" s="99"/>
    </row>
    <row r="1265" spans="1:18" x14ac:dyDescent="0.35">
      <c r="A1265" s="88">
        <f t="shared" si="38"/>
        <v>0</v>
      </c>
      <c r="B1265" s="89"/>
      <c r="C1265" s="90">
        <f t="shared" si="39"/>
        <v>0</v>
      </c>
      <c r="D1265" s="97"/>
      <c r="E1265" s="98"/>
      <c r="F1265" s="98"/>
      <c r="G1265" s="98"/>
      <c r="H1265" s="98"/>
      <c r="I1265" s="98"/>
      <c r="J1265" s="98"/>
      <c r="K1265" s="98"/>
      <c r="L1265" s="98"/>
      <c r="M1265" s="98"/>
      <c r="N1265" s="98"/>
      <c r="O1265" s="98"/>
      <c r="P1265" s="98"/>
      <c r="Q1265" s="98"/>
      <c r="R1265" s="99"/>
    </row>
    <row r="1266" spans="1:18" x14ac:dyDescent="0.35">
      <c r="A1266" s="88">
        <f t="shared" si="38"/>
        <v>0</v>
      </c>
      <c r="B1266" s="89"/>
      <c r="C1266" s="90">
        <f t="shared" si="39"/>
        <v>0</v>
      </c>
      <c r="D1266" s="97"/>
      <c r="E1266" s="98"/>
      <c r="F1266" s="98"/>
      <c r="G1266" s="98"/>
      <c r="H1266" s="98"/>
      <c r="I1266" s="98"/>
      <c r="J1266" s="98"/>
      <c r="K1266" s="98"/>
      <c r="L1266" s="98"/>
      <c r="M1266" s="98"/>
      <c r="N1266" s="98"/>
      <c r="O1266" s="98"/>
      <c r="P1266" s="98"/>
      <c r="Q1266" s="98"/>
      <c r="R1266" s="99"/>
    </row>
    <row r="1267" spans="1:18" x14ac:dyDescent="0.35">
      <c r="A1267" s="88">
        <f t="shared" si="38"/>
        <v>0</v>
      </c>
      <c r="B1267" s="89"/>
      <c r="C1267" s="90">
        <f t="shared" si="39"/>
        <v>0</v>
      </c>
      <c r="D1267" s="97"/>
      <c r="E1267" s="98"/>
      <c r="F1267" s="98"/>
      <c r="G1267" s="98"/>
      <c r="H1267" s="98"/>
      <c r="I1267" s="98"/>
      <c r="J1267" s="98"/>
      <c r="K1267" s="98"/>
      <c r="L1267" s="98"/>
      <c r="M1267" s="98"/>
      <c r="N1267" s="98"/>
      <c r="O1267" s="98"/>
      <c r="P1267" s="98"/>
      <c r="Q1267" s="98"/>
      <c r="R1267" s="99"/>
    </row>
    <row r="1268" spans="1:18" x14ac:dyDescent="0.35">
      <c r="A1268" s="88">
        <f t="shared" si="38"/>
        <v>0</v>
      </c>
      <c r="B1268" s="89"/>
      <c r="C1268" s="90">
        <f t="shared" si="39"/>
        <v>0</v>
      </c>
      <c r="D1268" s="97"/>
      <c r="E1268" s="98"/>
      <c r="F1268" s="98"/>
      <c r="G1268" s="98"/>
      <c r="H1268" s="98"/>
      <c r="I1268" s="98"/>
      <c r="J1268" s="98"/>
      <c r="K1268" s="98"/>
      <c r="L1268" s="98"/>
      <c r="M1268" s="98"/>
      <c r="N1268" s="98"/>
      <c r="O1268" s="98"/>
      <c r="P1268" s="98"/>
      <c r="Q1268" s="98"/>
      <c r="R1268" s="99"/>
    </row>
    <row r="1269" spans="1:18" x14ac:dyDescent="0.35">
      <c r="A1269" s="88">
        <f t="shared" si="38"/>
        <v>0</v>
      </c>
      <c r="B1269" s="89"/>
      <c r="C1269" s="90">
        <f t="shared" si="39"/>
        <v>0</v>
      </c>
      <c r="D1269" s="97"/>
      <c r="E1269" s="98"/>
      <c r="F1269" s="98"/>
      <c r="G1269" s="98"/>
      <c r="H1269" s="98"/>
      <c r="I1269" s="98"/>
      <c r="J1269" s="98"/>
      <c r="K1269" s="98"/>
      <c r="L1269" s="98"/>
      <c r="M1269" s="98"/>
      <c r="N1269" s="98"/>
      <c r="O1269" s="98"/>
      <c r="P1269" s="98"/>
      <c r="Q1269" s="98"/>
      <c r="R1269" s="99"/>
    </row>
    <row r="1270" spans="1:18" x14ac:dyDescent="0.35">
      <c r="A1270" s="88">
        <f t="shared" si="38"/>
        <v>0</v>
      </c>
      <c r="B1270" s="89"/>
      <c r="C1270" s="90">
        <f t="shared" si="39"/>
        <v>0</v>
      </c>
      <c r="D1270" s="97"/>
      <c r="E1270" s="98"/>
      <c r="F1270" s="98"/>
      <c r="G1270" s="98"/>
      <c r="H1270" s="98"/>
      <c r="I1270" s="98"/>
      <c r="J1270" s="98"/>
      <c r="K1270" s="98"/>
      <c r="L1270" s="98"/>
      <c r="M1270" s="98"/>
      <c r="N1270" s="98"/>
      <c r="O1270" s="98"/>
      <c r="P1270" s="98"/>
      <c r="Q1270" s="98"/>
      <c r="R1270" s="99"/>
    </row>
    <row r="1271" spans="1:18" x14ac:dyDescent="0.35">
      <c r="A1271" s="88">
        <f t="shared" si="38"/>
        <v>0</v>
      </c>
      <c r="B1271" s="89"/>
      <c r="C1271" s="90">
        <f t="shared" si="39"/>
        <v>0</v>
      </c>
      <c r="D1271" s="97"/>
      <c r="E1271" s="98"/>
      <c r="F1271" s="98"/>
      <c r="G1271" s="98"/>
      <c r="H1271" s="98"/>
      <c r="I1271" s="98"/>
      <c r="J1271" s="98"/>
      <c r="K1271" s="98"/>
      <c r="L1271" s="98"/>
      <c r="M1271" s="98"/>
      <c r="N1271" s="98"/>
      <c r="O1271" s="98"/>
      <c r="P1271" s="98"/>
      <c r="Q1271" s="98"/>
      <c r="R1271" s="99"/>
    </row>
    <row r="1272" spans="1:18" x14ac:dyDescent="0.35">
      <c r="A1272" s="88">
        <f t="shared" si="38"/>
        <v>0</v>
      </c>
      <c r="B1272" s="89"/>
      <c r="C1272" s="90">
        <f t="shared" si="39"/>
        <v>0</v>
      </c>
      <c r="D1272" s="97"/>
      <c r="E1272" s="98"/>
      <c r="F1272" s="98"/>
      <c r="G1272" s="98"/>
      <c r="H1272" s="98"/>
      <c r="I1272" s="98"/>
      <c r="J1272" s="98"/>
      <c r="K1272" s="98"/>
      <c r="L1272" s="98"/>
      <c r="M1272" s="98"/>
      <c r="N1272" s="98"/>
      <c r="O1272" s="98"/>
      <c r="P1272" s="98"/>
      <c r="Q1272" s="98"/>
      <c r="R1272" s="99"/>
    </row>
    <row r="1273" spans="1:18" x14ac:dyDescent="0.35">
      <c r="A1273" s="88">
        <f t="shared" si="38"/>
        <v>0</v>
      </c>
      <c r="B1273" s="89"/>
      <c r="C1273" s="90">
        <f t="shared" si="39"/>
        <v>0</v>
      </c>
      <c r="D1273" s="97"/>
      <c r="E1273" s="98"/>
      <c r="F1273" s="98"/>
      <c r="G1273" s="98"/>
      <c r="H1273" s="98"/>
      <c r="I1273" s="98"/>
      <c r="J1273" s="98"/>
      <c r="K1273" s="98"/>
      <c r="L1273" s="98"/>
      <c r="M1273" s="98"/>
      <c r="N1273" s="98"/>
      <c r="O1273" s="98"/>
      <c r="P1273" s="98"/>
      <c r="Q1273" s="98"/>
      <c r="R1273" s="99"/>
    </row>
    <row r="1274" spans="1:18" x14ac:dyDescent="0.35">
      <c r="A1274" s="88">
        <f t="shared" si="38"/>
        <v>0</v>
      </c>
      <c r="B1274" s="89"/>
      <c r="C1274" s="90">
        <f t="shared" si="39"/>
        <v>0</v>
      </c>
      <c r="D1274" s="97"/>
      <c r="E1274" s="98"/>
      <c r="F1274" s="98"/>
      <c r="G1274" s="98"/>
      <c r="H1274" s="98"/>
      <c r="I1274" s="98"/>
      <c r="J1274" s="98"/>
      <c r="K1274" s="98"/>
      <c r="L1274" s="98"/>
      <c r="M1274" s="98"/>
      <c r="N1274" s="98"/>
      <c r="O1274" s="98"/>
      <c r="P1274" s="98"/>
      <c r="Q1274" s="98"/>
      <c r="R1274" s="99"/>
    </row>
    <row r="1275" spans="1:18" x14ac:dyDescent="0.35">
      <c r="A1275" s="88">
        <f t="shared" si="38"/>
        <v>0</v>
      </c>
      <c r="B1275" s="89"/>
      <c r="C1275" s="90">
        <f t="shared" si="39"/>
        <v>0</v>
      </c>
      <c r="D1275" s="97"/>
      <c r="E1275" s="98"/>
      <c r="F1275" s="98"/>
      <c r="G1275" s="98"/>
      <c r="H1275" s="98"/>
      <c r="I1275" s="98"/>
      <c r="J1275" s="98"/>
      <c r="K1275" s="98"/>
      <c r="L1275" s="98"/>
      <c r="M1275" s="98"/>
      <c r="N1275" s="98"/>
      <c r="O1275" s="98"/>
      <c r="P1275" s="98"/>
      <c r="Q1275" s="98"/>
      <c r="R1275" s="99"/>
    </row>
    <row r="1276" spans="1:18" x14ac:dyDescent="0.35">
      <c r="A1276" s="88">
        <f t="shared" si="38"/>
        <v>0</v>
      </c>
      <c r="B1276" s="89"/>
      <c r="C1276" s="90">
        <f t="shared" si="39"/>
        <v>0</v>
      </c>
      <c r="D1276" s="97"/>
      <c r="E1276" s="98"/>
      <c r="F1276" s="98"/>
      <c r="G1276" s="98"/>
      <c r="H1276" s="98"/>
      <c r="I1276" s="98"/>
      <c r="J1276" s="98"/>
      <c r="K1276" s="98"/>
      <c r="L1276" s="98"/>
      <c r="M1276" s="98"/>
      <c r="N1276" s="98"/>
      <c r="O1276" s="98"/>
      <c r="P1276" s="98"/>
      <c r="Q1276" s="98"/>
      <c r="R1276" s="99"/>
    </row>
    <row r="1277" spans="1:18" x14ac:dyDescent="0.35">
      <c r="A1277" s="88">
        <f t="shared" si="38"/>
        <v>0</v>
      </c>
      <c r="B1277" s="89"/>
      <c r="C1277" s="90">
        <f t="shared" si="39"/>
        <v>0</v>
      </c>
      <c r="D1277" s="97"/>
      <c r="E1277" s="98"/>
      <c r="F1277" s="98"/>
      <c r="G1277" s="98"/>
      <c r="H1277" s="98"/>
      <c r="I1277" s="98"/>
      <c r="J1277" s="98"/>
      <c r="K1277" s="98"/>
      <c r="L1277" s="98"/>
      <c r="M1277" s="98"/>
      <c r="N1277" s="98"/>
      <c r="O1277" s="98"/>
      <c r="P1277" s="98"/>
      <c r="Q1277" s="98"/>
      <c r="R1277" s="99"/>
    </row>
    <row r="1278" spans="1:18" x14ac:dyDescent="0.35">
      <c r="A1278" s="88">
        <f t="shared" si="38"/>
        <v>0</v>
      </c>
      <c r="B1278" s="89"/>
      <c r="C1278" s="90">
        <f t="shared" si="39"/>
        <v>0</v>
      </c>
      <c r="D1278" s="97"/>
      <c r="E1278" s="98"/>
      <c r="F1278" s="98"/>
      <c r="G1278" s="98"/>
      <c r="H1278" s="98"/>
      <c r="I1278" s="98"/>
      <c r="J1278" s="98"/>
      <c r="K1278" s="98"/>
      <c r="L1278" s="98"/>
      <c r="M1278" s="98"/>
      <c r="N1278" s="98"/>
      <c r="O1278" s="98"/>
      <c r="P1278" s="98"/>
      <c r="Q1278" s="98"/>
      <c r="R1278" s="99"/>
    </row>
    <row r="1279" spans="1:18" x14ac:dyDescent="0.35">
      <c r="A1279" s="88">
        <f t="shared" si="38"/>
        <v>0</v>
      </c>
      <c r="B1279" s="89"/>
      <c r="C1279" s="90">
        <f t="shared" si="39"/>
        <v>0</v>
      </c>
      <c r="D1279" s="97"/>
      <c r="E1279" s="98"/>
      <c r="F1279" s="98"/>
      <c r="G1279" s="98"/>
      <c r="H1279" s="98"/>
      <c r="I1279" s="98"/>
      <c r="J1279" s="98"/>
      <c r="K1279" s="98"/>
      <c r="L1279" s="98"/>
      <c r="M1279" s="98"/>
      <c r="N1279" s="98"/>
      <c r="O1279" s="98"/>
      <c r="P1279" s="98"/>
      <c r="Q1279" s="98"/>
      <c r="R1279" s="99"/>
    </row>
    <row r="1280" spans="1:18" x14ac:dyDescent="0.35">
      <c r="A1280" s="88">
        <f t="shared" si="38"/>
        <v>0</v>
      </c>
      <c r="B1280" s="89"/>
      <c r="C1280" s="90">
        <f t="shared" si="39"/>
        <v>0</v>
      </c>
      <c r="D1280" s="97"/>
      <c r="E1280" s="98"/>
      <c r="F1280" s="98"/>
      <c r="G1280" s="98"/>
      <c r="H1280" s="98"/>
      <c r="I1280" s="98"/>
      <c r="J1280" s="98"/>
      <c r="K1280" s="98"/>
      <c r="L1280" s="98"/>
      <c r="M1280" s="98"/>
      <c r="N1280" s="98"/>
      <c r="O1280" s="98"/>
      <c r="P1280" s="98"/>
      <c r="Q1280" s="98"/>
      <c r="R1280" s="99"/>
    </row>
    <row r="1281" spans="1:18" x14ac:dyDescent="0.35">
      <c r="A1281" s="88">
        <f t="shared" si="38"/>
        <v>0</v>
      </c>
      <c r="B1281" s="89"/>
      <c r="C1281" s="90">
        <f t="shared" si="39"/>
        <v>0</v>
      </c>
      <c r="D1281" s="97"/>
      <c r="E1281" s="98"/>
      <c r="F1281" s="98"/>
      <c r="G1281" s="98"/>
      <c r="H1281" s="98"/>
      <c r="I1281" s="98"/>
      <c r="J1281" s="98"/>
      <c r="K1281" s="98"/>
      <c r="L1281" s="98"/>
      <c r="M1281" s="98"/>
      <c r="N1281" s="98"/>
      <c r="O1281" s="98"/>
      <c r="P1281" s="98"/>
      <c r="Q1281" s="98"/>
      <c r="R1281" s="99"/>
    </row>
    <row r="1282" spans="1:18" x14ac:dyDescent="0.35">
      <c r="A1282" s="88">
        <f t="shared" si="38"/>
        <v>0</v>
      </c>
      <c r="B1282" s="89"/>
      <c r="C1282" s="90">
        <f t="shared" si="39"/>
        <v>0</v>
      </c>
      <c r="D1282" s="97"/>
      <c r="E1282" s="98"/>
      <c r="F1282" s="98"/>
      <c r="G1282" s="98"/>
      <c r="H1282" s="98"/>
      <c r="I1282" s="98"/>
      <c r="J1282" s="98"/>
      <c r="K1282" s="98"/>
      <c r="L1282" s="98"/>
      <c r="M1282" s="98"/>
      <c r="N1282" s="98"/>
      <c r="O1282" s="98"/>
      <c r="P1282" s="98"/>
      <c r="Q1282" s="98"/>
      <c r="R1282" s="99"/>
    </row>
    <row r="1283" spans="1:18" x14ac:dyDescent="0.35">
      <c r="A1283" s="88">
        <f t="shared" si="38"/>
        <v>0</v>
      </c>
      <c r="B1283" s="89"/>
      <c r="C1283" s="90">
        <f t="shared" si="39"/>
        <v>0</v>
      </c>
      <c r="D1283" s="97"/>
      <c r="E1283" s="98"/>
      <c r="F1283" s="98"/>
      <c r="G1283" s="98"/>
      <c r="H1283" s="98"/>
      <c r="I1283" s="98"/>
      <c r="J1283" s="98"/>
      <c r="K1283" s="98"/>
      <c r="L1283" s="98"/>
      <c r="M1283" s="98"/>
      <c r="N1283" s="98"/>
      <c r="O1283" s="98"/>
      <c r="P1283" s="98"/>
      <c r="Q1283" s="98"/>
      <c r="R1283" s="99"/>
    </row>
    <row r="1284" spans="1:18" x14ac:dyDescent="0.35">
      <c r="A1284" s="88">
        <f t="shared" ref="A1284:A1347" si="40">F1284</f>
        <v>0</v>
      </c>
      <c r="B1284" s="89"/>
      <c r="C1284" s="90">
        <f t="shared" ref="C1284:C1347" si="41">F1284</f>
        <v>0</v>
      </c>
      <c r="D1284" s="97"/>
      <c r="E1284" s="98"/>
      <c r="F1284" s="98"/>
      <c r="G1284" s="98"/>
      <c r="H1284" s="98"/>
      <c r="I1284" s="98"/>
      <c r="J1284" s="98"/>
      <c r="K1284" s="98"/>
      <c r="L1284" s="98"/>
      <c r="M1284" s="98"/>
      <c r="N1284" s="98"/>
      <c r="O1284" s="98"/>
      <c r="P1284" s="98"/>
      <c r="Q1284" s="98"/>
      <c r="R1284" s="99"/>
    </row>
    <row r="1285" spans="1:18" x14ac:dyDescent="0.35">
      <c r="A1285" s="88">
        <f t="shared" si="40"/>
        <v>0</v>
      </c>
      <c r="B1285" s="89"/>
      <c r="C1285" s="90">
        <f t="shared" si="41"/>
        <v>0</v>
      </c>
      <c r="D1285" s="97"/>
      <c r="E1285" s="98"/>
      <c r="F1285" s="98"/>
      <c r="G1285" s="98"/>
      <c r="H1285" s="98"/>
      <c r="I1285" s="98"/>
      <c r="J1285" s="98"/>
      <c r="K1285" s="98"/>
      <c r="L1285" s="98"/>
      <c r="M1285" s="98"/>
      <c r="N1285" s="98"/>
      <c r="O1285" s="98"/>
      <c r="P1285" s="98"/>
      <c r="Q1285" s="98"/>
      <c r="R1285" s="99"/>
    </row>
    <row r="1286" spans="1:18" x14ac:dyDescent="0.35">
      <c r="A1286" s="88">
        <f t="shared" si="40"/>
        <v>0</v>
      </c>
      <c r="B1286" s="89"/>
      <c r="C1286" s="90">
        <f t="shared" si="41"/>
        <v>0</v>
      </c>
      <c r="D1286" s="97"/>
      <c r="E1286" s="98"/>
      <c r="F1286" s="98"/>
      <c r="G1286" s="98"/>
      <c r="H1286" s="98"/>
      <c r="I1286" s="98"/>
      <c r="J1286" s="98"/>
      <c r="K1286" s="98"/>
      <c r="L1286" s="98"/>
      <c r="M1286" s="98"/>
      <c r="N1286" s="98"/>
      <c r="O1286" s="98"/>
      <c r="P1286" s="98"/>
      <c r="Q1286" s="98"/>
      <c r="R1286" s="99"/>
    </row>
    <row r="1287" spans="1:18" x14ac:dyDescent="0.35">
      <c r="A1287" s="88">
        <f t="shared" si="40"/>
        <v>0</v>
      </c>
      <c r="B1287" s="89"/>
      <c r="C1287" s="90">
        <f t="shared" si="41"/>
        <v>0</v>
      </c>
      <c r="D1287" s="97"/>
      <c r="E1287" s="98"/>
      <c r="F1287" s="98"/>
      <c r="G1287" s="98"/>
      <c r="H1287" s="98"/>
      <c r="I1287" s="98"/>
      <c r="J1287" s="98"/>
      <c r="K1287" s="98"/>
      <c r="L1287" s="98"/>
      <c r="M1287" s="98"/>
      <c r="N1287" s="98"/>
      <c r="O1287" s="98"/>
      <c r="P1287" s="98"/>
      <c r="Q1287" s="98"/>
      <c r="R1287" s="99"/>
    </row>
    <row r="1288" spans="1:18" x14ac:dyDescent="0.35">
      <c r="A1288" s="88">
        <f t="shared" si="40"/>
        <v>0</v>
      </c>
      <c r="B1288" s="89"/>
      <c r="C1288" s="90">
        <f t="shared" si="41"/>
        <v>0</v>
      </c>
      <c r="D1288" s="97"/>
      <c r="E1288" s="98"/>
      <c r="F1288" s="98"/>
      <c r="G1288" s="98"/>
      <c r="H1288" s="98"/>
      <c r="I1288" s="98"/>
      <c r="J1288" s="98"/>
      <c r="K1288" s="98"/>
      <c r="L1288" s="98"/>
      <c r="M1288" s="98"/>
      <c r="N1288" s="98"/>
      <c r="O1288" s="98"/>
      <c r="P1288" s="98"/>
      <c r="Q1288" s="98"/>
      <c r="R1288" s="99"/>
    </row>
    <row r="1289" spans="1:18" x14ac:dyDescent="0.35">
      <c r="A1289" s="88">
        <f t="shared" si="40"/>
        <v>0</v>
      </c>
      <c r="B1289" s="89"/>
      <c r="C1289" s="90">
        <f t="shared" si="41"/>
        <v>0</v>
      </c>
      <c r="D1289" s="97"/>
      <c r="E1289" s="98"/>
      <c r="F1289" s="98"/>
      <c r="G1289" s="98"/>
      <c r="H1289" s="98"/>
      <c r="I1289" s="98"/>
      <c r="J1289" s="98"/>
      <c r="K1289" s="98"/>
      <c r="L1289" s="98"/>
      <c r="M1289" s="98"/>
      <c r="N1289" s="98"/>
      <c r="O1289" s="98"/>
      <c r="P1289" s="98"/>
      <c r="Q1289" s="98"/>
      <c r="R1289" s="99"/>
    </row>
    <row r="1290" spans="1:18" x14ac:dyDescent="0.35">
      <c r="A1290" s="88">
        <f t="shared" si="40"/>
        <v>0</v>
      </c>
      <c r="B1290" s="89"/>
      <c r="C1290" s="90">
        <f t="shared" si="41"/>
        <v>0</v>
      </c>
      <c r="D1290" s="97"/>
      <c r="E1290" s="98"/>
      <c r="F1290" s="98"/>
      <c r="G1290" s="98"/>
      <c r="H1290" s="98"/>
      <c r="I1290" s="98"/>
      <c r="J1290" s="98"/>
      <c r="K1290" s="98"/>
      <c r="L1290" s="98"/>
      <c r="M1290" s="98"/>
      <c r="N1290" s="98"/>
      <c r="O1290" s="98"/>
      <c r="P1290" s="98"/>
      <c r="Q1290" s="98"/>
      <c r="R1290" s="99"/>
    </row>
    <row r="1291" spans="1:18" x14ac:dyDescent="0.35">
      <c r="A1291" s="88">
        <f t="shared" si="40"/>
        <v>0</v>
      </c>
      <c r="B1291" s="89"/>
      <c r="C1291" s="90">
        <f t="shared" si="41"/>
        <v>0</v>
      </c>
      <c r="D1291" s="97"/>
      <c r="E1291" s="98"/>
      <c r="F1291" s="98"/>
      <c r="G1291" s="98"/>
      <c r="H1291" s="98"/>
      <c r="I1291" s="98"/>
      <c r="J1291" s="98"/>
      <c r="K1291" s="98"/>
      <c r="L1291" s="98"/>
      <c r="M1291" s="98"/>
      <c r="N1291" s="98"/>
      <c r="O1291" s="98"/>
      <c r="P1291" s="98"/>
      <c r="Q1291" s="98"/>
      <c r="R1291" s="99"/>
    </row>
    <row r="1292" spans="1:18" x14ac:dyDescent="0.35">
      <c r="A1292" s="88">
        <f t="shared" si="40"/>
        <v>0</v>
      </c>
      <c r="B1292" s="89"/>
      <c r="C1292" s="90">
        <f t="shared" si="41"/>
        <v>0</v>
      </c>
      <c r="D1292" s="97"/>
      <c r="E1292" s="98"/>
      <c r="F1292" s="98"/>
      <c r="G1292" s="98"/>
      <c r="H1292" s="98"/>
      <c r="I1292" s="98"/>
      <c r="J1292" s="98"/>
      <c r="K1292" s="98"/>
      <c r="L1292" s="98"/>
      <c r="M1292" s="98"/>
      <c r="N1292" s="98"/>
      <c r="O1292" s="98"/>
      <c r="P1292" s="98"/>
      <c r="Q1292" s="98"/>
      <c r="R1292" s="99"/>
    </row>
    <row r="1293" spans="1:18" x14ac:dyDescent="0.35">
      <c r="A1293" s="88">
        <f t="shared" si="40"/>
        <v>0</v>
      </c>
      <c r="B1293" s="89"/>
      <c r="C1293" s="90">
        <f t="shared" si="41"/>
        <v>0</v>
      </c>
      <c r="D1293" s="97"/>
      <c r="E1293" s="98"/>
      <c r="F1293" s="98"/>
      <c r="G1293" s="98"/>
      <c r="H1293" s="98"/>
      <c r="I1293" s="98"/>
      <c r="J1293" s="98"/>
      <c r="K1293" s="98"/>
      <c r="L1293" s="98"/>
      <c r="M1293" s="98"/>
      <c r="N1293" s="98"/>
      <c r="O1293" s="98"/>
      <c r="P1293" s="98"/>
      <c r="Q1293" s="98"/>
      <c r="R1293" s="99"/>
    </row>
    <row r="1294" spans="1:18" x14ac:dyDescent="0.35">
      <c r="A1294" s="88">
        <f t="shared" si="40"/>
        <v>0</v>
      </c>
      <c r="B1294" s="89"/>
      <c r="C1294" s="90">
        <f t="shared" si="41"/>
        <v>0</v>
      </c>
      <c r="D1294" s="97"/>
      <c r="E1294" s="98"/>
      <c r="F1294" s="98"/>
      <c r="G1294" s="98"/>
      <c r="H1294" s="98"/>
      <c r="I1294" s="98"/>
      <c r="J1294" s="98"/>
      <c r="K1294" s="98"/>
      <c r="L1294" s="98"/>
      <c r="M1294" s="98"/>
      <c r="N1294" s="98"/>
      <c r="O1294" s="98"/>
      <c r="P1294" s="98"/>
      <c r="Q1294" s="98"/>
      <c r="R1294" s="99"/>
    </row>
    <row r="1295" spans="1:18" x14ac:dyDescent="0.35">
      <c r="A1295" s="88">
        <f t="shared" si="40"/>
        <v>0</v>
      </c>
      <c r="B1295" s="89"/>
      <c r="C1295" s="90">
        <f t="shared" si="41"/>
        <v>0</v>
      </c>
      <c r="D1295" s="97"/>
      <c r="E1295" s="98"/>
      <c r="F1295" s="98"/>
      <c r="G1295" s="98"/>
      <c r="H1295" s="98"/>
      <c r="I1295" s="98"/>
      <c r="J1295" s="98"/>
      <c r="K1295" s="98"/>
      <c r="L1295" s="98"/>
      <c r="M1295" s="98"/>
      <c r="N1295" s="98"/>
      <c r="O1295" s="98"/>
      <c r="P1295" s="98"/>
      <c r="Q1295" s="98"/>
      <c r="R1295" s="99"/>
    </row>
    <row r="1296" spans="1:18" x14ac:dyDescent="0.35">
      <c r="A1296" s="88">
        <f t="shared" si="40"/>
        <v>0</v>
      </c>
      <c r="B1296" s="89"/>
      <c r="C1296" s="90">
        <f t="shared" si="41"/>
        <v>0</v>
      </c>
      <c r="D1296" s="97"/>
      <c r="E1296" s="98"/>
      <c r="F1296" s="98"/>
      <c r="G1296" s="98"/>
      <c r="H1296" s="98"/>
      <c r="I1296" s="98"/>
      <c r="J1296" s="98"/>
      <c r="K1296" s="98"/>
      <c r="L1296" s="98"/>
      <c r="M1296" s="98"/>
      <c r="N1296" s="98"/>
      <c r="O1296" s="98"/>
      <c r="P1296" s="98"/>
      <c r="Q1296" s="98"/>
      <c r="R1296" s="99"/>
    </row>
    <row r="1297" spans="1:18" x14ac:dyDescent="0.35">
      <c r="A1297" s="88">
        <f t="shared" si="40"/>
        <v>0</v>
      </c>
      <c r="B1297" s="89"/>
      <c r="C1297" s="90">
        <f t="shared" si="41"/>
        <v>0</v>
      </c>
      <c r="D1297" s="97"/>
      <c r="E1297" s="98"/>
      <c r="F1297" s="98"/>
      <c r="G1297" s="98"/>
      <c r="H1297" s="98"/>
      <c r="I1297" s="98"/>
      <c r="J1297" s="98"/>
      <c r="K1297" s="98"/>
      <c r="L1297" s="98"/>
      <c r="M1297" s="98"/>
      <c r="N1297" s="98"/>
      <c r="O1297" s="98"/>
      <c r="P1297" s="98"/>
      <c r="Q1297" s="98"/>
      <c r="R1297" s="99"/>
    </row>
    <row r="1298" spans="1:18" x14ac:dyDescent="0.35">
      <c r="A1298" s="88">
        <f t="shared" si="40"/>
        <v>0</v>
      </c>
      <c r="B1298" s="89"/>
      <c r="C1298" s="90">
        <f t="shared" si="41"/>
        <v>0</v>
      </c>
      <c r="D1298" s="97"/>
      <c r="E1298" s="98"/>
      <c r="F1298" s="98"/>
      <c r="G1298" s="98"/>
      <c r="H1298" s="98"/>
      <c r="I1298" s="98"/>
      <c r="J1298" s="98"/>
      <c r="K1298" s="98"/>
      <c r="L1298" s="98"/>
      <c r="M1298" s="98"/>
      <c r="N1298" s="98"/>
      <c r="O1298" s="98"/>
      <c r="P1298" s="98"/>
      <c r="Q1298" s="98"/>
      <c r="R1298" s="99"/>
    </row>
    <row r="1299" spans="1:18" x14ac:dyDescent="0.35">
      <c r="A1299" s="88">
        <f t="shared" si="40"/>
        <v>0</v>
      </c>
      <c r="B1299" s="89"/>
      <c r="C1299" s="90">
        <f t="shared" si="41"/>
        <v>0</v>
      </c>
      <c r="D1299" s="97"/>
      <c r="E1299" s="98"/>
      <c r="F1299" s="98"/>
      <c r="G1299" s="98"/>
      <c r="H1299" s="98"/>
      <c r="I1299" s="98"/>
      <c r="J1299" s="98"/>
      <c r="K1299" s="98"/>
      <c r="L1299" s="98"/>
      <c r="M1299" s="98"/>
      <c r="N1299" s="98"/>
      <c r="O1299" s="98"/>
      <c r="P1299" s="98"/>
      <c r="Q1299" s="98"/>
      <c r="R1299" s="99"/>
    </row>
    <row r="1300" spans="1:18" x14ac:dyDescent="0.35">
      <c r="A1300" s="88">
        <f t="shared" si="40"/>
        <v>0</v>
      </c>
      <c r="B1300" s="89"/>
      <c r="C1300" s="90">
        <f t="shared" si="41"/>
        <v>0</v>
      </c>
      <c r="D1300" s="97"/>
      <c r="E1300" s="98"/>
      <c r="F1300" s="98"/>
      <c r="G1300" s="98"/>
      <c r="H1300" s="98"/>
      <c r="I1300" s="98"/>
      <c r="J1300" s="98"/>
      <c r="K1300" s="98"/>
      <c r="L1300" s="98"/>
      <c r="M1300" s="98"/>
      <c r="N1300" s="98"/>
      <c r="O1300" s="98"/>
      <c r="P1300" s="98"/>
      <c r="Q1300" s="98"/>
      <c r="R1300" s="99"/>
    </row>
    <row r="1301" spans="1:18" x14ac:dyDescent="0.35">
      <c r="A1301" s="88">
        <f t="shared" si="40"/>
        <v>0</v>
      </c>
      <c r="B1301" s="89"/>
      <c r="C1301" s="90">
        <f t="shared" si="41"/>
        <v>0</v>
      </c>
      <c r="D1301" s="97"/>
      <c r="E1301" s="98"/>
      <c r="F1301" s="98"/>
      <c r="G1301" s="98"/>
      <c r="H1301" s="98"/>
      <c r="I1301" s="98"/>
      <c r="J1301" s="98"/>
      <c r="K1301" s="98"/>
      <c r="L1301" s="98"/>
      <c r="M1301" s="98"/>
      <c r="N1301" s="98"/>
      <c r="O1301" s="98"/>
      <c r="P1301" s="98"/>
      <c r="Q1301" s="98"/>
      <c r="R1301" s="99"/>
    </row>
    <row r="1302" spans="1:18" x14ac:dyDescent="0.35">
      <c r="A1302" s="88">
        <f t="shared" si="40"/>
        <v>0</v>
      </c>
      <c r="B1302" s="89"/>
      <c r="C1302" s="90">
        <f t="shared" si="41"/>
        <v>0</v>
      </c>
      <c r="D1302" s="97"/>
      <c r="E1302" s="98"/>
      <c r="F1302" s="98"/>
      <c r="G1302" s="98"/>
      <c r="H1302" s="98"/>
      <c r="I1302" s="98"/>
      <c r="J1302" s="98"/>
      <c r="K1302" s="98"/>
      <c r="L1302" s="98"/>
      <c r="M1302" s="98"/>
      <c r="N1302" s="98"/>
      <c r="O1302" s="98"/>
      <c r="P1302" s="98"/>
      <c r="Q1302" s="98"/>
      <c r="R1302" s="99"/>
    </row>
    <row r="1303" spans="1:18" x14ac:dyDescent="0.35">
      <c r="A1303" s="88">
        <f t="shared" si="40"/>
        <v>0</v>
      </c>
      <c r="B1303" s="89"/>
      <c r="C1303" s="90">
        <f t="shared" si="41"/>
        <v>0</v>
      </c>
      <c r="D1303" s="97"/>
      <c r="E1303" s="98"/>
      <c r="F1303" s="98"/>
      <c r="G1303" s="98"/>
      <c r="H1303" s="98"/>
      <c r="I1303" s="98"/>
      <c r="J1303" s="98"/>
      <c r="K1303" s="98"/>
      <c r="L1303" s="98"/>
      <c r="M1303" s="98"/>
      <c r="N1303" s="98"/>
      <c r="O1303" s="98"/>
      <c r="P1303" s="98"/>
      <c r="Q1303" s="98"/>
      <c r="R1303" s="99"/>
    </row>
    <row r="1304" spans="1:18" x14ac:dyDescent="0.35">
      <c r="A1304" s="88">
        <f t="shared" si="40"/>
        <v>0</v>
      </c>
      <c r="B1304" s="89"/>
      <c r="C1304" s="90">
        <f t="shared" si="41"/>
        <v>0</v>
      </c>
      <c r="D1304" s="97"/>
      <c r="E1304" s="98"/>
      <c r="F1304" s="98"/>
      <c r="G1304" s="98"/>
      <c r="H1304" s="98"/>
      <c r="I1304" s="98"/>
      <c r="J1304" s="98"/>
      <c r="K1304" s="98"/>
      <c r="L1304" s="98"/>
      <c r="M1304" s="98"/>
      <c r="N1304" s="98"/>
      <c r="O1304" s="98"/>
      <c r="P1304" s="98"/>
      <c r="Q1304" s="98"/>
      <c r="R1304" s="99"/>
    </row>
    <row r="1305" spans="1:18" x14ac:dyDescent="0.35">
      <c r="A1305" s="88">
        <f t="shared" si="40"/>
        <v>0</v>
      </c>
      <c r="B1305" s="89"/>
      <c r="C1305" s="90">
        <f t="shared" si="41"/>
        <v>0</v>
      </c>
      <c r="D1305" s="97"/>
      <c r="E1305" s="98"/>
      <c r="F1305" s="98"/>
      <c r="G1305" s="98"/>
      <c r="H1305" s="98"/>
      <c r="I1305" s="98"/>
      <c r="J1305" s="98"/>
      <c r="K1305" s="98"/>
      <c r="L1305" s="98"/>
      <c r="M1305" s="98"/>
      <c r="N1305" s="98"/>
      <c r="O1305" s="98"/>
      <c r="P1305" s="98"/>
      <c r="Q1305" s="98"/>
      <c r="R1305" s="99"/>
    </row>
    <row r="1306" spans="1:18" x14ac:dyDescent="0.35">
      <c r="A1306" s="88">
        <f t="shared" si="40"/>
        <v>0</v>
      </c>
      <c r="B1306" s="89"/>
      <c r="C1306" s="90">
        <f t="shared" si="41"/>
        <v>0</v>
      </c>
      <c r="D1306" s="97"/>
      <c r="E1306" s="98"/>
      <c r="F1306" s="98"/>
      <c r="G1306" s="98"/>
      <c r="H1306" s="98"/>
      <c r="I1306" s="98"/>
      <c r="J1306" s="98"/>
      <c r="K1306" s="98"/>
      <c r="L1306" s="98"/>
      <c r="M1306" s="98"/>
      <c r="N1306" s="98"/>
      <c r="O1306" s="98"/>
      <c r="P1306" s="98"/>
      <c r="Q1306" s="98"/>
      <c r="R1306" s="99"/>
    </row>
    <row r="1307" spans="1:18" x14ac:dyDescent="0.35">
      <c r="A1307" s="88">
        <f t="shared" si="40"/>
        <v>0</v>
      </c>
      <c r="B1307" s="89"/>
      <c r="C1307" s="90">
        <f t="shared" si="41"/>
        <v>0</v>
      </c>
      <c r="D1307" s="97"/>
      <c r="E1307" s="98"/>
      <c r="F1307" s="98"/>
      <c r="G1307" s="98"/>
      <c r="H1307" s="98"/>
      <c r="I1307" s="98"/>
      <c r="J1307" s="98"/>
      <c r="K1307" s="98"/>
      <c r="L1307" s="98"/>
      <c r="M1307" s="98"/>
      <c r="N1307" s="98"/>
      <c r="O1307" s="98"/>
      <c r="P1307" s="98"/>
      <c r="Q1307" s="98"/>
      <c r="R1307" s="99"/>
    </row>
    <row r="1308" spans="1:18" x14ac:dyDescent="0.35">
      <c r="A1308" s="88">
        <f t="shared" si="40"/>
        <v>0</v>
      </c>
      <c r="B1308" s="89"/>
      <c r="C1308" s="90">
        <f t="shared" si="41"/>
        <v>0</v>
      </c>
      <c r="D1308" s="97"/>
      <c r="E1308" s="98"/>
      <c r="F1308" s="98"/>
      <c r="G1308" s="98"/>
      <c r="H1308" s="98"/>
      <c r="I1308" s="98"/>
      <c r="J1308" s="98"/>
      <c r="K1308" s="98"/>
      <c r="L1308" s="98"/>
      <c r="M1308" s="98"/>
      <c r="N1308" s="98"/>
      <c r="O1308" s="98"/>
      <c r="P1308" s="98"/>
      <c r="Q1308" s="98"/>
      <c r="R1308" s="99"/>
    </row>
    <row r="1309" spans="1:18" x14ac:dyDescent="0.35">
      <c r="A1309" s="88">
        <f t="shared" si="40"/>
        <v>0</v>
      </c>
      <c r="B1309" s="89"/>
      <c r="C1309" s="90">
        <f t="shared" si="41"/>
        <v>0</v>
      </c>
      <c r="D1309" s="97"/>
      <c r="E1309" s="98"/>
      <c r="F1309" s="98"/>
      <c r="G1309" s="98"/>
      <c r="H1309" s="98"/>
      <c r="I1309" s="98"/>
      <c r="J1309" s="98"/>
      <c r="K1309" s="98"/>
      <c r="L1309" s="98"/>
      <c r="M1309" s="98"/>
      <c r="N1309" s="98"/>
      <c r="O1309" s="98"/>
      <c r="P1309" s="98"/>
      <c r="Q1309" s="98"/>
      <c r="R1309" s="99"/>
    </row>
    <row r="1310" spans="1:18" x14ac:dyDescent="0.35">
      <c r="A1310" s="88">
        <f t="shared" si="40"/>
        <v>0</v>
      </c>
      <c r="B1310" s="89"/>
      <c r="C1310" s="90">
        <f t="shared" si="41"/>
        <v>0</v>
      </c>
      <c r="D1310" s="97"/>
      <c r="E1310" s="98"/>
      <c r="F1310" s="98"/>
      <c r="G1310" s="98"/>
      <c r="H1310" s="98"/>
      <c r="I1310" s="98"/>
      <c r="J1310" s="98"/>
      <c r="K1310" s="98"/>
      <c r="L1310" s="98"/>
      <c r="M1310" s="98"/>
      <c r="N1310" s="98"/>
      <c r="O1310" s="98"/>
      <c r="P1310" s="98"/>
      <c r="Q1310" s="98"/>
      <c r="R1310" s="99"/>
    </row>
    <row r="1311" spans="1:18" x14ac:dyDescent="0.35">
      <c r="A1311" s="88">
        <f t="shared" si="40"/>
        <v>0</v>
      </c>
      <c r="B1311" s="89"/>
      <c r="C1311" s="90">
        <f t="shared" si="41"/>
        <v>0</v>
      </c>
      <c r="D1311" s="97"/>
      <c r="E1311" s="98"/>
      <c r="F1311" s="98"/>
      <c r="G1311" s="98"/>
      <c r="H1311" s="98"/>
      <c r="I1311" s="98"/>
      <c r="J1311" s="98"/>
      <c r="K1311" s="98"/>
      <c r="L1311" s="98"/>
      <c r="M1311" s="98"/>
      <c r="N1311" s="98"/>
      <c r="O1311" s="98"/>
      <c r="P1311" s="98"/>
      <c r="Q1311" s="98"/>
      <c r="R1311" s="99"/>
    </row>
    <row r="1312" spans="1:18" x14ac:dyDescent="0.35">
      <c r="A1312" s="88">
        <f t="shared" si="40"/>
        <v>0</v>
      </c>
      <c r="B1312" s="89"/>
      <c r="C1312" s="90">
        <f t="shared" si="41"/>
        <v>0</v>
      </c>
      <c r="D1312" s="97"/>
      <c r="E1312" s="98"/>
      <c r="F1312" s="98"/>
      <c r="G1312" s="98"/>
      <c r="H1312" s="98"/>
      <c r="I1312" s="98"/>
      <c r="J1312" s="98"/>
      <c r="K1312" s="98"/>
      <c r="L1312" s="98"/>
      <c r="M1312" s="98"/>
      <c r="N1312" s="98"/>
      <c r="O1312" s="98"/>
      <c r="P1312" s="98"/>
      <c r="Q1312" s="98"/>
      <c r="R1312" s="99"/>
    </row>
    <row r="1313" spans="1:18" x14ac:dyDescent="0.35">
      <c r="A1313" s="88">
        <f t="shared" si="40"/>
        <v>0</v>
      </c>
      <c r="B1313" s="89"/>
      <c r="C1313" s="90">
        <f t="shared" si="41"/>
        <v>0</v>
      </c>
      <c r="D1313" s="97"/>
      <c r="E1313" s="98"/>
      <c r="F1313" s="98"/>
      <c r="G1313" s="98"/>
      <c r="H1313" s="98"/>
      <c r="I1313" s="98"/>
      <c r="J1313" s="98"/>
      <c r="K1313" s="98"/>
      <c r="L1313" s="98"/>
      <c r="M1313" s="98"/>
      <c r="N1313" s="98"/>
      <c r="O1313" s="98"/>
      <c r="P1313" s="98"/>
      <c r="Q1313" s="98"/>
      <c r="R1313" s="99"/>
    </row>
    <row r="1314" spans="1:18" x14ac:dyDescent="0.35">
      <c r="A1314" s="88">
        <f t="shared" si="40"/>
        <v>0</v>
      </c>
      <c r="B1314" s="89"/>
      <c r="C1314" s="90">
        <f t="shared" si="41"/>
        <v>0</v>
      </c>
      <c r="D1314" s="97"/>
      <c r="E1314" s="98"/>
      <c r="F1314" s="98"/>
      <c r="G1314" s="98"/>
      <c r="H1314" s="98"/>
      <c r="I1314" s="98"/>
      <c r="J1314" s="98"/>
      <c r="K1314" s="98"/>
      <c r="L1314" s="98"/>
      <c r="M1314" s="98"/>
      <c r="N1314" s="98"/>
      <c r="O1314" s="98"/>
      <c r="P1314" s="98"/>
      <c r="Q1314" s="98"/>
      <c r="R1314" s="99"/>
    </row>
    <row r="1315" spans="1:18" x14ac:dyDescent="0.35">
      <c r="A1315" s="88">
        <f t="shared" si="40"/>
        <v>0</v>
      </c>
      <c r="B1315" s="89"/>
      <c r="C1315" s="90">
        <f t="shared" si="41"/>
        <v>0</v>
      </c>
      <c r="D1315" s="97"/>
      <c r="E1315" s="98"/>
      <c r="F1315" s="98"/>
      <c r="G1315" s="98"/>
      <c r="H1315" s="98"/>
      <c r="I1315" s="98"/>
      <c r="J1315" s="98"/>
      <c r="K1315" s="98"/>
      <c r="L1315" s="98"/>
      <c r="M1315" s="98"/>
      <c r="N1315" s="98"/>
      <c r="O1315" s="98"/>
      <c r="P1315" s="98"/>
      <c r="Q1315" s="98"/>
      <c r="R1315" s="99"/>
    </row>
    <row r="1316" spans="1:18" x14ac:dyDescent="0.35">
      <c r="A1316" s="88">
        <f t="shared" si="40"/>
        <v>0</v>
      </c>
      <c r="B1316" s="89"/>
      <c r="C1316" s="90">
        <f t="shared" si="41"/>
        <v>0</v>
      </c>
      <c r="D1316" s="97"/>
      <c r="E1316" s="98"/>
      <c r="F1316" s="98"/>
      <c r="G1316" s="98"/>
      <c r="H1316" s="98"/>
      <c r="I1316" s="98"/>
      <c r="J1316" s="98"/>
      <c r="K1316" s="98"/>
      <c r="L1316" s="98"/>
      <c r="M1316" s="98"/>
      <c r="N1316" s="98"/>
      <c r="O1316" s="98"/>
      <c r="P1316" s="98"/>
      <c r="Q1316" s="98"/>
      <c r="R1316" s="99"/>
    </row>
    <row r="1317" spans="1:18" x14ac:dyDescent="0.35">
      <c r="A1317" s="88">
        <f t="shared" si="40"/>
        <v>0</v>
      </c>
      <c r="B1317" s="89"/>
      <c r="C1317" s="90">
        <f t="shared" si="41"/>
        <v>0</v>
      </c>
      <c r="D1317" s="97"/>
      <c r="E1317" s="98"/>
      <c r="F1317" s="98"/>
      <c r="G1317" s="98"/>
      <c r="H1317" s="98"/>
      <c r="I1317" s="98"/>
      <c r="J1317" s="98"/>
      <c r="K1317" s="98"/>
      <c r="L1317" s="98"/>
      <c r="M1317" s="98"/>
      <c r="N1317" s="98"/>
      <c r="O1317" s="98"/>
      <c r="P1317" s="98"/>
      <c r="Q1317" s="98"/>
      <c r="R1317" s="99"/>
    </row>
    <row r="1318" spans="1:18" x14ac:dyDescent="0.35">
      <c r="A1318" s="88">
        <f t="shared" si="40"/>
        <v>0</v>
      </c>
      <c r="B1318" s="89"/>
      <c r="C1318" s="90">
        <f t="shared" si="41"/>
        <v>0</v>
      </c>
      <c r="D1318" s="97"/>
      <c r="E1318" s="98"/>
      <c r="F1318" s="98"/>
      <c r="G1318" s="98"/>
      <c r="H1318" s="98"/>
      <c r="I1318" s="98"/>
      <c r="J1318" s="98"/>
      <c r="K1318" s="98"/>
      <c r="L1318" s="98"/>
      <c r="M1318" s="98"/>
      <c r="N1318" s="98"/>
      <c r="O1318" s="98"/>
      <c r="P1318" s="98"/>
      <c r="Q1318" s="98"/>
      <c r="R1318" s="99"/>
    </row>
    <row r="1319" spans="1:18" x14ac:dyDescent="0.35">
      <c r="A1319" s="88">
        <f t="shared" si="40"/>
        <v>0</v>
      </c>
      <c r="B1319" s="89"/>
      <c r="C1319" s="90">
        <f t="shared" si="41"/>
        <v>0</v>
      </c>
      <c r="D1319" s="97"/>
      <c r="E1319" s="98"/>
      <c r="F1319" s="98"/>
      <c r="G1319" s="98"/>
      <c r="H1319" s="98"/>
      <c r="I1319" s="98"/>
      <c r="J1319" s="98"/>
      <c r="K1319" s="98"/>
      <c r="L1319" s="98"/>
      <c r="M1319" s="98"/>
      <c r="N1319" s="98"/>
      <c r="O1319" s="98"/>
      <c r="P1319" s="98"/>
      <c r="Q1319" s="98"/>
      <c r="R1319" s="99"/>
    </row>
    <row r="1320" spans="1:18" x14ac:dyDescent="0.35">
      <c r="A1320" s="88">
        <f t="shared" si="40"/>
        <v>0</v>
      </c>
      <c r="B1320" s="89"/>
      <c r="C1320" s="90">
        <f t="shared" si="41"/>
        <v>0</v>
      </c>
      <c r="D1320" s="97"/>
      <c r="E1320" s="98"/>
      <c r="F1320" s="98"/>
      <c r="G1320" s="98"/>
      <c r="H1320" s="98"/>
      <c r="I1320" s="98"/>
      <c r="J1320" s="98"/>
      <c r="K1320" s="98"/>
      <c r="L1320" s="98"/>
      <c r="M1320" s="98"/>
      <c r="N1320" s="98"/>
      <c r="O1320" s="98"/>
      <c r="P1320" s="98"/>
      <c r="Q1320" s="98"/>
      <c r="R1320" s="99"/>
    </row>
    <row r="1321" spans="1:18" x14ac:dyDescent="0.35">
      <c r="A1321" s="88">
        <f t="shared" si="40"/>
        <v>0</v>
      </c>
      <c r="B1321" s="89"/>
      <c r="C1321" s="90">
        <f t="shared" si="41"/>
        <v>0</v>
      </c>
      <c r="D1321" s="97"/>
      <c r="E1321" s="98"/>
      <c r="F1321" s="98"/>
      <c r="G1321" s="98"/>
      <c r="H1321" s="98"/>
      <c r="I1321" s="98"/>
      <c r="J1321" s="98"/>
      <c r="K1321" s="98"/>
      <c r="L1321" s="98"/>
      <c r="M1321" s="98"/>
      <c r="N1321" s="98"/>
      <c r="O1321" s="98"/>
      <c r="P1321" s="98"/>
      <c r="Q1321" s="98"/>
      <c r="R1321" s="99"/>
    </row>
    <row r="1322" spans="1:18" x14ac:dyDescent="0.35">
      <c r="A1322" s="88">
        <f t="shared" si="40"/>
        <v>0</v>
      </c>
      <c r="B1322" s="89"/>
      <c r="C1322" s="90">
        <f t="shared" si="41"/>
        <v>0</v>
      </c>
      <c r="D1322" s="97"/>
      <c r="E1322" s="98"/>
      <c r="F1322" s="98"/>
      <c r="G1322" s="98"/>
      <c r="H1322" s="98"/>
      <c r="I1322" s="98"/>
      <c r="J1322" s="98"/>
      <c r="K1322" s="98"/>
      <c r="L1322" s="98"/>
      <c r="M1322" s="98"/>
      <c r="N1322" s="98"/>
      <c r="O1322" s="98"/>
      <c r="P1322" s="98"/>
      <c r="Q1322" s="98"/>
      <c r="R1322" s="99"/>
    </row>
    <row r="1323" spans="1:18" x14ac:dyDescent="0.35">
      <c r="A1323" s="88">
        <f t="shared" si="40"/>
        <v>0</v>
      </c>
      <c r="B1323" s="89"/>
      <c r="C1323" s="90">
        <f t="shared" si="41"/>
        <v>0</v>
      </c>
      <c r="D1323" s="97"/>
      <c r="E1323" s="98"/>
      <c r="F1323" s="98"/>
      <c r="G1323" s="98"/>
      <c r="H1323" s="98"/>
      <c r="I1323" s="98"/>
      <c r="J1323" s="98"/>
      <c r="K1323" s="98"/>
      <c r="L1323" s="98"/>
      <c r="M1323" s="98"/>
      <c r="N1323" s="98"/>
      <c r="O1323" s="98"/>
      <c r="P1323" s="98"/>
      <c r="Q1323" s="98"/>
      <c r="R1323" s="99"/>
    </row>
    <row r="1324" spans="1:18" x14ac:dyDescent="0.35">
      <c r="A1324" s="88">
        <f t="shared" si="40"/>
        <v>0</v>
      </c>
      <c r="B1324" s="89"/>
      <c r="C1324" s="90">
        <f t="shared" si="41"/>
        <v>0</v>
      </c>
      <c r="D1324" s="97"/>
      <c r="E1324" s="98"/>
      <c r="F1324" s="98"/>
      <c r="G1324" s="98"/>
      <c r="H1324" s="98"/>
      <c r="I1324" s="98"/>
      <c r="J1324" s="98"/>
      <c r="K1324" s="98"/>
      <c r="L1324" s="98"/>
      <c r="M1324" s="98"/>
      <c r="N1324" s="98"/>
      <c r="O1324" s="98"/>
      <c r="P1324" s="98"/>
      <c r="Q1324" s="98"/>
      <c r="R1324" s="99"/>
    </row>
    <row r="1325" spans="1:18" x14ac:dyDescent="0.35">
      <c r="A1325" s="88">
        <f t="shared" si="40"/>
        <v>0</v>
      </c>
      <c r="B1325" s="89"/>
      <c r="C1325" s="90">
        <f t="shared" si="41"/>
        <v>0</v>
      </c>
      <c r="D1325" s="97"/>
      <c r="E1325" s="98"/>
      <c r="F1325" s="98"/>
      <c r="G1325" s="98"/>
      <c r="H1325" s="98"/>
      <c r="I1325" s="98"/>
      <c r="J1325" s="98"/>
      <c r="K1325" s="98"/>
      <c r="L1325" s="98"/>
      <c r="M1325" s="98"/>
      <c r="N1325" s="98"/>
      <c r="O1325" s="98"/>
      <c r="P1325" s="98"/>
      <c r="Q1325" s="98"/>
      <c r="R1325" s="99"/>
    </row>
    <row r="1326" spans="1:18" x14ac:dyDescent="0.35">
      <c r="A1326" s="88">
        <f t="shared" si="40"/>
        <v>0</v>
      </c>
      <c r="B1326" s="89"/>
      <c r="C1326" s="90">
        <f t="shared" si="41"/>
        <v>0</v>
      </c>
      <c r="D1326" s="97"/>
      <c r="E1326" s="98"/>
      <c r="F1326" s="98"/>
      <c r="G1326" s="98"/>
      <c r="H1326" s="98"/>
      <c r="I1326" s="98"/>
      <c r="J1326" s="98"/>
      <c r="K1326" s="98"/>
      <c r="L1326" s="98"/>
      <c r="M1326" s="98"/>
      <c r="N1326" s="98"/>
      <c r="O1326" s="98"/>
      <c r="P1326" s="98"/>
      <c r="Q1326" s="98"/>
      <c r="R1326" s="99"/>
    </row>
    <row r="1327" spans="1:18" x14ac:dyDescent="0.35">
      <c r="A1327" s="88">
        <f t="shared" si="40"/>
        <v>0</v>
      </c>
      <c r="B1327" s="89"/>
      <c r="C1327" s="90">
        <f t="shared" si="41"/>
        <v>0</v>
      </c>
      <c r="D1327" s="97"/>
      <c r="E1327" s="98"/>
      <c r="F1327" s="98"/>
      <c r="G1327" s="98"/>
      <c r="H1327" s="98"/>
      <c r="I1327" s="98"/>
      <c r="J1327" s="98"/>
      <c r="K1327" s="98"/>
      <c r="L1327" s="98"/>
      <c r="M1327" s="98"/>
      <c r="N1327" s="98"/>
      <c r="O1327" s="98"/>
      <c r="P1327" s="98"/>
      <c r="Q1327" s="98"/>
      <c r="R1327" s="99"/>
    </row>
    <row r="1328" spans="1:18" x14ac:dyDescent="0.35">
      <c r="A1328" s="88">
        <f t="shared" si="40"/>
        <v>0</v>
      </c>
      <c r="B1328" s="89"/>
      <c r="C1328" s="90">
        <f t="shared" si="41"/>
        <v>0</v>
      </c>
      <c r="D1328" s="97"/>
      <c r="E1328" s="98"/>
      <c r="F1328" s="98"/>
      <c r="G1328" s="98"/>
      <c r="H1328" s="98"/>
      <c r="I1328" s="98"/>
      <c r="J1328" s="98"/>
      <c r="K1328" s="98"/>
      <c r="L1328" s="98"/>
      <c r="M1328" s="98"/>
      <c r="N1328" s="98"/>
      <c r="O1328" s="98"/>
      <c r="P1328" s="98"/>
      <c r="Q1328" s="98"/>
      <c r="R1328" s="99"/>
    </row>
    <row r="1329" spans="1:18" x14ac:dyDescent="0.35">
      <c r="A1329" s="88">
        <f t="shared" si="40"/>
        <v>0</v>
      </c>
      <c r="B1329" s="89"/>
      <c r="C1329" s="90">
        <f t="shared" si="41"/>
        <v>0</v>
      </c>
      <c r="D1329" s="97"/>
      <c r="E1329" s="98"/>
      <c r="F1329" s="98"/>
      <c r="G1329" s="98"/>
      <c r="H1329" s="98"/>
      <c r="I1329" s="98"/>
      <c r="J1329" s="98"/>
      <c r="K1329" s="98"/>
      <c r="L1329" s="98"/>
      <c r="M1329" s="98"/>
      <c r="N1329" s="98"/>
      <c r="O1329" s="98"/>
      <c r="P1329" s="98"/>
      <c r="Q1329" s="98"/>
      <c r="R1329" s="99"/>
    </row>
    <row r="1330" spans="1:18" x14ac:dyDescent="0.35">
      <c r="A1330" s="88">
        <f t="shared" si="40"/>
        <v>0</v>
      </c>
      <c r="B1330" s="89"/>
      <c r="C1330" s="90">
        <f t="shared" si="41"/>
        <v>0</v>
      </c>
      <c r="D1330" s="97"/>
      <c r="E1330" s="98"/>
      <c r="F1330" s="98"/>
      <c r="G1330" s="98"/>
      <c r="H1330" s="98"/>
      <c r="I1330" s="98"/>
      <c r="J1330" s="98"/>
      <c r="K1330" s="98"/>
      <c r="L1330" s="98"/>
      <c r="M1330" s="98"/>
      <c r="N1330" s="98"/>
      <c r="O1330" s="98"/>
      <c r="P1330" s="98"/>
      <c r="Q1330" s="98"/>
      <c r="R1330" s="99"/>
    </row>
    <row r="1331" spans="1:18" x14ac:dyDescent="0.35">
      <c r="A1331" s="88">
        <f t="shared" si="40"/>
        <v>0</v>
      </c>
      <c r="B1331" s="89"/>
      <c r="C1331" s="90">
        <f t="shared" si="41"/>
        <v>0</v>
      </c>
      <c r="D1331" s="97"/>
      <c r="E1331" s="98"/>
      <c r="F1331" s="98"/>
      <c r="G1331" s="98"/>
      <c r="H1331" s="98"/>
      <c r="I1331" s="98"/>
      <c r="J1331" s="98"/>
      <c r="K1331" s="98"/>
      <c r="L1331" s="98"/>
      <c r="M1331" s="98"/>
      <c r="N1331" s="98"/>
      <c r="O1331" s="98"/>
      <c r="P1331" s="98"/>
      <c r="Q1331" s="98"/>
      <c r="R1331" s="99"/>
    </row>
    <row r="1332" spans="1:18" x14ac:dyDescent="0.35">
      <c r="A1332" s="88">
        <f t="shared" si="40"/>
        <v>0</v>
      </c>
      <c r="B1332" s="89"/>
      <c r="C1332" s="90">
        <f t="shared" si="41"/>
        <v>0</v>
      </c>
      <c r="D1332" s="97"/>
      <c r="E1332" s="98"/>
      <c r="F1332" s="98"/>
      <c r="G1332" s="98"/>
      <c r="H1332" s="98"/>
      <c r="I1332" s="98"/>
      <c r="J1332" s="98"/>
      <c r="K1332" s="98"/>
      <c r="L1332" s="98"/>
      <c r="M1332" s="98"/>
      <c r="N1332" s="98"/>
      <c r="O1332" s="98"/>
      <c r="P1332" s="98"/>
      <c r="Q1332" s="98"/>
      <c r="R1332" s="99"/>
    </row>
    <row r="1333" spans="1:18" x14ac:dyDescent="0.35">
      <c r="A1333" s="88">
        <f t="shared" si="40"/>
        <v>0</v>
      </c>
      <c r="B1333" s="89"/>
      <c r="C1333" s="90">
        <f t="shared" si="41"/>
        <v>0</v>
      </c>
      <c r="D1333" s="97"/>
      <c r="E1333" s="98"/>
      <c r="F1333" s="98"/>
      <c r="G1333" s="98"/>
      <c r="H1333" s="98"/>
      <c r="I1333" s="98"/>
      <c r="J1333" s="98"/>
      <c r="K1333" s="98"/>
      <c r="L1333" s="98"/>
      <c r="M1333" s="98"/>
      <c r="N1333" s="98"/>
      <c r="O1333" s="98"/>
      <c r="P1333" s="98"/>
      <c r="Q1333" s="98"/>
      <c r="R1333" s="99"/>
    </row>
    <row r="1334" spans="1:18" x14ac:dyDescent="0.35">
      <c r="A1334" s="88">
        <f t="shared" si="40"/>
        <v>0</v>
      </c>
      <c r="B1334" s="89"/>
      <c r="C1334" s="90">
        <f t="shared" si="41"/>
        <v>0</v>
      </c>
      <c r="D1334" s="97"/>
      <c r="E1334" s="98"/>
      <c r="F1334" s="98"/>
      <c r="G1334" s="98"/>
      <c r="H1334" s="98"/>
      <c r="I1334" s="98"/>
      <c r="J1334" s="98"/>
      <c r="K1334" s="98"/>
      <c r="L1334" s="98"/>
      <c r="M1334" s="98"/>
      <c r="N1334" s="98"/>
      <c r="O1334" s="98"/>
      <c r="P1334" s="98"/>
      <c r="Q1334" s="98"/>
      <c r="R1334" s="99"/>
    </row>
    <row r="1335" spans="1:18" x14ac:dyDescent="0.35">
      <c r="A1335" s="88">
        <f t="shared" si="40"/>
        <v>0</v>
      </c>
      <c r="B1335" s="89"/>
      <c r="C1335" s="90">
        <f t="shared" si="41"/>
        <v>0</v>
      </c>
      <c r="D1335" s="97"/>
      <c r="E1335" s="98"/>
      <c r="F1335" s="98"/>
      <c r="G1335" s="98"/>
      <c r="H1335" s="98"/>
      <c r="I1335" s="98"/>
      <c r="J1335" s="98"/>
      <c r="K1335" s="98"/>
      <c r="L1335" s="98"/>
      <c r="M1335" s="98"/>
      <c r="N1335" s="98"/>
      <c r="O1335" s="98"/>
      <c r="P1335" s="98"/>
      <c r="Q1335" s="98"/>
      <c r="R1335" s="99"/>
    </row>
    <row r="1336" spans="1:18" x14ac:dyDescent="0.35">
      <c r="A1336" s="88">
        <f t="shared" si="40"/>
        <v>0</v>
      </c>
      <c r="B1336" s="89"/>
      <c r="C1336" s="90">
        <f t="shared" si="41"/>
        <v>0</v>
      </c>
      <c r="D1336" s="97"/>
      <c r="E1336" s="98"/>
      <c r="F1336" s="98"/>
      <c r="G1336" s="98"/>
      <c r="H1336" s="98"/>
      <c r="I1336" s="98"/>
      <c r="J1336" s="98"/>
      <c r="K1336" s="98"/>
      <c r="L1336" s="98"/>
      <c r="M1336" s="98"/>
      <c r="N1336" s="98"/>
      <c r="O1336" s="98"/>
      <c r="P1336" s="98"/>
      <c r="Q1336" s="98"/>
      <c r="R1336" s="99"/>
    </row>
    <row r="1337" spans="1:18" x14ac:dyDescent="0.35">
      <c r="A1337" s="88">
        <f t="shared" si="40"/>
        <v>0</v>
      </c>
      <c r="B1337" s="89"/>
      <c r="C1337" s="90">
        <f t="shared" si="41"/>
        <v>0</v>
      </c>
      <c r="D1337" s="97"/>
      <c r="E1337" s="98"/>
      <c r="F1337" s="98"/>
      <c r="G1337" s="98"/>
      <c r="H1337" s="98"/>
      <c r="I1337" s="98"/>
      <c r="J1337" s="98"/>
      <c r="K1337" s="98"/>
      <c r="L1337" s="98"/>
      <c r="M1337" s="98"/>
      <c r="N1337" s="98"/>
      <c r="O1337" s="98"/>
      <c r="P1337" s="98"/>
      <c r="Q1337" s="98"/>
      <c r="R1337" s="99"/>
    </row>
    <row r="1338" spans="1:18" x14ac:dyDescent="0.35">
      <c r="A1338" s="88">
        <f t="shared" si="40"/>
        <v>0</v>
      </c>
      <c r="B1338" s="89"/>
      <c r="C1338" s="90">
        <f t="shared" si="41"/>
        <v>0</v>
      </c>
      <c r="D1338" s="97"/>
      <c r="E1338" s="98"/>
      <c r="F1338" s="98"/>
      <c r="G1338" s="98"/>
      <c r="H1338" s="98"/>
      <c r="I1338" s="98"/>
      <c r="J1338" s="98"/>
      <c r="K1338" s="98"/>
      <c r="L1338" s="98"/>
      <c r="M1338" s="98"/>
      <c r="N1338" s="98"/>
      <c r="O1338" s="98"/>
      <c r="P1338" s="98"/>
      <c r="Q1338" s="98"/>
      <c r="R1338" s="99"/>
    </row>
    <row r="1339" spans="1:18" x14ac:dyDescent="0.35">
      <c r="A1339" s="88">
        <f t="shared" si="40"/>
        <v>0</v>
      </c>
      <c r="B1339" s="89"/>
      <c r="C1339" s="90">
        <f t="shared" si="41"/>
        <v>0</v>
      </c>
      <c r="D1339" s="97"/>
      <c r="E1339" s="98"/>
      <c r="F1339" s="98"/>
      <c r="G1339" s="98"/>
      <c r="H1339" s="98"/>
      <c r="I1339" s="98"/>
      <c r="J1339" s="98"/>
      <c r="K1339" s="98"/>
      <c r="L1339" s="98"/>
      <c r="M1339" s="98"/>
      <c r="N1339" s="98"/>
      <c r="O1339" s="98"/>
      <c r="P1339" s="98"/>
      <c r="Q1339" s="98"/>
      <c r="R1339" s="99"/>
    </row>
    <row r="1340" spans="1:18" x14ac:dyDescent="0.35">
      <c r="A1340" s="88">
        <f t="shared" si="40"/>
        <v>0</v>
      </c>
      <c r="B1340" s="89"/>
      <c r="C1340" s="90">
        <f t="shared" si="41"/>
        <v>0</v>
      </c>
      <c r="D1340" s="97"/>
      <c r="E1340" s="98"/>
      <c r="F1340" s="98"/>
      <c r="G1340" s="98"/>
      <c r="H1340" s="98"/>
      <c r="I1340" s="98"/>
      <c r="J1340" s="98"/>
      <c r="K1340" s="98"/>
      <c r="L1340" s="98"/>
      <c r="M1340" s="98"/>
      <c r="N1340" s="98"/>
      <c r="O1340" s="98"/>
      <c r="P1340" s="98"/>
      <c r="Q1340" s="98"/>
      <c r="R1340" s="99"/>
    </row>
    <row r="1341" spans="1:18" x14ac:dyDescent="0.35">
      <c r="A1341" s="88">
        <f t="shared" si="40"/>
        <v>0</v>
      </c>
      <c r="B1341" s="89"/>
      <c r="C1341" s="90">
        <f t="shared" si="41"/>
        <v>0</v>
      </c>
      <c r="D1341" s="97"/>
      <c r="E1341" s="98"/>
      <c r="F1341" s="98"/>
      <c r="G1341" s="98"/>
      <c r="H1341" s="98"/>
      <c r="I1341" s="98"/>
      <c r="J1341" s="98"/>
      <c r="K1341" s="98"/>
      <c r="L1341" s="98"/>
      <c r="M1341" s="98"/>
      <c r="N1341" s="98"/>
      <c r="O1341" s="98"/>
      <c r="P1341" s="98"/>
      <c r="Q1341" s="98"/>
      <c r="R1341" s="99"/>
    </row>
    <row r="1342" spans="1:18" x14ac:dyDescent="0.35">
      <c r="A1342" s="88">
        <f t="shared" si="40"/>
        <v>0</v>
      </c>
      <c r="B1342" s="89"/>
      <c r="C1342" s="90">
        <f t="shared" si="41"/>
        <v>0</v>
      </c>
      <c r="D1342" s="97"/>
      <c r="E1342" s="98"/>
      <c r="F1342" s="98"/>
      <c r="G1342" s="98"/>
      <c r="H1342" s="98"/>
      <c r="I1342" s="98"/>
      <c r="J1342" s="98"/>
      <c r="K1342" s="98"/>
      <c r="L1342" s="98"/>
      <c r="M1342" s="98"/>
      <c r="N1342" s="98"/>
      <c r="O1342" s="98"/>
      <c r="P1342" s="98"/>
      <c r="Q1342" s="98"/>
      <c r="R1342" s="99"/>
    </row>
    <row r="1343" spans="1:18" x14ac:dyDescent="0.35">
      <c r="A1343" s="88">
        <f t="shared" si="40"/>
        <v>0</v>
      </c>
      <c r="B1343" s="89"/>
      <c r="C1343" s="90">
        <f t="shared" si="41"/>
        <v>0</v>
      </c>
      <c r="D1343" s="97"/>
      <c r="E1343" s="98"/>
      <c r="F1343" s="98"/>
      <c r="G1343" s="98"/>
      <c r="H1343" s="98"/>
      <c r="I1343" s="98"/>
      <c r="J1343" s="98"/>
      <c r="K1343" s="98"/>
      <c r="L1343" s="98"/>
      <c r="M1343" s="98"/>
      <c r="N1343" s="98"/>
      <c r="O1343" s="98"/>
      <c r="P1343" s="98"/>
      <c r="Q1343" s="98"/>
      <c r="R1343" s="99"/>
    </row>
    <row r="1344" spans="1:18" x14ac:dyDescent="0.35">
      <c r="A1344" s="88">
        <f t="shared" si="40"/>
        <v>0</v>
      </c>
      <c r="B1344" s="89"/>
      <c r="C1344" s="90">
        <f t="shared" si="41"/>
        <v>0</v>
      </c>
      <c r="D1344" s="97"/>
      <c r="E1344" s="98"/>
      <c r="F1344" s="98"/>
      <c r="G1344" s="98"/>
      <c r="H1344" s="98"/>
      <c r="I1344" s="98"/>
      <c r="J1344" s="98"/>
      <c r="K1344" s="98"/>
      <c r="L1344" s="98"/>
      <c r="M1344" s="98"/>
      <c r="N1344" s="98"/>
      <c r="O1344" s="98"/>
      <c r="P1344" s="98"/>
      <c r="Q1344" s="98"/>
      <c r="R1344" s="99"/>
    </row>
    <row r="1345" spans="1:18" x14ac:dyDescent="0.35">
      <c r="A1345" s="88">
        <f t="shared" si="40"/>
        <v>0</v>
      </c>
      <c r="B1345" s="89"/>
      <c r="C1345" s="90">
        <f t="shared" si="41"/>
        <v>0</v>
      </c>
      <c r="D1345" s="97"/>
      <c r="E1345" s="98"/>
      <c r="F1345" s="98"/>
      <c r="G1345" s="98"/>
      <c r="H1345" s="98"/>
      <c r="I1345" s="98"/>
      <c r="J1345" s="98"/>
      <c r="K1345" s="98"/>
      <c r="L1345" s="98"/>
      <c r="M1345" s="98"/>
      <c r="N1345" s="98"/>
      <c r="O1345" s="98"/>
      <c r="P1345" s="98"/>
      <c r="Q1345" s="98"/>
      <c r="R1345" s="99"/>
    </row>
    <row r="1346" spans="1:18" x14ac:dyDescent="0.35">
      <c r="A1346" s="88">
        <f t="shared" si="40"/>
        <v>0</v>
      </c>
      <c r="B1346" s="89"/>
      <c r="C1346" s="90">
        <f t="shared" si="41"/>
        <v>0</v>
      </c>
      <c r="D1346" s="97"/>
      <c r="E1346" s="98"/>
      <c r="F1346" s="98"/>
      <c r="G1346" s="98"/>
      <c r="H1346" s="98"/>
      <c r="I1346" s="98"/>
      <c r="J1346" s="98"/>
      <c r="K1346" s="98"/>
      <c r="L1346" s="98"/>
      <c r="M1346" s="98"/>
      <c r="N1346" s="98"/>
      <c r="O1346" s="98"/>
      <c r="P1346" s="98"/>
      <c r="Q1346" s="98"/>
      <c r="R1346" s="99"/>
    </row>
    <row r="1347" spans="1:18" x14ac:dyDescent="0.35">
      <c r="A1347" s="88">
        <f t="shared" si="40"/>
        <v>0</v>
      </c>
      <c r="B1347" s="89"/>
      <c r="C1347" s="90">
        <f t="shared" si="41"/>
        <v>0</v>
      </c>
      <c r="D1347" s="97"/>
      <c r="E1347" s="98"/>
      <c r="F1347" s="98"/>
      <c r="G1347" s="98"/>
      <c r="H1347" s="98"/>
      <c r="I1347" s="98"/>
      <c r="J1347" s="98"/>
      <c r="K1347" s="98"/>
      <c r="L1347" s="98"/>
      <c r="M1347" s="98"/>
      <c r="N1347" s="98"/>
      <c r="O1347" s="98"/>
      <c r="P1347" s="98"/>
      <c r="Q1347" s="98"/>
      <c r="R1347" s="99"/>
    </row>
    <row r="1348" spans="1:18" x14ac:dyDescent="0.35">
      <c r="A1348" s="88">
        <f t="shared" ref="A1348:A1411" si="42">F1348</f>
        <v>0</v>
      </c>
      <c r="B1348" s="89"/>
      <c r="C1348" s="90">
        <f t="shared" ref="C1348:C1411" si="43">F1348</f>
        <v>0</v>
      </c>
      <c r="D1348" s="97"/>
      <c r="E1348" s="98"/>
      <c r="F1348" s="98"/>
      <c r="G1348" s="98"/>
      <c r="H1348" s="98"/>
      <c r="I1348" s="98"/>
      <c r="J1348" s="98"/>
      <c r="K1348" s="98"/>
      <c r="L1348" s="98"/>
      <c r="M1348" s="98"/>
      <c r="N1348" s="98"/>
      <c r="O1348" s="98"/>
      <c r="P1348" s="98"/>
      <c r="Q1348" s="98"/>
      <c r="R1348" s="99"/>
    </row>
    <row r="1349" spans="1:18" x14ac:dyDescent="0.35">
      <c r="A1349" s="88">
        <f t="shared" si="42"/>
        <v>0</v>
      </c>
      <c r="B1349" s="89"/>
      <c r="C1349" s="90">
        <f t="shared" si="43"/>
        <v>0</v>
      </c>
      <c r="D1349" s="97"/>
      <c r="E1349" s="98"/>
      <c r="F1349" s="98"/>
      <c r="G1349" s="98"/>
      <c r="H1349" s="98"/>
      <c r="I1349" s="98"/>
      <c r="J1349" s="98"/>
      <c r="K1349" s="98"/>
      <c r="L1349" s="98"/>
      <c r="M1349" s="98"/>
      <c r="N1349" s="98"/>
      <c r="O1349" s="98"/>
      <c r="P1349" s="98"/>
      <c r="Q1349" s="98"/>
      <c r="R1349" s="99"/>
    </row>
    <row r="1350" spans="1:18" x14ac:dyDescent="0.35">
      <c r="A1350" s="88">
        <f t="shared" si="42"/>
        <v>0</v>
      </c>
      <c r="B1350" s="89"/>
      <c r="C1350" s="90">
        <f t="shared" si="43"/>
        <v>0</v>
      </c>
      <c r="D1350" s="97"/>
      <c r="E1350" s="98"/>
      <c r="F1350" s="98"/>
      <c r="G1350" s="98"/>
      <c r="H1350" s="98"/>
      <c r="I1350" s="98"/>
      <c r="J1350" s="98"/>
      <c r="K1350" s="98"/>
      <c r="L1350" s="98"/>
      <c r="M1350" s="98"/>
      <c r="N1350" s="98"/>
      <c r="O1350" s="98"/>
      <c r="P1350" s="98"/>
      <c r="Q1350" s="98"/>
      <c r="R1350" s="99"/>
    </row>
    <row r="1351" spans="1:18" x14ac:dyDescent="0.35">
      <c r="A1351" s="88">
        <f t="shared" si="42"/>
        <v>0</v>
      </c>
      <c r="B1351" s="89"/>
      <c r="C1351" s="90">
        <f t="shared" si="43"/>
        <v>0</v>
      </c>
      <c r="D1351" s="97"/>
      <c r="E1351" s="98"/>
      <c r="F1351" s="98"/>
      <c r="G1351" s="98"/>
      <c r="H1351" s="98"/>
      <c r="I1351" s="98"/>
      <c r="J1351" s="98"/>
      <c r="K1351" s="98"/>
      <c r="L1351" s="98"/>
      <c r="M1351" s="98"/>
      <c r="N1351" s="98"/>
      <c r="O1351" s="98"/>
      <c r="P1351" s="98"/>
      <c r="Q1351" s="98"/>
      <c r="R1351" s="99"/>
    </row>
    <row r="1352" spans="1:18" x14ac:dyDescent="0.35">
      <c r="A1352" s="88">
        <f t="shared" si="42"/>
        <v>0</v>
      </c>
      <c r="B1352" s="89"/>
      <c r="C1352" s="90">
        <f t="shared" si="43"/>
        <v>0</v>
      </c>
      <c r="D1352" s="97"/>
      <c r="E1352" s="98"/>
      <c r="F1352" s="98"/>
      <c r="G1352" s="98"/>
      <c r="H1352" s="98"/>
      <c r="I1352" s="98"/>
      <c r="J1352" s="98"/>
      <c r="K1352" s="98"/>
      <c r="L1352" s="98"/>
      <c r="M1352" s="98"/>
      <c r="N1352" s="98"/>
      <c r="O1352" s="98"/>
      <c r="P1352" s="98"/>
      <c r="Q1352" s="98"/>
      <c r="R1352" s="99"/>
    </row>
    <row r="1353" spans="1:18" x14ac:dyDescent="0.35">
      <c r="A1353" s="88">
        <f t="shared" si="42"/>
        <v>0</v>
      </c>
      <c r="B1353" s="89"/>
      <c r="C1353" s="90">
        <f t="shared" si="43"/>
        <v>0</v>
      </c>
      <c r="D1353" s="97"/>
      <c r="E1353" s="98"/>
      <c r="F1353" s="98"/>
      <c r="G1353" s="98"/>
      <c r="H1353" s="98"/>
      <c r="I1353" s="98"/>
      <c r="J1353" s="98"/>
      <c r="K1353" s="98"/>
      <c r="L1353" s="98"/>
      <c r="M1353" s="98"/>
      <c r="N1353" s="98"/>
      <c r="O1353" s="98"/>
      <c r="P1353" s="98"/>
      <c r="Q1353" s="98"/>
      <c r="R1353" s="99"/>
    </row>
    <row r="1354" spans="1:18" x14ac:dyDescent="0.35">
      <c r="A1354" s="88">
        <f t="shared" si="42"/>
        <v>0</v>
      </c>
      <c r="B1354" s="89"/>
      <c r="C1354" s="90">
        <f t="shared" si="43"/>
        <v>0</v>
      </c>
      <c r="D1354" s="97"/>
      <c r="E1354" s="98"/>
      <c r="F1354" s="98"/>
      <c r="G1354" s="98"/>
      <c r="H1354" s="98"/>
      <c r="I1354" s="98"/>
      <c r="J1354" s="98"/>
      <c r="K1354" s="98"/>
      <c r="L1354" s="98"/>
      <c r="M1354" s="98"/>
      <c r="N1354" s="98"/>
      <c r="O1354" s="98"/>
      <c r="P1354" s="98"/>
      <c r="Q1354" s="98"/>
      <c r="R1354" s="99"/>
    </row>
    <row r="1355" spans="1:18" x14ac:dyDescent="0.35">
      <c r="A1355" s="88">
        <f t="shared" si="42"/>
        <v>0</v>
      </c>
      <c r="B1355" s="89"/>
      <c r="C1355" s="90">
        <f t="shared" si="43"/>
        <v>0</v>
      </c>
      <c r="D1355" s="97"/>
      <c r="E1355" s="98"/>
      <c r="F1355" s="98"/>
      <c r="G1355" s="98"/>
      <c r="H1355" s="98"/>
      <c r="I1355" s="98"/>
      <c r="J1355" s="98"/>
      <c r="K1355" s="98"/>
      <c r="L1355" s="98"/>
      <c r="M1355" s="98"/>
      <c r="N1355" s="98"/>
      <c r="O1355" s="98"/>
      <c r="P1355" s="98"/>
      <c r="Q1355" s="98"/>
      <c r="R1355" s="99"/>
    </row>
    <row r="1356" spans="1:18" x14ac:dyDescent="0.35">
      <c r="A1356" s="88">
        <f t="shared" si="42"/>
        <v>0</v>
      </c>
      <c r="B1356" s="89"/>
      <c r="C1356" s="90">
        <f t="shared" si="43"/>
        <v>0</v>
      </c>
      <c r="D1356" s="97"/>
      <c r="E1356" s="98"/>
      <c r="F1356" s="98"/>
      <c r="G1356" s="98"/>
      <c r="H1356" s="98"/>
      <c r="I1356" s="98"/>
      <c r="J1356" s="98"/>
      <c r="K1356" s="98"/>
      <c r="L1356" s="98"/>
      <c r="M1356" s="98"/>
      <c r="N1356" s="98"/>
      <c r="O1356" s="98"/>
      <c r="P1356" s="98"/>
      <c r="Q1356" s="98"/>
      <c r="R1356" s="99"/>
    </row>
    <row r="1357" spans="1:18" x14ac:dyDescent="0.35">
      <c r="A1357" s="88">
        <f t="shared" si="42"/>
        <v>0</v>
      </c>
      <c r="B1357" s="89"/>
      <c r="C1357" s="90">
        <f t="shared" si="43"/>
        <v>0</v>
      </c>
      <c r="D1357" s="97"/>
      <c r="E1357" s="98"/>
      <c r="F1357" s="98"/>
      <c r="G1357" s="98"/>
      <c r="H1357" s="98"/>
      <c r="I1357" s="98"/>
      <c r="J1357" s="98"/>
      <c r="K1357" s="98"/>
      <c r="L1357" s="98"/>
      <c r="M1357" s="98"/>
      <c r="N1357" s="98"/>
      <c r="O1357" s="98"/>
      <c r="P1357" s="98"/>
      <c r="Q1357" s="98"/>
      <c r="R1357" s="99"/>
    </row>
    <row r="1358" spans="1:18" x14ac:dyDescent="0.35">
      <c r="A1358" s="88">
        <f t="shared" si="42"/>
        <v>0</v>
      </c>
      <c r="B1358" s="89"/>
      <c r="C1358" s="90">
        <f t="shared" si="43"/>
        <v>0</v>
      </c>
      <c r="D1358" s="97"/>
      <c r="E1358" s="98"/>
      <c r="F1358" s="98"/>
      <c r="G1358" s="98"/>
      <c r="H1358" s="98"/>
      <c r="I1358" s="98"/>
      <c r="J1358" s="98"/>
      <c r="K1358" s="98"/>
      <c r="L1358" s="98"/>
      <c r="M1358" s="98"/>
      <c r="N1358" s="98"/>
      <c r="O1358" s="98"/>
      <c r="P1358" s="98"/>
      <c r="Q1358" s="98"/>
      <c r="R1358" s="99"/>
    </row>
    <row r="1359" spans="1:18" x14ac:dyDescent="0.35">
      <c r="A1359" s="88">
        <f t="shared" si="42"/>
        <v>0</v>
      </c>
      <c r="B1359" s="89"/>
      <c r="C1359" s="90">
        <f t="shared" si="43"/>
        <v>0</v>
      </c>
      <c r="D1359" s="97"/>
      <c r="E1359" s="98"/>
      <c r="F1359" s="98"/>
      <c r="G1359" s="98"/>
      <c r="H1359" s="98"/>
      <c r="I1359" s="98"/>
      <c r="J1359" s="98"/>
      <c r="K1359" s="98"/>
      <c r="L1359" s="98"/>
      <c r="M1359" s="98"/>
      <c r="N1359" s="98"/>
      <c r="O1359" s="98"/>
      <c r="P1359" s="98"/>
      <c r="Q1359" s="98"/>
      <c r="R1359" s="99"/>
    </row>
    <row r="1360" spans="1:18" x14ac:dyDescent="0.35">
      <c r="A1360" s="88">
        <f t="shared" si="42"/>
        <v>0</v>
      </c>
      <c r="B1360" s="89"/>
      <c r="C1360" s="90">
        <f t="shared" si="43"/>
        <v>0</v>
      </c>
      <c r="D1360" s="97"/>
      <c r="E1360" s="98"/>
      <c r="F1360" s="98"/>
      <c r="G1360" s="98"/>
      <c r="H1360" s="98"/>
      <c r="I1360" s="98"/>
      <c r="J1360" s="98"/>
      <c r="K1360" s="98"/>
      <c r="L1360" s="98"/>
      <c r="M1360" s="98"/>
      <c r="N1360" s="98"/>
      <c r="O1360" s="98"/>
      <c r="P1360" s="98"/>
      <c r="Q1360" s="98"/>
      <c r="R1360" s="99"/>
    </row>
    <row r="1361" spans="1:18" x14ac:dyDescent="0.35">
      <c r="A1361" s="88">
        <f t="shared" si="42"/>
        <v>0</v>
      </c>
      <c r="B1361" s="89"/>
      <c r="C1361" s="90">
        <f t="shared" si="43"/>
        <v>0</v>
      </c>
      <c r="D1361" s="97"/>
      <c r="E1361" s="98"/>
      <c r="F1361" s="98"/>
      <c r="G1361" s="98"/>
      <c r="H1361" s="98"/>
      <c r="I1361" s="98"/>
      <c r="J1361" s="98"/>
      <c r="K1361" s="98"/>
      <c r="L1361" s="98"/>
      <c r="M1361" s="98"/>
      <c r="N1361" s="98"/>
      <c r="O1361" s="98"/>
      <c r="P1361" s="98"/>
      <c r="Q1361" s="98"/>
      <c r="R1361" s="99"/>
    </row>
    <row r="1362" spans="1:18" x14ac:dyDescent="0.35">
      <c r="A1362" s="88">
        <f t="shared" si="42"/>
        <v>0</v>
      </c>
      <c r="B1362" s="89"/>
      <c r="C1362" s="90">
        <f t="shared" si="43"/>
        <v>0</v>
      </c>
      <c r="D1362" s="97"/>
      <c r="E1362" s="98"/>
      <c r="F1362" s="98"/>
      <c r="G1362" s="98"/>
      <c r="H1362" s="98"/>
      <c r="I1362" s="98"/>
      <c r="J1362" s="98"/>
      <c r="K1362" s="98"/>
      <c r="L1362" s="98"/>
      <c r="M1362" s="98"/>
      <c r="N1362" s="98"/>
      <c r="O1362" s="98"/>
      <c r="P1362" s="98"/>
      <c r="Q1362" s="98"/>
      <c r="R1362" s="99"/>
    </row>
    <row r="1363" spans="1:18" x14ac:dyDescent="0.35">
      <c r="A1363" s="88">
        <f t="shared" si="42"/>
        <v>0</v>
      </c>
      <c r="B1363" s="89"/>
      <c r="C1363" s="90">
        <f t="shared" si="43"/>
        <v>0</v>
      </c>
      <c r="D1363" s="97"/>
      <c r="E1363" s="98"/>
      <c r="F1363" s="98"/>
      <c r="G1363" s="98"/>
      <c r="H1363" s="98"/>
      <c r="I1363" s="98"/>
      <c r="J1363" s="98"/>
      <c r="K1363" s="98"/>
      <c r="L1363" s="98"/>
      <c r="M1363" s="98"/>
      <c r="N1363" s="98"/>
      <c r="O1363" s="98"/>
      <c r="P1363" s="98"/>
      <c r="Q1363" s="98"/>
      <c r="R1363" s="99"/>
    </row>
    <row r="1364" spans="1:18" x14ac:dyDescent="0.35">
      <c r="A1364" s="88">
        <f t="shared" si="42"/>
        <v>0</v>
      </c>
      <c r="B1364" s="89"/>
      <c r="C1364" s="90">
        <f t="shared" si="43"/>
        <v>0</v>
      </c>
      <c r="D1364" s="97"/>
      <c r="E1364" s="98"/>
      <c r="F1364" s="98"/>
      <c r="G1364" s="98"/>
      <c r="H1364" s="98"/>
      <c r="I1364" s="98"/>
      <c r="J1364" s="98"/>
      <c r="K1364" s="98"/>
      <c r="L1364" s="98"/>
      <c r="M1364" s="98"/>
      <c r="N1364" s="98"/>
      <c r="O1364" s="98"/>
      <c r="P1364" s="98"/>
      <c r="Q1364" s="98"/>
      <c r="R1364" s="99"/>
    </row>
    <row r="1365" spans="1:18" x14ac:dyDescent="0.35">
      <c r="A1365" s="88">
        <f t="shared" si="42"/>
        <v>0</v>
      </c>
      <c r="B1365" s="89"/>
      <c r="C1365" s="90">
        <f t="shared" si="43"/>
        <v>0</v>
      </c>
      <c r="D1365" s="97"/>
      <c r="E1365" s="98"/>
      <c r="F1365" s="98"/>
      <c r="G1365" s="98"/>
      <c r="H1365" s="98"/>
      <c r="I1365" s="98"/>
      <c r="J1365" s="98"/>
      <c r="K1365" s="98"/>
      <c r="L1365" s="98"/>
      <c r="M1365" s="98"/>
      <c r="N1365" s="98"/>
      <c r="O1365" s="98"/>
      <c r="P1365" s="98"/>
      <c r="Q1365" s="98"/>
      <c r="R1365" s="99"/>
    </row>
    <row r="1366" spans="1:18" x14ac:dyDescent="0.35">
      <c r="A1366" s="88">
        <f t="shared" si="42"/>
        <v>0</v>
      </c>
      <c r="B1366" s="89"/>
      <c r="C1366" s="90">
        <f t="shared" si="43"/>
        <v>0</v>
      </c>
      <c r="D1366" s="97"/>
      <c r="E1366" s="98"/>
      <c r="F1366" s="98"/>
      <c r="G1366" s="98"/>
      <c r="H1366" s="98"/>
      <c r="I1366" s="98"/>
      <c r="J1366" s="98"/>
      <c r="K1366" s="98"/>
      <c r="L1366" s="98"/>
      <c r="M1366" s="98"/>
      <c r="N1366" s="98"/>
      <c r="O1366" s="98"/>
      <c r="P1366" s="98"/>
      <c r="Q1366" s="98"/>
      <c r="R1366" s="99"/>
    </row>
    <row r="1367" spans="1:18" x14ac:dyDescent="0.35">
      <c r="A1367" s="88">
        <f t="shared" si="42"/>
        <v>0</v>
      </c>
      <c r="B1367" s="89"/>
      <c r="C1367" s="90">
        <f t="shared" si="43"/>
        <v>0</v>
      </c>
      <c r="D1367" s="97"/>
      <c r="E1367" s="98"/>
      <c r="F1367" s="98"/>
      <c r="G1367" s="98"/>
      <c r="H1367" s="98"/>
      <c r="I1367" s="98"/>
      <c r="J1367" s="98"/>
      <c r="K1367" s="98"/>
      <c r="L1367" s="98"/>
      <c r="M1367" s="98"/>
      <c r="N1367" s="98"/>
      <c r="O1367" s="98"/>
      <c r="P1367" s="98"/>
      <c r="Q1367" s="98"/>
      <c r="R1367" s="99"/>
    </row>
    <row r="1368" spans="1:18" x14ac:dyDescent="0.35">
      <c r="A1368" s="88">
        <f t="shared" si="42"/>
        <v>0</v>
      </c>
      <c r="B1368" s="89"/>
      <c r="C1368" s="90">
        <f t="shared" si="43"/>
        <v>0</v>
      </c>
      <c r="D1368" s="97"/>
      <c r="E1368" s="98"/>
      <c r="F1368" s="98"/>
      <c r="G1368" s="98"/>
      <c r="H1368" s="98"/>
      <c r="I1368" s="98"/>
      <c r="J1368" s="98"/>
      <c r="K1368" s="98"/>
      <c r="L1368" s="98"/>
      <c r="M1368" s="98"/>
      <c r="N1368" s="98"/>
      <c r="O1368" s="98"/>
      <c r="P1368" s="98"/>
      <c r="Q1368" s="98"/>
      <c r="R1368" s="99"/>
    </row>
    <row r="1369" spans="1:18" x14ac:dyDescent="0.35">
      <c r="A1369" s="88">
        <f t="shared" si="42"/>
        <v>0</v>
      </c>
      <c r="B1369" s="89"/>
      <c r="C1369" s="90">
        <f t="shared" si="43"/>
        <v>0</v>
      </c>
      <c r="D1369" s="97"/>
      <c r="E1369" s="98"/>
      <c r="F1369" s="98"/>
      <c r="G1369" s="98"/>
      <c r="H1369" s="98"/>
      <c r="I1369" s="98"/>
      <c r="J1369" s="98"/>
      <c r="K1369" s="98"/>
      <c r="L1369" s="98"/>
      <c r="M1369" s="98"/>
      <c r="N1369" s="98"/>
      <c r="O1369" s="98"/>
      <c r="P1369" s="98"/>
      <c r="Q1369" s="98"/>
      <c r="R1369" s="99"/>
    </row>
    <row r="1370" spans="1:18" x14ac:dyDescent="0.35">
      <c r="A1370" s="88">
        <f t="shared" si="42"/>
        <v>0</v>
      </c>
      <c r="B1370" s="89"/>
      <c r="C1370" s="90">
        <f t="shared" si="43"/>
        <v>0</v>
      </c>
      <c r="D1370" s="97"/>
      <c r="E1370" s="98"/>
      <c r="F1370" s="98"/>
      <c r="G1370" s="98"/>
      <c r="H1370" s="98"/>
      <c r="I1370" s="98"/>
      <c r="J1370" s="98"/>
      <c r="K1370" s="98"/>
      <c r="L1370" s="98"/>
      <c r="M1370" s="98"/>
      <c r="N1370" s="98"/>
      <c r="O1370" s="98"/>
      <c r="P1370" s="98"/>
      <c r="Q1370" s="98"/>
      <c r="R1370" s="99"/>
    </row>
    <row r="1371" spans="1:18" x14ac:dyDescent="0.35">
      <c r="A1371" s="88">
        <f t="shared" si="42"/>
        <v>0</v>
      </c>
      <c r="B1371" s="89"/>
      <c r="C1371" s="90">
        <f t="shared" si="43"/>
        <v>0</v>
      </c>
      <c r="D1371" s="97"/>
      <c r="E1371" s="98"/>
      <c r="F1371" s="98"/>
      <c r="G1371" s="98"/>
      <c r="H1371" s="98"/>
      <c r="I1371" s="98"/>
      <c r="J1371" s="98"/>
      <c r="K1371" s="98"/>
      <c r="L1371" s="98"/>
      <c r="M1371" s="98"/>
      <c r="N1371" s="98"/>
      <c r="O1371" s="98"/>
      <c r="P1371" s="98"/>
      <c r="Q1371" s="98"/>
      <c r="R1371" s="99"/>
    </row>
    <row r="1372" spans="1:18" x14ac:dyDescent="0.35">
      <c r="A1372" s="88">
        <f t="shared" si="42"/>
        <v>0</v>
      </c>
      <c r="B1372" s="89"/>
      <c r="C1372" s="90">
        <f t="shared" si="43"/>
        <v>0</v>
      </c>
      <c r="D1372" s="97"/>
      <c r="E1372" s="98"/>
      <c r="F1372" s="98"/>
      <c r="G1372" s="98"/>
      <c r="H1372" s="98"/>
      <c r="I1372" s="98"/>
      <c r="J1372" s="98"/>
      <c r="K1372" s="98"/>
      <c r="L1372" s="98"/>
      <c r="M1372" s="98"/>
      <c r="N1372" s="98"/>
      <c r="O1372" s="98"/>
      <c r="P1372" s="98"/>
      <c r="Q1372" s="98"/>
      <c r="R1372" s="99"/>
    </row>
    <row r="1373" spans="1:18" x14ac:dyDescent="0.35">
      <c r="A1373" s="88">
        <f t="shared" si="42"/>
        <v>0</v>
      </c>
      <c r="B1373" s="89"/>
      <c r="C1373" s="90">
        <f t="shared" si="43"/>
        <v>0</v>
      </c>
      <c r="D1373" s="97"/>
      <c r="E1373" s="98"/>
      <c r="F1373" s="98"/>
      <c r="G1373" s="98"/>
      <c r="H1373" s="98"/>
      <c r="I1373" s="98"/>
      <c r="J1373" s="98"/>
      <c r="K1373" s="98"/>
      <c r="L1373" s="98"/>
      <c r="M1373" s="98"/>
      <c r="N1373" s="98"/>
      <c r="O1373" s="98"/>
      <c r="P1373" s="98"/>
      <c r="Q1373" s="98"/>
      <c r="R1373" s="99"/>
    </row>
    <row r="1374" spans="1:18" x14ac:dyDescent="0.35">
      <c r="A1374" s="88">
        <f t="shared" si="42"/>
        <v>0</v>
      </c>
      <c r="B1374" s="89"/>
      <c r="C1374" s="90">
        <f t="shared" si="43"/>
        <v>0</v>
      </c>
      <c r="D1374" s="97"/>
      <c r="E1374" s="98"/>
      <c r="F1374" s="98"/>
      <c r="G1374" s="98"/>
      <c r="H1374" s="98"/>
      <c r="I1374" s="98"/>
      <c r="J1374" s="98"/>
      <c r="K1374" s="98"/>
      <c r="L1374" s="98"/>
      <c r="M1374" s="98"/>
      <c r="N1374" s="98"/>
      <c r="O1374" s="98"/>
      <c r="P1374" s="98"/>
      <c r="Q1374" s="98"/>
      <c r="R1374" s="99"/>
    </row>
    <row r="1375" spans="1:18" x14ac:dyDescent="0.35">
      <c r="A1375" s="88">
        <f t="shared" si="42"/>
        <v>0</v>
      </c>
      <c r="B1375" s="89"/>
      <c r="C1375" s="90">
        <f t="shared" si="43"/>
        <v>0</v>
      </c>
      <c r="D1375" s="97"/>
      <c r="E1375" s="98"/>
      <c r="F1375" s="98"/>
      <c r="G1375" s="98"/>
      <c r="H1375" s="98"/>
      <c r="I1375" s="98"/>
      <c r="J1375" s="98"/>
      <c r="K1375" s="98"/>
      <c r="L1375" s="98"/>
      <c r="M1375" s="98"/>
      <c r="N1375" s="98"/>
      <c r="O1375" s="98"/>
      <c r="P1375" s="98"/>
      <c r="Q1375" s="98"/>
      <c r="R1375" s="99"/>
    </row>
    <row r="1376" spans="1:18" x14ac:dyDescent="0.35">
      <c r="A1376" s="88">
        <f t="shared" si="42"/>
        <v>0</v>
      </c>
      <c r="B1376" s="89"/>
      <c r="C1376" s="90">
        <f t="shared" si="43"/>
        <v>0</v>
      </c>
      <c r="D1376" s="97"/>
      <c r="E1376" s="98"/>
      <c r="F1376" s="98"/>
      <c r="G1376" s="98"/>
      <c r="H1376" s="98"/>
      <c r="I1376" s="98"/>
      <c r="J1376" s="98"/>
      <c r="K1376" s="98"/>
      <c r="L1376" s="98"/>
      <c r="M1376" s="98"/>
      <c r="N1376" s="98"/>
      <c r="O1376" s="98"/>
      <c r="P1376" s="98"/>
      <c r="Q1376" s="98"/>
      <c r="R1376" s="99"/>
    </row>
    <row r="1377" spans="1:18" x14ac:dyDescent="0.35">
      <c r="A1377" s="88">
        <f t="shared" si="42"/>
        <v>0</v>
      </c>
      <c r="B1377" s="89"/>
      <c r="C1377" s="90">
        <f t="shared" si="43"/>
        <v>0</v>
      </c>
      <c r="D1377" s="97"/>
      <c r="E1377" s="98"/>
      <c r="F1377" s="98"/>
      <c r="G1377" s="98"/>
      <c r="H1377" s="98"/>
      <c r="I1377" s="98"/>
      <c r="J1377" s="98"/>
      <c r="K1377" s="98"/>
      <c r="L1377" s="98"/>
      <c r="M1377" s="98"/>
      <c r="N1377" s="98"/>
      <c r="O1377" s="98"/>
      <c r="P1377" s="98"/>
      <c r="Q1377" s="98"/>
      <c r="R1377" s="99"/>
    </row>
    <row r="1378" spans="1:18" x14ac:dyDescent="0.35">
      <c r="A1378" s="88">
        <f t="shared" si="42"/>
        <v>0</v>
      </c>
      <c r="B1378" s="89"/>
      <c r="C1378" s="90">
        <f t="shared" si="43"/>
        <v>0</v>
      </c>
      <c r="D1378" s="97"/>
      <c r="E1378" s="98"/>
      <c r="F1378" s="98"/>
      <c r="G1378" s="98"/>
      <c r="H1378" s="98"/>
      <c r="I1378" s="98"/>
      <c r="J1378" s="98"/>
      <c r="K1378" s="98"/>
      <c r="L1378" s="98"/>
      <c r="M1378" s="98"/>
      <c r="N1378" s="98"/>
      <c r="O1378" s="98"/>
      <c r="P1378" s="98"/>
      <c r="Q1378" s="98"/>
      <c r="R1378" s="99"/>
    </row>
    <row r="1379" spans="1:18" x14ac:dyDescent="0.35">
      <c r="A1379" s="88">
        <f t="shared" si="42"/>
        <v>0</v>
      </c>
      <c r="B1379" s="89"/>
      <c r="C1379" s="90">
        <f t="shared" si="43"/>
        <v>0</v>
      </c>
      <c r="D1379" s="97"/>
      <c r="E1379" s="98"/>
      <c r="F1379" s="98"/>
      <c r="G1379" s="98"/>
      <c r="H1379" s="98"/>
      <c r="I1379" s="98"/>
      <c r="J1379" s="98"/>
      <c r="K1379" s="98"/>
      <c r="L1379" s="98"/>
      <c r="M1379" s="98"/>
      <c r="N1379" s="98"/>
      <c r="O1379" s="98"/>
      <c r="P1379" s="98"/>
      <c r="Q1379" s="98"/>
      <c r="R1379" s="99"/>
    </row>
    <row r="1380" spans="1:18" x14ac:dyDescent="0.35">
      <c r="A1380" s="88">
        <f t="shared" si="42"/>
        <v>0</v>
      </c>
      <c r="B1380" s="89"/>
      <c r="C1380" s="90">
        <f t="shared" si="43"/>
        <v>0</v>
      </c>
      <c r="D1380" s="97"/>
      <c r="E1380" s="98"/>
      <c r="F1380" s="98"/>
      <c r="G1380" s="98"/>
      <c r="H1380" s="98"/>
      <c r="I1380" s="98"/>
      <c r="J1380" s="98"/>
      <c r="K1380" s="98"/>
      <c r="L1380" s="98"/>
      <c r="M1380" s="98"/>
      <c r="N1380" s="98"/>
      <c r="O1380" s="98"/>
      <c r="P1380" s="98"/>
      <c r="Q1380" s="98"/>
      <c r="R1380" s="99"/>
    </row>
    <row r="1381" spans="1:18" x14ac:dyDescent="0.35">
      <c r="A1381" s="88">
        <f t="shared" si="42"/>
        <v>0</v>
      </c>
      <c r="B1381" s="89"/>
      <c r="C1381" s="90">
        <f t="shared" si="43"/>
        <v>0</v>
      </c>
      <c r="D1381" s="97"/>
      <c r="E1381" s="98"/>
      <c r="F1381" s="98"/>
      <c r="G1381" s="98"/>
      <c r="H1381" s="98"/>
      <c r="I1381" s="98"/>
      <c r="J1381" s="98"/>
      <c r="K1381" s="98"/>
      <c r="L1381" s="98"/>
      <c r="M1381" s="98"/>
      <c r="N1381" s="98"/>
      <c r="O1381" s="98"/>
      <c r="P1381" s="98"/>
      <c r="Q1381" s="98"/>
      <c r="R1381" s="99"/>
    </row>
    <row r="1382" spans="1:18" x14ac:dyDescent="0.35">
      <c r="A1382" s="88">
        <f t="shared" si="42"/>
        <v>0</v>
      </c>
      <c r="B1382" s="89"/>
      <c r="C1382" s="90">
        <f t="shared" si="43"/>
        <v>0</v>
      </c>
      <c r="D1382" s="97"/>
      <c r="E1382" s="98"/>
      <c r="F1382" s="98"/>
      <c r="G1382" s="98"/>
      <c r="H1382" s="98"/>
      <c r="I1382" s="98"/>
      <c r="J1382" s="98"/>
      <c r="K1382" s="98"/>
      <c r="L1382" s="98"/>
      <c r="M1382" s="98"/>
      <c r="N1382" s="98"/>
      <c r="O1382" s="98"/>
      <c r="P1382" s="98"/>
      <c r="Q1382" s="98"/>
      <c r="R1382" s="99"/>
    </row>
    <row r="1383" spans="1:18" x14ac:dyDescent="0.35">
      <c r="A1383" s="88">
        <f t="shared" si="42"/>
        <v>0</v>
      </c>
      <c r="B1383" s="89"/>
      <c r="C1383" s="90">
        <f t="shared" si="43"/>
        <v>0</v>
      </c>
      <c r="D1383" s="97"/>
      <c r="E1383" s="98"/>
      <c r="F1383" s="98"/>
      <c r="G1383" s="98"/>
      <c r="H1383" s="98"/>
      <c r="I1383" s="98"/>
      <c r="J1383" s="98"/>
      <c r="K1383" s="98"/>
      <c r="L1383" s="98"/>
      <c r="M1383" s="98"/>
      <c r="N1383" s="98"/>
      <c r="O1383" s="98"/>
      <c r="P1383" s="98"/>
      <c r="Q1383" s="98"/>
      <c r="R1383" s="99"/>
    </row>
    <row r="1384" spans="1:18" x14ac:dyDescent="0.35">
      <c r="A1384" s="88">
        <f t="shared" si="42"/>
        <v>0</v>
      </c>
      <c r="B1384" s="89"/>
      <c r="C1384" s="90">
        <f t="shared" si="43"/>
        <v>0</v>
      </c>
      <c r="D1384" s="97"/>
      <c r="E1384" s="98"/>
      <c r="F1384" s="98"/>
      <c r="G1384" s="98"/>
      <c r="H1384" s="98"/>
      <c r="I1384" s="98"/>
      <c r="J1384" s="98"/>
      <c r="K1384" s="98"/>
      <c r="L1384" s="98"/>
      <c r="M1384" s="98"/>
      <c r="N1384" s="98"/>
      <c r="O1384" s="98"/>
      <c r="P1384" s="98"/>
      <c r="Q1384" s="98"/>
      <c r="R1384" s="99"/>
    </row>
    <row r="1385" spans="1:18" x14ac:dyDescent="0.35">
      <c r="A1385" s="88">
        <f t="shared" si="42"/>
        <v>0</v>
      </c>
      <c r="B1385" s="89"/>
      <c r="C1385" s="90">
        <f t="shared" si="43"/>
        <v>0</v>
      </c>
      <c r="D1385" s="97"/>
      <c r="E1385" s="98"/>
      <c r="F1385" s="98"/>
      <c r="G1385" s="98"/>
      <c r="H1385" s="98"/>
      <c r="I1385" s="98"/>
      <c r="J1385" s="98"/>
      <c r="K1385" s="98"/>
      <c r="L1385" s="98"/>
      <c r="M1385" s="98"/>
      <c r="N1385" s="98"/>
      <c r="O1385" s="98"/>
      <c r="P1385" s="98"/>
      <c r="Q1385" s="98"/>
      <c r="R1385" s="99"/>
    </row>
    <row r="1386" spans="1:18" x14ac:dyDescent="0.35">
      <c r="A1386" s="88">
        <f t="shared" si="42"/>
        <v>0</v>
      </c>
      <c r="B1386" s="89"/>
      <c r="C1386" s="90">
        <f t="shared" si="43"/>
        <v>0</v>
      </c>
      <c r="D1386" s="97"/>
      <c r="E1386" s="98"/>
      <c r="F1386" s="98"/>
      <c r="G1386" s="98"/>
      <c r="H1386" s="98"/>
      <c r="I1386" s="98"/>
      <c r="J1386" s="98"/>
      <c r="K1386" s="98"/>
      <c r="L1386" s="98"/>
      <c r="M1386" s="98"/>
      <c r="N1386" s="98"/>
      <c r="O1386" s="98"/>
      <c r="P1386" s="98"/>
      <c r="Q1386" s="98"/>
      <c r="R1386" s="99"/>
    </row>
    <row r="1387" spans="1:18" x14ac:dyDescent="0.35">
      <c r="A1387" s="88">
        <f t="shared" si="42"/>
        <v>0</v>
      </c>
      <c r="B1387" s="89"/>
      <c r="C1387" s="90">
        <f t="shared" si="43"/>
        <v>0</v>
      </c>
      <c r="D1387" s="97"/>
      <c r="E1387" s="98"/>
      <c r="F1387" s="98"/>
      <c r="G1387" s="98"/>
      <c r="H1387" s="98"/>
      <c r="I1387" s="98"/>
      <c r="J1387" s="98"/>
      <c r="K1387" s="98"/>
      <c r="L1387" s="98"/>
      <c r="M1387" s="98"/>
      <c r="N1387" s="98"/>
      <c r="O1387" s="98"/>
      <c r="P1387" s="98"/>
      <c r="Q1387" s="98"/>
      <c r="R1387" s="99"/>
    </row>
    <row r="1388" spans="1:18" x14ac:dyDescent="0.35">
      <c r="A1388" s="88">
        <f t="shared" si="42"/>
        <v>0</v>
      </c>
      <c r="B1388" s="89"/>
      <c r="C1388" s="90">
        <f t="shared" si="43"/>
        <v>0</v>
      </c>
      <c r="D1388" s="97"/>
      <c r="E1388" s="98"/>
      <c r="F1388" s="98"/>
      <c r="G1388" s="98"/>
      <c r="H1388" s="98"/>
      <c r="I1388" s="98"/>
      <c r="J1388" s="98"/>
      <c r="K1388" s="98"/>
      <c r="L1388" s="98"/>
      <c r="M1388" s="98"/>
      <c r="N1388" s="98"/>
      <c r="O1388" s="98"/>
      <c r="P1388" s="98"/>
      <c r="Q1388" s="98"/>
      <c r="R1388" s="99"/>
    </row>
    <row r="1389" spans="1:18" x14ac:dyDescent="0.35">
      <c r="A1389" s="88">
        <f t="shared" si="42"/>
        <v>0</v>
      </c>
      <c r="B1389" s="89"/>
      <c r="C1389" s="90">
        <f t="shared" si="43"/>
        <v>0</v>
      </c>
      <c r="D1389" s="97"/>
      <c r="E1389" s="98"/>
      <c r="F1389" s="98"/>
      <c r="G1389" s="98"/>
      <c r="H1389" s="98"/>
      <c r="I1389" s="98"/>
      <c r="J1389" s="98"/>
      <c r="K1389" s="98"/>
      <c r="L1389" s="98"/>
      <c r="M1389" s="98"/>
      <c r="N1389" s="98"/>
      <c r="O1389" s="98"/>
      <c r="P1389" s="98"/>
      <c r="Q1389" s="98"/>
      <c r="R1389" s="99"/>
    </row>
    <row r="1390" spans="1:18" x14ac:dyDescent="0.35">
      <c r="A1390" s="88">
        <f t="shared" si="42"/>
        <v>0</v>
      </c>
      <c r="B1390" s="89"/>
      <c r="C1390" s="90">
        <f t="shared" si="43"/>
        <v>0</v>
      </c>
      <c r="D1390" s="97"/>
      <c r="E1390" s="98"/>
      <c r="F1390" s="98"/>
      <c r="G1390" s="98"/>
      <c r="H1390" s="98"/>
      <c r="I1390" s="98"/>
      <c r="J1390" s="98"/>
      <c r="K1390" s="98"/>
      <c r="L1390" s="98"/>
      <c r="M1390" s="98"/>
      <c r="N1390" s="98"/>
      <c r="O1390" s="98"/>
      <c r="P1390" s="98"/>
      <c r="Q1390" s="98"/>
      <c r="R1390" s="99"/>
    </row>
    <row r="1391" spans="1:18" x14ac:dyDescent="0.35">
      <c r="A1391" s="88">
        <f t="shared" si="42"/>
        <v>0</v>
      </c>
      <c r="B1391" s="89"/>
      <c r="C1391" s="90">
        <f t="shared" si="43"/>
        <v>0</v>
      </c>
      <c r="D1391" s="97"/>
      <c r="E1391" s="98"/>
      <c r="F1391" s="98"/>
      <c r="G1391" s="98"/>
      <c r="H1391" s="98"/>
      <c r="I1391" s="98"/>
      <c r="J1391" s="98"/>
      <c r="K1391" s="98"/>
      <c r="L1391" s="98"/>
      <c r="M1391" s="98"/>
      <c r="N1391" s="98"/>
      <c r="O1391" s="98"/>
      <c r="P1391" s="98"/>
      <c r="Q1391" s="98"/>
      <c r="R1391" s="99"/>
    </row>
    <row r="1392" spans="1:18" x14ac:dyDescent="0.35">
      <c r="A1392" s="88">
        <f t="shared" si="42"/>
        <v>0</v>
      </c>
      <c r="B1392" s="89"/>
      <c r="C1392" s="90">
        <f t="shared" si="43"/>
        <v>0</v>
      </c>
      <c r="D1392" s="97"/>
      <c r="E1392" s="98"/>
      <c r="F1392" s="98"/>
      <c r="G1392" s="98"/>
      <c r="H1392" s="98"/>
      <c r="I1392" s="98"/>
      <c r="J1392" s="98"/>
      <c r="K1392" s="98"/>
      <c r="L1392" s="98"/>
      <c r="M1392" s="98"/>
      <c r="N1392" s="98"/>
      <c r="O1392" s="98"/>
      <c r="P1392" s="98"/>
      <c r="Q1392" s="98"/>
      <c r="R1392" s="99"/>
    </row>
    <row r="1393" spans="1:18" x14ac:dyDescent="0.35">
      <c r="A1393" s="88">
        <f t="shared" si="42"/>
        <v>0</v>
      </c>
      <c r="B1393" s="89"/>
      <c r="C1393" s="90">
        <f t="shared" si="43"/>
        <v>0</v>
      </c>
      <c r="D1393" s="97"/>
      <c r="E1393" s="98"/>
      <c r="F1393" s="98"/>
      <c r="G1393" s="98"/>
      <c r="H1393" s="98"/>
      <c r="I1393" s="98"/>
      <c r="J1393" s="98"/>
      <c r="K1393" s="98"/>
      <c r="L1393" s="98"/>
      <c r="M1393" s="98"/>
      <c r="N1393" s="98"/>
      <c r="O1393" s="98"/>
      <c r="P1393" s="98"/>
      <c r="Q1393" s="98"/>
      <c r="R1393" s="99"/>
    </row>
    <row r="1394" spans="1:18" x14ac:dyDescent="0.35">
      <c r="A1394" s="88">
        <f t="shared" si="42"/>
        <v>0</v>
      </c>
      <c r="B1394" s="89"/>
      <c r="C1394" s="90">
        <f t="shared" si="43"/>
        <v>0</v>
      </c>
      <c r="D1394" s="97"/>
      <c r="E1394" s="98"/>
      <c r="F1394" s="98"/>
      <c r="G1394" s="98"/>
      <c r="H1394" s="98"/>
      <c r="I1394" s="98"/>
      <c r="J1394" s="98"/>
      <c r="K1394" s="98"/>
      <c r="L1394" s="98"/>
      <c r="M1394" s="98"/>
      <c r="N1394" s="98"/>
      <c r="O1394" s="98"/>
      <c r="P1394" s="98"/>
      <c r="Q1394" s="98"/>
      <c r="R1394" s="99"/>
    </row>
    <row r="1395" spans="1:18" x14ac:dyDescent="0.35">
      <c r="A1395" s="88">
        <f t="shared" si="42"/>
        <v>0</v>
      </c>
      <c r="B1395" s="89"/>
      <c r="C1395" s="90">
        <f t="shared" si="43"/>
        <v>0</v>
      </c>
      <c r="D1395" s="97"/>
      <c r="E1395" s="98"/>
      <c r="F1395" s="98"/>
      <c r="G1395" s="98"/>
      <c r="H1395" s="98"/>
      <c r="I1395" s="98"/>
      <c r="J1395" s="98"/>
      <c r="K1395" s="98"/>
      <c r="L1395" s="98"/>
      <c r="M1395" s="98"/>
      <c r="N1395" s="98"/>
      <c r="O1395" s="98"/>
      <c r="P1395" s="98"/>
      <c r="Q1395" s="98"/>
      <c r="R1395" s="99"/>
    </row>
    <row r="1396" spans="1:18" x14ac:dyDescent="0.35">
      <c r="A1396" s="88">
        <f t="shared" si="42"/>
        <v>0</v>
      </c>
      <c r="B1396" s="89"/>
      <c r="C1396" s="90">
        <f t="shared" si="43"/>
        <v>0</v>
      </c>
      <c r="D1396" s="97"/>
      <c r="E1396" s="98"/>
      <c r="F1396" s="98"/>
      <c r="G1396" s="98"/>
      <c r="H1396" s="98"/>
      <c r="I1396" s="98"/>
      <c r="J1396" s="98"/>
      <c r="K1396" s="98"/>
      <c r="L1396" s="98"/>
      <c r="M1396" s="98"/>
      <c r="N1396" s="98"/>
      <c r="O1396" s="98"/>
      <c r="P1396" s="98"/>
      <c r="Q1396" s="98"/>
      <c r="R1396" s="99"/>
    </row>
    <row r="1397" spans="1:18" x14ac:dyDescent="0.35">
      <c r="A1397" s="88">
        <f t="shared" si="42"/>
        <v>0</v>
      </c>
      <c r="B1397" s="89"/>
      <c r="C1397" s="90">
        <f t="shared" si="43"/>
        <v>0</v>
      </c>
      <c r="D1397" s="97"/>
      <c r="E1397" s="98"/>
      <c r="F1397" s="98"/>
      <c r="G1397" s="98"/>
      <c r="H1397" s="98"/>
      <c r="I1397" s="98"/>
      <c r="J1397" s="98"/>
      <c r="K1397" s="98"/>
      <c r="L1397" s="98"/>
      <c r="M1397" s="98"/>
      <c r="N1397" s="98"/>
      <c r="O1397" s="98"/>
      <c r="P1397" s="98"/>
      <c r="Q1397" s="98"/>
      <c r="R1397" s="99"/>
    </row>
    <row r="1398" spans="1:18" x14ac:dyDescent="0.35">
      <c r="A1398" s="88">
        <f t="shared" si="42"/>
        <v>0</v>
      </c>
      <c r="B1398" s="89"/>
      <c r="C1398" s="90">
        <f t="shared" si="43"/>
        <v>0</v>
      </c>
      <c r="D1398" s="97"/>
      <c r="E1398" s="98"/>
      <c r="F1398" s="98"/>
      <c r="G1398" s="98"/>
      <c r="H1398" s="98"/>
      <c r="I1398" s="98"/>
      <c r="J1398" s="98"/>
      <c r="K1398" s="98"/>
      <c r="L1398" s="98"/>
      <c r="M1398" s="98"/>
      <c r="N1398" s="98"/>
      <c r="O1398" s="98"/>
      <c r="P1398" s="98"/>
      <c r="Q1398" s="98"/>
      <c r="R1398" s="99"/>
    </row>
    <row r="1399" spans="1:18" x14ac:dyDescent="0.35">
      <c r="A1399" s="88">
        <f t="shared" si="42"/>
        <v>0</v>
      </c>
      <c r="B1399" s="89"/>
      <c r="C1399" s="90">
        <f t="shared" si="43"/>
        <v>0</v>
      </c>
      <c r="D1399" s="97"/>
      <c r="E1399" s="98"/>
      <c r="F1399" s="98"/>
      <c r="G1399" s="98"/>
      <c r="H1399" s="98"/>
      <c r="I1399" s="98"/>
      <c r="J1399" s="98"/>
      <c r="K1399" s="98"/>
      <c r="L1399" s="98"/>
      <c r="M1399" s="98"/>
      <c r="N1399" s="98"/>
      <c r="O1399" s="98"/>
      <c r="P1399" s="98"/>
      <c r="Q1399" s="98"/>
      <c r="R1399" s="99"/>
    </row>
    <row r="1400" spans="1:18" x14ac:dyDescent="0.35">
      <c r="A1400" s="88">
        <f t="shared" si="42"/>
        <v>0</v>
      </c>
      <c r="B1400" s="89"/>
      <c r="C1400" s="90">
        <f t="shared" si="43"/>
        <v>0</v>
      </c>
      <c r="D1400" s="97"/>
      <c r="E1400" s="98"/>
      <c r="F1400" s="98"/>
      <c r="G1400" s="98"/>
      <c r="H1400" s="98"/>
      <c r="I1400" s="98"/>
      <c r="J1400" s="98"/>
      <c r="K1400" s="98"/>
      <c r="L1400" s="98"/>
      <c r="M1400" s="98"/>
      <c r="N1400" s="98"/>
      <c r="O1400" s="98"/>
      <c r="P1400" s="98"/>
      <c r="Q1400" s="98"/>
      <c r="R1400" s="99"/>
    </row>
    <row r="1401" spans="1:18" x14ac:dyDescent="0.35">
      <c r="A1401" s="88">
        <f t="shared" si="42"/>
        <v>0</v>
      </c>
      <c r="B1401" s="89"/>
      <c r="C1401" s="90">
        <f t="shared" si="43"/>
        <v>0</v>
      </c>
      <c r="D1401" s="97"/>
      <c r="E1401" s="98"/>
      <c r="F1401" s="98"/>
      <c r="G1401" s="98"/>
      <c r="H1401" s="98"/>
      <c r="I1401" s="98"/>
      <c r="J1401" s="98"/>
      <c r="K1401" s="98"/>
      <c r="L1401" s="98"/>
      <c r="M1401" s="98"/>
      <c r="N1401" s="98"/>
      <c r="O1401" s="98"/>
      <c r="P1401" s="98"/>
      <c r="Q1401" s="98"/>
      <c r="R1401" s="99"/>
    </row>
    <row r="1402" spans="1:18" x14ac:dyDescent="0.35">
      <c r="A1402" s="88">
        <f t="shared" si="42"/>
        <v>0</v>
      </c>
      <c r="B1402" s="89"/>
      <c r="C1402" s="90">
        <f t="shared" si="43"/>
        <v>0</v>
      </c>
      <c r="D1402" s="97"/>
      <c r="E1402" s="98"/>
      <c r="F1402" s="98"/>
      <c r="G1402" s="98"/>
      <c r="H1402" s="98"/>
      <c r="I1402" s="98"/>
      <c r="J1402" s="98"/>
      <c r="K1402" s="98"/>
      <c r="L1402" s="98"/>
      <c r="M1402" s="98"/>
      <c r="N1402" s="98"/>
      <c r="O1402" s="98"/>
      <c r="P1402" s="98"/>
      <c r="Q1402" s="98"/>
      <c r="R1402" s="99"/>
    </row>
    <row r="1403" spans="1:18" x14ac:dyDescent="0.35">
      <c r="A1403" s="88">
        <f t="shared" si="42"/>
        <v>0</v>
      </c>
      <c r="B1403" s="89"/>
      <c r="C1403" s="90">
        <f t="shared" si="43"/>
        <v>0</v>
      </c>
      <c r="D1403" s="97"/>
      <c r="E1403" s="98"/>
      <c r="F1403" s="98"/>
      <c r="G1403" s="98"/>
      <c r="H1403" s="98"/>
      <c r="I1403" s="98"/>
      <c r="J1403" s="98"/>
      <c r="K1403" s="98"/>
      <c r="L1403" s="98"/>
      <c r="M1403" s="98"/>
      <c r="N1403" s="98"/>
      <c r="O1403" s="98"/>
      <c r="P1403" s="98"/>
      <c r="Q1403" s="98"/>
      <c r="R1403" s="99"/>
    </row>
    <row r="1404" spans="1:18" x14ac:dyDescent="0.35">
      <c r="A1404" s="88">
        <f t="shared" si="42"/>
        <v>0</v>
      </c>
      <c r="B1404" s="89"/>
      <c r="C1404" s="90">
        <f t="shared" si="43"/>
        <v>0</v>
      </c>
      <c r="D1404" s="97"/>
      <c r="E1404" s="98"/>
      <c r="F1404" s="98"/>
      <c r="G1404" s="98"/>
      <c r="H1404" s="98"/>
      <c r="I1404" s="98"/>
      <c r="J1404" s="98"/>
      <c r="K1404" s="98"/>
      <c r="L1404" s="98"/>
      <c r="M1404" s="98"/>
      <c r="N1404" s="98"/>
      <c r="O1404" s="98"/>
      <c r="P1404" s="98"/>
      <c r="Q1404" s="98"/>
      <c r="R1404" s="99"/>
    </row>
    <row r="1405" spans="1:18" x14ac:dyDescent="0.35">
      <c r="A1405" s="88">
        <f t="shared" si="42"/>
        <v>0</v>
      </c>
      <c r="B1405" s="89"/>
      <c r="C1405" s="90">
        <f t="shared" si="43"/>
        <v>0</v>
      </c>
      <c r="D1405" s="97"/>
      <c r="E1405" s="98"/>
      <c r="F1405" s="98"/>
      <c r="G1405" s="98"/>
      <c r="H1405" s="98"/>
      <c r="I1405" s="98"/>
      <c r="J1405" s="98"/>
      <c r="K1405" s="98"/>
      <c r="L1405" s="98"/>
      <c r="M1405" s="98"/>
      <c r="N1405" s="98"/>
      <c r="O1405" s="98"/>
      <c r="P1405" s="98"/>
      <c r="Q1405" s="98"/>
      <c r="R1405" s="99"/>
    </row>
    <row r="1406" spans="1:18" x14ac:dyDescent="0.35">
      <c r="A1406" s="88">
        <f t="shared" si="42"/>
        <v>0</v>
      </c>
      <c r="B1406" s="89"/>
      <c r="C1406" s="90">
        <f t="shared" si="43"/>
        <v>0</v>
      </c>
      <c r="D1406" s="97"/>
      <c r="E1406" s="98"/>
      <c r="F1406" s="98"/>
      <c r="G1406" s="98"/>
      <c r="H1406" s="98"/>
      <c r="I1406" s="98"/>
      <c r="J1406" s="98"/>
      <c r="K1406" s="98"/>
      <c r="L1406" s="98"/>
      <c r="M1406" s="98"/>
      <c r="N1406" s="98"/>
      <c r="O1406" s="98"/>
      <c r="P1406" s="98"/>
      <c r="Q1406" s="98"/>
      <c r="R1406" s="99"/>
    </row>
    <row r="1407" spans="1:18" x14ac:dyDescent="0.35">
      <c r="A1407" s="88">
        <f t="shared" si="42"/>
        <v>0</v>
      </c>
      <c r="B1407" s="89"/>
      <c r="C1407" s="90">
        <f t="shared" si="43"/>
        <v>0</v>
      </c>
      <c r="D1407" s="97"/>
      <c r="E1407" s="98"/>
      <c r="F1407" s="98"/>
      <c r="G1407" s="98"/>
      <c r="H1407" s="98"/>
      <c r="I1407" s="98"/>
      <c r="J1407" s="98"/>
      <c r="K1407" s="98"/>
      <c r="L1407" s="98"/>
      <c r="M1407" s="98"/>
      <c r="N1407" s="98"/>
      <c r="O1407" s="98"/>
      <c r="P1407" s="98"/>
      <c r="Q1407" s="98"/>
      <c r="R1407" s="99"/>
    </row>
    <row r="1408" spans="1:18" x14ac:dyDescent="0.35">
      <c r="A1408" s="88">
        <f t="shared" si="42"/>
        <v>0</v>
      </c>
      <c r="B1408" s="89"/>
      <c r="C1408" s="90">
        <f t="shared" si="43"/>
        <v>0</v>
      </c>
      <c r="D1408" s="97"/>
      <c r="E1408" s="98"/>
      <c r="F1408" s="98"/>
      <c r="G1408" s="98"/>
      <c r="H1408" s="98"/>
      <c r="I1408" s="98"/>
      <c r="J1408" s="98"/>
      <c r="K1408" s="98"/>
      <c r="L1408" s="98"/>
      <c r="M1408" s="98"/>
      <c r="N1408" s="98"/>
      <c r="O1408" s="98"/>
      <c r="P1408" s="98"/>
      <c r="Q1408" s="98"/>
      <c r="R1408" s="99"/>
    </row>
    <row r="1409" spans="1:18" x14ac:dyDescent="0.35">
      <c r="A1409" s="88">
        <f t="shared" si="42"/>
        <v>0</v>
      </c>
      <c r="B1409" s="89"/>
      <c r="C1409" s="90">
        <f t="shared" si="43"/>
        <v>0</v>
      </c>
      <c r="D1409" s="97"/>
      <c r="E1409" s="98"/>
      <c r="F1409" s="98"/>
      <c r="G1409" s="98"/>
      <c r="H1409" s="98"/>
      <c r="I1409" s="98"/>
      <c r="J1409" s="98"/>
      <c r="K1409" s="98"/>
      <c r="L1409" s="98"/>
      <c r="M1409" s="98"/>
      <c r="N1409" s="98"/>
      <c r="O1409" s="98"/>
      <c r="P1409" s="98"/>
      <c r="Q1409" s="98"/>
      <c r="R1409" s="99"/>
    </row>
    <row r="1410" spans="1:18" x14ac:dyDescent="0.35">
      <c r="A1410" s="88">
        <f t="shared" si="42"/>
        <v>0</v>
      </c>
      <c r="B1410" s="89"/>
      <c r="C1410" s="90">
        <f t="shared" si="43"/>
        <v>0</v>
      </c>
      <c r="D1410" s="97"/>
      <c r="E1410" s="98"/>
      <c r="F1410" s="98"/>
      <c r="G1410" s="98"/>
      <c r="H1410" s="98"/>
      <c r="I1410" s="98"/>
      <c r="J1410" s="98"/>
      <c r="K1410" s="98"/>
      <c r="L1410" s="98"/>
      <c r="M1410" s="98"/>
      <c r="N1410" s="98"/>
      <c r="O1410" s="98"/>
      <c r="P1410" s="98"/>
      <c r="Q1410" s="98"/>
      <c r="R1410" s="99"/>
    </row>
    <row r="1411" spans="1:18" x14ac:dyDescent="0.35">
      <c r="A1411" s="88">
        <f t="shared" si="42"/>
        <v>0</v>
      </c>
      <c r="B1411" s="89"/>
      <c r="C1411" s="90">
        <f t="shared" si="43"/>
        <v>0</v>
      </c>
      <c r="D1411" s="97"/>
      <c r="E1411" s="98"/>
      <c r="F1411" s="98"/>
      <c r="G1411" s="98"/>
      <c r="H1411" s="98"/>
      <c r="I1411" s="98"/>
      <c r="J1411" s="98"/>
      <c r="K1411" s="98"/>
      <c r="L1411" s="98"/>
      <c r="M1411" s="98"/>
      <c r="N1411" s="98"/>
      <c r="O1411" s="98"/>
      <c r="P1411" s="98"/>
      <c r="Q1411" s="98"/>
      <c r="R1411" s="99"/>
    </row>
    <row r="1412" spans="1:18" x14ac:dyDescent="0.35">
      <c r="A1412" s="88">
        <f t="shared" ref="A1412:A1475" si="44">F1412</f>
        <v>0</v>
      </c>
      <c r="B1412" s="89"/>
      <c r="C1412" s="90">
        <f t="shared" ref="C1412:C1475" si="45">F1412</f>
        <v>0</v>
      </c>
      <c r="D1412" s="97"/>
      <c r="E1412" s="98"/>
      <c r="F1412" s="98"/>
      <c r="G1412" s="98"/>
      <c r="H1412" s="98"/>
      <c r="I1412" s="98"/>
      <c r="J1412" s="98"/>
      <c r="K1412" s="98"/>
      <c r="L1412" s="98"/>
      <c r="M1412" s="98"/>
      <c r="N1412" s="98"/>
      <c r="O1412" s="98"/>
      <c r="P1412" s="98"/>
      <c r="Q1412" s="98"/>
      <c r="R1412" s="99"/>
    </row>
    <row r="1413" spans="1:18" x14ac:dyDescent="0.35">
      <c r="A1413" s="88">
        <f t="shared" si="44"/>
        <v>0</v>
      </c>
      <c r="B1413" s="89"/>
      <c r="C1413" s="90">
        <f t="shared" si="45"/>
        <v>0</v>
      </c>
      <c r="D1413" s="97"/>
      <c r="E1413" s="98"/>
      <c r="F1413" s="98"/>
      <c r="G1413" s="98"/>
      <c r="H1413" s="98"/>
      <c r="I1413" s="98"/>
      <c r="J1413" s="98"/>
      <c r="K1413" s="98"/>
      <c r="L1413" s="98"/>
      <c r="M1413" s="98"/>
      <c r="N1413" s="98"/>
      <c r="O1413" s="98"/>
      <c r="P1413" s="98"/>
      <c r="Q1413" s="98"/>
      <c r="R1413" s="99"/>
    </row>
    <row r="1414" spans="1:18" x14ac:dyDescent="0.35">
      <c r="A1414" s="88">
        <f t="shared" si="44"/>
        <v>0</v>
      </c>
      <c r="B1414" s="89"/>
      <c r="C1414" s="90">
        <f t="shared" si="45"/>
        <v>0</v>
      </c>
      <c r="D1414" s="97"/>
      <c r="E1414" s="98"/>
      <c r="F1414" s="98"/>
      <c r="G1414" s="98"/>
      <c r="H1414" s="98"/>
      <c r="I1414" s="98"/>
      <c r="J1414" s="98"/>
      <c r="K1414" s="98"/>
      <c r="L1414" s="98"/>
      <c r="M1414" s="98"/>
      <c r="N1414" s="98"/>
      <c r="O1414" s="98"/>
      <c r="P1414" s="98"/>
      <c r="Q1414" s="98"/>
      <c r="R1414" s="99"/>
    </row>
    <row r="1415" spans="1:18" x14ac:dyDescent="0.35">
      <c r="A1415" s="88">
        <f t="shared" si="44"/>
        <v>0</v>
      </c>
      <c r="B1415" s="89"/>
      <c r="C1415" s="90">
        <f t="shared" si="45"/>
        <v>0</v>
      </c>
      <c r="D1415" s="97"/>
      <c r="E1415" s="98"/>
      <c r="F1415" s="98"/>
      <c r="G1415" s="98"/>
      <c r="H1415" s="98"/>
      <c r="I1415" s="98"/>
      <c r="J1415" s="98"/>
      <c r="K1415" s="98"/>
      <c r="L1415" s="98"/>
      <c r="M1415" s="98"/>
      <c r="N1415" s="98"/>
      <c r="O1415" s="98"/>
      <c r="P1415" s="98"/>
      <c r="Q1415" s="98"/>
      <c r="R1415" s="99"/>
    </row>
    <row r="1416" spans="1:18" x14ac:dyDescent="0.35">
      <c r="A1416" s="88">
        <f t="shared" si="44"/>
        <v>0</v>
      </c>
      <c r="B1416" s="89"/>
      <c r="C1416" s="90">
        <f t="shared" si="45"/>
        <v>0</v>
      </c>
      <c r="D1416" s="97"/>
      <c r="E1416" s="98"/>
      <c r="F1416" s="98"/>
      <c r="G1416" s="98"/>
      <c r="H1416" s="98"/>
      <c r="I1416" s="98"/>
      <c r="J1416" s="98"/>
      <c r="K1416" s="98"/>
      <c r="L1416" s="98"/>
      <c r="M1416" s="98"/>
      <c r="N1416" s="98"/>
      <c r="O1416" s="98"/>
      <c r="P1416" s="98"/>
      <c r="Q1416" s="98"/>
      <c r="R1416" s="99"/>
    </row>
    <row r="1417" spans="1:18" x14ac:dyDescent="0.35">
      <c r="A1417" s="88">
        <f t="shared" si="44"/>
        <v>0</v>
      </c>
      <c r="B1417" s="89"/>
      <c r="C1417" s="90">
        <f t="shared" si="45"/>
        <v>0</v>
      </c>
      <c r="D1417" s="97"/>
      <c r="E1417" s="98"/>
      <c r="F1417" s="98"/>
      <c r="G1417" s="98"/>
      <c r="H1417" s="98"/>
      <c r="I1417" s="98"/>
      <c r="J1417" s="98"/>
      <c r="K1417" s="98"/>
      <c r="L1417" s="98"/>
      <c r="M1417" s="98"/>
      <c r="N1417" s="98"/>
      <c r="O1417" s="98"/>
      <c r="P1417" s="98"/>
      <c r="Q1417" s="98"/>
      <c r="R1417" s="99"/>
    </row>
    <row r="1418" spans="1:18" x14ac:dyDescent="0.35">
      <c r="A1418" s="88">
        <f t="shared" si="44"/>
        <v>0</v>
      </c>
      <c r="B1418" s="89"/>
      <c r="C1418" s="90">
        <f t="shared" si="45"/>
        <v>0</v>
      </c>
      <c r="D1418" s="97"/>
      <c r="E1418" s="98"/>
      <c r="F1418" s="98"/>
      <c r="G1418" s="98"/>
      <c r="H1418" s="98"/>
      <c r="I1418" s="98"/>
      <c r="J1418" s="98"/>
      <c r="K1418" s="98"/>
      <c r="L1418" s="98"/>
      <c r="M1418" s="98"/>
      <c r="N1418" s="98"/>
      <c r="O1418" s="98"/>
      <c r="P1418" s="98"/>
      <c r="Q1418" s="98"/>
      <c r="R1418" s="99"/>
    </row>
    <row r="1419" spans="1:18" x14ac:dyDescent="0.35">
      <c r="A1419" s="88">
        <f t="shared" si="44"/>
        <v>0</v>
      </c>
      <c r="B1419" s="89"/>
      <c r="C1419" s="90">
        <f t="shared" si="45"/>
        <v>0</v>
      </c>
      <c r="D1419" s="97"/>
      <c r="E1419" s="98"/>
      <c r="F1419" s="98"/>
      <c r="G1419" s="98"/>
      <c r="H1419" s="98"/>
      <c r="I1419" s="98"/>
      <c r="J1419" s="98"/>
      <c r="K1419" s="98"/>
      <c r="L1419" s="98"/>
      <c r="M1419" s="98"/>
      <c r="N1419" s="98"/>
      <c r="O1419" s="98"/>
      <c r="P1419" s="98"/>
      <c r="Q1419" s="98"/>
      <c r="R1419" s="99"/>
    </row>
    <row r="1420" spans="1:18" x14ac:dyDescent="0.35">
      <c r="A1420" s="88">
        <f t="shared" si="44"/>
        <v>0</v>
      </c>
      <c r="B1420" s="89"/>
      <c r="C1420" s="90">
        <f t="shared" si="45"/>
        <v>0</v>
      </c>
      <c r="D1420" s="97"/>
      <c r="E1420" s="98"/>
      <c r="F1420" s="98"/>
      <c r="G1420" s="98"/>
      <c r="H1420" s="98"/>
      <c r="I1420" s="98"/>
      <c r="J1420" s="98"/>
      <c r="K1420" s="98"/>
      <c r="L1420" s="98"/>
      <c r="M1420" s="98"/>
      <c r="N1420" s="98"/>
      <c r="O1420" s="98"/>
      <c r="P1420" s="98"/>
      <c r="Q1420" s="98"/>
      <c r="R1420" s="99"/>
    </row>
    <row r="1421" spans="1:18" x14ac:dyDescent="0.35">
      <c r="A1421" s="88">
        <f t="shared" si="44"/>
        <v>0</v>
      </c>
      <c r="B1421" s="89"/>
      <c r="C1421" s="90">
        <f t="shared" si="45"/>
        <v>0</v>
      </c>
      <c r="D1421" s="97"/>
      <c r="E1421" s="98"/>
      <c r="F1421" s="98"/>
      <c r="G1421" s="98"/>
      <c r="H1421" s="98"/>
      <c r="I1421" s="98"/>
      <c r="J1421" s="98"/>
      <c r="K1421" s="98"/>
      <c r="L1421" s="98"/>
      <c r="M1421" s="98"/>
      <c r="N1421" s="98"/>
      <c r="O1421" s="98"/>
      <c r="P1421" s="98"/>
      <c r="Q1421" s="98"/>
      <c r="R1421" s="99"/>
    </row>
    <row r="1422" spans="1:18" x14ac:dyDescent="0.35">
      <c r="A1422" s="88">
        <f t="shared" si="44"/>
        <v>0</v>
      </c>
      <c r="B1422" s="89"/>
      <c r="C1422" s="90">
        <f t="shared" si="45"/>
        <v>0</v>
      </c>
      <c r="D1422" s="97"/>
      <c r="E1422" s="98"/>
      <c r="F1422" s="98"/>
      <c r="G1422" s="98"/>
      <c r="H1422" s="98"/>
      <c r="I1422" s="98"/>
      <c r="J1422" s="98"/>
      <c r="K1422" s="98"/>
      <c r="L1422" s="98"/>
      <c r="M1422" s="98"/>
      <c r="N1422" s="98"/>
      <c r="O1422" s="98"/>
      <c r="P1422" s="98"/>
      <c r="Q1422" s="98"/>
      <c r="R1422" s="99"/>
    </row>
    <row r="1423" spans="1:18" x14ac:dyDescent="0.35">
      <c r="A1423" s="88">
        <f t="shared" si="44"/>
        <v>0</v>
      </c>
      <c r="B1423" s="89"/>
      <c r="C1423" s="90">
        <f t="shared" si="45"/>
        <v>0</v>
      </c>
      <c r="D1423" s="97"/>
      <c r="E1423" s="98"/>
      <c r="F1423" s="98"/>
      <c r="G1423" s="98"/>
      <c r="H1423" s="98"/>
      <c r="I1423" s="98"/>
      <c r="J1423" s="98"/>
      <c r="K1423" s="98"/>
      <c r="L1423" s="98"/>
      <c r="M1423" s="98"/>
      <c r="N1423" s="98"/>
      <c r="O1423" s="98"/>
      <c r="P1423" s="98"/>
      <c r="Q1423" s="98"/>
      <c r="R1423" s="99"/>
    </row>
    <row r="1424" spans="1:18" x14ac:dyDescent="0.35">
      <c r="A1424" s="88">
        <f t="shared" si="44"/>
        <v>0</v>
      </c>
      <c r="B1424" s="89"/>
      <c r="C1424" s="90">
        <f t="shared" si="45"/>
        <v>0</v>
      </c>
      <c r="D1424" s="97"/>
      <c r="E1424" s="98"/>
      <c r="F1424" s="98"/>
      <c r="G1424" s="98"/>
      <c r="H1424" s="98"/>
      <c r="I1424" s="98"/>
      <c r="J1424" s="98"/>
      <c r="K1424" s="98"/>
      <c r="L1424" s="98"/>
      <c r="M1424" s="98"/>
      <c r="N1424" s="98"/>
      <c r="O1424" s="98"/>
      <c r="P1424" s="98"/>
      <c r="Q1424" s="98"/>
      <c r="R1424" s="99"/>
    </row>
    <row r="1425" spans="1:18" x14ac:dyDescent="0.35">
      <c r="A1425" s="88">
        <f t="shared" si="44"/>
        <v>0</v>
      </c>
      <c r="B1425" s="89"/>
      <c r="C1425" s="90">
        <f t="shared" si="45"/>
        <v>0</v>
      </c>
      <c r="D1425" s="97"/>
      <c r="E1425" s="98"/>
      <c r="F1425" s="98"/>
      <c r="G1425" s="98"/>
      <c r="H1425" s="98"/>
      <c r="I1425" s="98"/>
      <c r="J1425" s="98"/>
      <c r="K1425" s="98"/>
      <c r="L1425" s="98"/>
      <c r="M1425" s="98"/>
      <c r="N1425" s="98"/>
      <c r="O1425" s="98"/>
      <c r="P1425" s="98"/>
      <c r="Q1425" s="98"/>
      <c r="R1425" s="99"/>
    </row>
    <row r="1426" spans="1:18" x14ac:dyDescent="0.35">
      <c r="A1426" s="88">
        <f t="shared" si="44"/>
        <v>0</v>
      </c>
      <c r="B1426" s="89"/>
      <c r="C1426" s="90">
        <f t="shared" si="45"/>
        <v>0</v>
      </c>
      <c r="D1426" s="97"/>
      <c r="E1426" s="98"/>
      <c r="F1426" s="98"/>
      <c r="G1426" s="98"/>
      <c r="H1426" s="98"/>
      <c r="I1426" s="98"/>
      <c r="J1426" s="98"/>
      <c r="K1426" s="98"/>
      <c r="L1426" s="98"/>
      <c r="M1426" s="98"/>
      <c r="N1426" s="98"/>
      <c r="O1426" s="98"/>
      <c r="P1426" s="98"/>
      <c r="Q1426" s="98"/>
      <c r="R1426" s="99"/>
    </row>
    <row r="1427" spans="1:18" x14ac:dyDescent="0.35">
      <c r="A1427" s="88">
        <f t="shared" si="44"/>
        <v>0</v>
      </c>
      <c r="B1427" s="89"/>
      <c r="C1427" s="90">
        <f t="shared" si="45"/>
        <v>0</v>
      </c>
      <c r="D1427" s="97"/>
      <c r="E1427" s="98"/>
      <c r="F1427" s="98"/>
      <c r="G1427" s="98"/>
      <c r="H1427" s="98"/>
      <c r="I1427" s="98"/>
      <c r="J1427" s="98"/>
      <c r="K1427" s="98"/>
      <c r="L1427" s="98"/>
      <c r="M1427" s="98"/>
      <c r="N1427" s="98"/>
      <c r="O1427" s="98"/>
      <c r="P1427" s="98"/>
      <c r="Q1427" s="98"/>
      <c r="R1427" s="99"/>
    </row>
    <row r="1428" spans="1:18" x14ac:dyDescent="0.35">
      <c r="A1428" s="88">
        <f t="shared" si="44"/>
        <v>0</v>
      </c>
      <c r="B1428" s="89"/>
      <c r="C1428" s="90">
        <f t="shared" si="45"/>
        <v>0</v>
      </c>
      <c r="D1428" s="97"/>
      <c r="E1428" s="98"/>
      <c r="F1428" s="98"/>
      <c r="G1428" s="98"/>
      <c r="H1428" s="98"/>
      <c r="I1428" s="98"/>
      <c r="J1428" s="98"/>
      <c r="K1428" s="98"/>
      <c r="L1428" s="98"/>
      <c r="M1428" s="98"/>
      <c r="N1428" s="98"/>
      <c r="O1428" s="98"/>
      <c r="P1428" s="98"/>
      <c r="Q1428" s="98"/>
      <c r="R1428" s="99"/>
    </row>
    <row r="1429" spans="1:18" x14ac:dyDescent="0.35">
      <c r="A1429" s="88">
        <f t="shared" si="44"/>
        <v>0</v>
      </c>
      <c r="B1429" s="89"/>
      <c r="C1429" s="90">
        <f t="shared" si="45"/>
        <v>0</v>
      </c>
      <c r="D1429" s="97"/>
      <c r="E1429" s="98"/>
      <c r="F1429" s="98"/>
      <c r="G1429" s="98"/>
      <c r="H1429" s="98"/>
      <c r="I1429" s="98"/>
      <c r="J1429" s="98"/>
      <c r="K1429" s="98"/>
      <c r="L1429" s="98"/>
      <c r="M1429" s="98"/>
      <c r="N1429" s="98"/>
      <c r="O1429" s="98"/>
      <c r="P1429" s="98"/>
      <c r="Q1429" s="98"/>
      <c r="R1429" s="99"/>
    </row>
    <row r="1430" spans="1:18" x14ac:dyDescent="0.35">
      <c r="A1430" s="88">
        <f t="shared" si="44"/>
        <v>0</v>
      </c>
      <c r="B1430" s="89"/>
      <c r="C1430" s="90">
        <f t="shared" si="45"/>
        <v>0</v>
      </c>
      <c r="D1430" s="97"/>
      <c r="E1430" s="98"/>
      <c r="F1430" s="98"/>
      <c r="G1430" s="98"/>
      <c r="H1430" s="98"/>
      <c r="I1430" s="98"/>
      <c r="J1430" s="98"/>
      <c r="K1430" s="98"/>
      <c r="L1430" s="98"/>
      <c r="M1430" s="98"/>
      <c r="N1430" s="98"/>
      <c r="O1430" s="98"/>
      <c r="P1430" s="98"/>
      <c r="Q1430" s="98"/>
      <c r="R1430" s="99"/>
    </row>
    <row r="1431" spans="1:18" x14ac:dyDescent="0.35">
      <c r="A1431" s="88">
        <f t="shared" si="44"/>
        <v>0</v>
      </c>
      <c r="B1431" s="89"/>
      <c r="C1431" s="90">
        <f t="shared" si="45"/>
        <v>0</v>
      </c>
      <c r="D1431" s="97"/>
      <c r="E1431" s="98"/>
      <c r="F1431" s="98"/>
      <c r="G1431" s="98"/>
      <c r="H1431" s="98"/>
      <c r="I1431" s="98"/>
      <c r="J1431" s="98"/>
      <c r="K1431" s="98"/>
      <c r="L1431" s="98"/>
      <c r="M1431" s="98"/>
      <c r="N1431" s="98"/>
      <c r="O1431" s="98"/>
      <c r="P1431" s="98"/>
      <c r="Q1431" s="98"/>
      <c r="R1431" s="99"/>
    </row>
    <row r="1432" spans="1:18" x14ac:dyDescent="0.35">
      <c r="A1432" s="88">
        <f t="shared" si="44"/>
        <v>0</v>
      </c>
      <c r="B1432" s="89"/>
      <c r="C1432" s="90">
        <f t="shared" si="45"/>
        <v>0</v>
      </c>
      <c r="D1432" s="97"/>
      <c r="E1432" s="98"/>
      <c r="F1432" s="98"/>
      <c r="G1432" s="98"/>
      <c r="H1432" s="98"/>
      <c r="I1432" s="98"/>
      <c r="J1432" s="98"/>
      <c r="K1432" s="98"/>
      <c r="L1432" s="98"/>
      <c r="M1432" s="98"/>
      <c r="N1432" s="98"/>
      <c r="O1432" s="98"/>
      <c r="P1432" s="98"/>
      <c r="Q1432" s="98"/>
      <c r="R1432" s="99"/>
    </row>
    <row r="1433" spans="1:18" x14ac:dyDescent="0.35">
      <c r="A1433" s="88">
        <f t="shared" si="44"/>
        <v>0</v>
      </c>
      <c r="B1433" s="89"/>
      <c r="C1433" s="90">
        <f t="shared" si="45"/>
        <v>0</v>
      </c>
      <c r="D1433" s="97"/>
      <c r="E1433" s="98"/>
      <c r="F1433" s="98"/>
      <c r="G1433" s="98"/>
      <c r="H1433" s="98"/>
      <c r="I1433" s="98"/>
      <c r="J1433" s="98"/>
      <c r="K1433" s="98"/>
      <c r="L1433" s="98"/>
      <c r="M1433" s="98"/>
      <c r="N1433" s="98"/>
      <c r="O1433" s="98"/>
      <c r="P1433" s="98"/>
      <c r="Q1433" s="98"/>
      <c r="R1433" s="99"/>
    </row>
    <row r="1434" spans="1:18" x14ac:dyDescent="0.35">
      <c r="A1434" s="88">
        <f t="shared" si="44"/>
        <v>0</v>
      </c>
      <c r="B1434" s="89"/>
      <c r="C1434" s="90">
        <f t="shared" si="45"/>
        <v>0</v>
      </c>
      <c r="D1434" s="97"/>
      <c r="E1434" s="98"/>
      <c r="F1434" s="98"/>
      <c r="G1434" s="98"/>
      <c r="H1434" s="98"/>
      <c r="I1434" s="98"/>
      <c r="J1434" s="98"/>
      <c r="K1434" s="98"/>
      <c r="L1434" s="98"/>
      <c r="M1434" s="98"/>
      <c r="N1434" s="98"/>
      <c r="O1434" s="98"/>
      <c r="P1434" s="98"/>
      <c r="Q1434" s="98"/>
      <c r="R1434" s="99"/>
    </row>
    <row r="1435" spans="1:18" x14ac:dyDescent="0.35">
      <c r="A1435" s="88">
        <f t="shared" si="44"/>
        <v>0</v>
      </c>
      <c r="B1435" s="89"/>
      <c r="C1435" s="90">
        <f t="shared" si="45"/>
        <v>0</v>
      </c>
      <c r="D1435" s="97"/>
      <c r="E1435" s="98"/>
      <c r="F1435" s="98"/>
      <c r="G1435" s="98"/>
      <c r="H1435" s="98"/>
      <c r="I1435" s="98"/>
      <c r="J1435" s="98"/>
      <c r="K1435" s="98"/>
      <c r="L1435" s="98"/>
      <c r="M1435" s="98"/>
      <c r="N1435" s="98"/>
      <c r="O1435" s="98"/>
      <c r="P1435" s="98"/>
      <c r="Q1435" s="98"/>
      <c r="R1435" s="99"/>
    </row>
    <row r="1436" spans="1:18" x14ac:dyDescent="0.35">
      <c r="A1436" s="88">
        <f t="shared" si="44"/>
        <v>0</v>
      </c>
      <c r="B1436" s="89"/>
      <c r="C1436" s="90">
        <f t="shared" si="45"/>
        <v>0</v>
      </c>
      <c r="D1436" s="97"/>
      <c r="E1436" s="98"/>
      <c r="F1436" s="98"/>
      <c r="G1436" s="98"/>
      <c r="H1436" s="98"/>
      <c r="I1436" s="98"/>
      <c r="J1436" s="98"/>
      <c r="K1436" s="98"/>
      <c r="L1436" s="98"/>
      <c r="M1436" s="98"/>
      <c r="N1436" s="98"/>
      <c r="O1436" s="98"/>
      <c r="P1436" s="98"/>
      <c r="Q1436" s="98"/>
      <c r="R1436" s="99"/>
    </row>
    <row r="1437" spans="1:18" x14ac:dyDescent="0.35">
      <c r="A1437" s="88">
        <f t="shared" si="44"/>
        <v>0</v>
      </c>
      <c r="B1437" s="89"/>
      <c r="C1437" s="90">
        <f t="shared" si="45"/>
        <v>0</v>
      </c>
      <c r="D1437" s="97"/>
      <c r="E1437" s="98"/>
      <c r="F1437" s="98"/>
      <c r="G1437" s="98"/>
      <c r="H1437" s="98"/>
      <c r="I1437" s="98"/>
      <c r="J1437" s="98"/>
      <c r="K1437" s="98"/>
      <c r="L1437" s="98"/>
      <c r="M1437" s="98"/>
      <c r="N1437" s="98"/>
      <c r="O1437" s="98"/>
      <c r="P1437" s="98"/>
      <c r="Q1437" s="98"/>
      <c r="R1437" s="99"/>
    </row>
    <row r="1438" spans="1:18" x14ac:dyDescent="0.35">
      <c r="A1438" s="88">
        <f t="shared" si="44"/>
        <v>0</v>
      </c>
      <c r="B1438" s="89"/>
      <c r="C1438" s="90">
        <f t="shared" si="45"/>
        <v>0</v>
      </c>
      <c r="D1438" s="97"/>
      <c r="E1438" s="98"/>
      <c r="F1438" s="98"/>
      <c r="G1438" s="98"/>
      <c r="H1438" s="98"/>
      <c r="I1438" s="98"/>
      <c r="J1438" s="98"/>
      <c r="K1438" s="98"/>
      <c r="L1438" s="98"/>
      <c r="M1438" s="98"/>
      <c r="N1438" s="98"/>
      <c r="O1438" s="98"/>
      <c r="P1438" s="98"/>
      <c r="Q1438" s="98"/>
      <c r="R1438" s="99"/>
    </row>
    <row r="1439" spans="1:18" x14ac:dyDescent="0.35">
      <c r="A1439" s="88">
        <f t="shared" si="44"/>
        <v>0</v>
      </c>
      <c r="B1439" s="89"/>
      <c r="C1439" s="90">
        <f t="shared" si="45"/>
        <v>0</v>
      </c>
      <c r="D1439" s="97"/>
      <c r="E1439" s="98"/>
      <c r="F1439" s="98"/>
      <c r="G1439" s="98"/>
      <c r="H1439" s="98"/>
      <c r="I1439" s="98"/>
      <c r="J1439" s="98"/>
      <c r="K1439" s="98"/>
      <c r="L1439" s="98"/>
      <c r="M1439" s="98"/>
      <c r="N1439" s="98"/>
      <c r="O1439" s="98"/>
      <c r="P1439" s="98"/>
      <c r="Q1439" s="98"/>
      <c r="R1439" s="99"/>
    </row>
    <row r="1440" spans="1:18" x14ac:dyDescent="0.35">
      <c r="A1440" s="88">
        <f t="shared" si="44"/>
        <v>0</v>
      </c>
      <c r="B1440" s="89"/>
      <c r="C1440" s="90">
        <f t="shared" si="45"/>
        <v>0</v>
      </c>
      <c r="D1440" s="97"/>
      <c r="E1440" s="98"/>
      <c r="F1440" s="98"/>
      <c r="G1440" s="98"/>
      <c r="H1440" s="98"/>
      <c r="I1440" s="98"/>
      <c r="J1440" s="98"/>
      <c r="K1440" s="98"/>
      <c r="L1440" s="98"/>
      <c r="M1440" s="98"/>
      <c r="N1440" s="98"/>
      <c r="O1440" s="98"/>
      <c r="P1440" s="98"/>
      <c r="Q1440" s="98"/>
      <c r="R1440" s="99"/>
    </row>
    <row r="1441" spans="1:18" x14ac:dyDescent="0.35">
      <c r="A1441" s="88">
        <f t="shared" si="44"/>
        <v>0</v>
      </c>
      <c r="B1441" s="89"/>
      <c r="C1441" s="90">
        <f t="shared" si="45"/>
        <v>0</v>
      </c>
      <c r="D1441" s="97"/>
      <c r="E1441" s="98"/>
      <c r="F1441" s="98"/>
      <c r="G1441" s="98"/>
      <c r="H1441" s="98"/>
      <c r="I1441" s="98"/>
      <c r="J1441" s="98"/>
      <c r="K1441" s="98"/>
      <c r="L1441" s="98"/>
      <c r="M1441" s="98"/>
      <c r="N1441" s="98"/>
      <c r="O1441" s="98"/>
      <c r="P1441" s="98"/>
      <c r="Q1441" s="98"/>
      <c r="R1441" s="99"/>
    </row>
    <row r="1442" spans="1:18" x14ac:dyDescent="0.35">
      <c r="A1442" s="88">
        <f t="shared" si="44"/>
        <v>0</v>
      </c>
      <c r="B1442" s="89"/>
      <c r="C1442" s="90">
        <f t="shared" si="45"/>
        <v>0</v>
      </c>
      <c r="D1442" s="97"/>
      <c r="E1442" s="98"/>
      <c r="F1442" s="98"/>
      <c r="G1442" s="98"/>
      <c r="H1442" s="98"/>
      <c r="I1442" s="98"/>
      <c r="J1442" s="98"/>
      <c r="K1442" s="98"/>
      <c r="L1442" s="98"/>
      <c r="M1442" s="98"/>
      <c r="N1442" s="98"/>
      <c r="O1442" s="98"/>
      <c r="P1442" s="98"/>
      <c r="Q1442" s="98"/>
      <c r="R1442" s="99"/>
    </row>
    <row r="1443" spans="1:18" x14ac:dyDescent="0.35">
      <c r="A1443" s="88">
        <f t="shared" si="44"/>
        <v>0</v>
      </c>
      <c r="B1443" s="89"/>
      <c r="C1443" s="90">
        <f t="shared" si="45"/>
        <v>0</v>
      </c>
      <c r="D1443" s="97"/>
      <c r="E1443" s="98"/>
      <c r="F1443" s="98"/>
      <c r="G1443" s="98"/>
      <c r="H1443" s="98"/>
      <c r="I1443" s="98"/>
      <c r="J1443" s="98"/>
      <c r="K1443" s="98"/>
      <c r="L1443" s="98"/>
      <c r="M1443" s="98"/>
      <c r="N1443" s="98"/>
      <c r="O1443" s="98"/>
      <c r="P1443" s="98"/>
      <c r="Q1443" s="98"/>
      <c r="R1443" s="99"/>
    </row>
    <row r="1444" spans="1:18" x14ac:dyDescent="0.35">
      <c r="A1444" s="88">
        <f t="shared" si="44"/>
        <v>0</v>
      </c>
      <c r="B1444" s="89"/>
      <c r="C1444" s="90">
        <f t="shared" si="45"/>
        <v>0</v>
      </c>
      <c r="D1444" s="97"/>
      <c r="E1444" s="98"/>
      <c r="F1444" s="98"/>
      <c r="G1444" s="98"/>
      <c r="H1444" s="98"/>
      <c r="I1444" s="98"/>
      <c r="J1444" s="98"/>
      <c r="K1444" s="98"/>
      <c r="L1444" s="98"/>
      <c r="M1444" s="98"/>
      <c r="N1444" s="98"/>
      <c r="O1444" s="98"/>
      <c r="P1444" s="98"/>
      <c r="Q1444" s="98"/>
      <c r="R1444" s="99"/>
    </row>
    <row r="1445" spans="1:18" x14ac:dyDescent="0.35">
      <c r="A1445" s="88">
        <f t="shared" si="44"/>
        <v>0</v>
      </c>
      <c r="B1445" s="89"/>
      <c r="C1445" s="90">
        <f t="shared" si="45"/>
        <v>0</v>
      </c>
      <c r="D1445" s="97"/>
      <c r="E1445" s="98"/>
      <c r="F1445" s="98"/>
      <c r="G1445" s="98"/>
      <c r="H1445" s="98"/>
      <c r="I1445" s="98"/>
      <c r="J1445" s="98"/>
      <c r="K1445" s="98"/>
      <c r="L1445" s="98"/>
      <c r="M1445" s="98"/>
      <c r="N1445" s="98"/>
      <c r="O1445" s="98"/>
      <c r="P1445" s="98"/>
      <c r="Q1445" s="98"/>
      <c r="R1445" s="99"/>
    </row>
    <row r="1446" spans="1:18" x14ac:dyDescent="0.35">
      <c r="A1446" s="88">
        <f t="shared" si="44"/>
        <v>0</v>
      </c>
      <c r="B1446" s="89"/>
      <c r="C1446" s="90">
        <f t="shared" si="45"/>
        <v>0</v>
      </c>
      <c r="D1446" s="97"/>
      <c r="E1446" s="98"/>
      <c r="F1446" s="98"/>
      <c r="G1446" s="98"/>
      <c r="H1446" s="98"/>
      <c r="I1446" s="98"/>
      <c r="J1446" s="98"/>
      <c r="K1446" s="98"/>
      <c r="L1446" s="98"/>
      <c r="M1446" s="98"/>
      <c r="N1446" s="98"/>
      <c r="O1446" s="98"/>
      <c r="P1446" s="98"/>
      <c r="Q1446" s="98"/>
      <c r="R1446" s="99"/>
    </row>
    <row r="1447" spans="1:18" x14ac:dyDescent="0.35">
      <c r="A1447" s="88">
        <f t="shared" si="44"/>
        <v>0</v>
      </c>
      <c r="B1447" s="89"/>
      <c r="C1447" s="90">
        <f t="shared" si="45"/>
        <v>0</v>
      </c>
      <c r="D1447" s="97"/>
      <c r="E1447" s="98"/>
      <c r="F1447" s="98"/>
      <c r="G1447" s="98"/>
      <c r="H1447" s="98"/>
      <c r="I1447" s="98"/>
      <c r="J1447" s="98"/>
      <c r="K1447" s="98"/>
      <c r="L1447" s="98"/>
      <c r="M1447" s="98"/>
      <c r="N1447" s="98"/>
      <c r="O1447" s="98"/>
      <c r="P1447" s="98"/>
      <c r="Q1447" s="98"/>
      <c r="R1447" s="99"/>
    </row>
    <row r="1448" spans="1:18" x14ac:dyDescent="0.35">
      <c r="A1448" s="88">
        <f t="shared" si="44"/>
        <v>0</v>
      </c>
      <c r="B1448" s="89"/>
      <c r="C1448" s="90">
        <f t="shared" si="45"/>
        <v>0</v>
      </c>
      <c r="D1448" s="97"/>
      <c r="E1448" s="98"/>
      <c r="F1448" s="98"/>
      <c r="G1448" s="98"/>
      <c r="H1448" s="98"/>
      <c r="I1448" s="98"/>
      <c r="J1448" s="98"/>
      <c r="K1448" s="98"/>
      <c r="L1448" s="98"/>
      <c r="M1448" s="98"/>
      <c r="N1448" s="98"/>
      <c r="O1448" s="98"/>
      <c r="P1448" s="98"/>
      <c r="Q1448" s="98"/>
      <c r="R1448" s="99"/>
    </row>
    <row r="1449" spans="1:18" x14ac:dyDescent="0.35">
      <c r="A1449" s="88">
        <f t="shared" si="44"/>
        <v>0</v>
      </c>
      <c r="B1449" s="89"/>
      <c r="C1449" s="90">
        <f t="shared" si="45"/>
        <v>0</v>
      </c>
      <c r="D1449" s="97"/>
      <c r="E1449" s="98"/>
      <c r="F1449" s="98"/>
      <c r="G1449" s="98"/>
      <c r="H1449" s="98"/>
      <c r="I1449" s="98"/>
      <c r="J1449" s="98"/>
      <c r="K1449" s="98"/>
      <c r="L1449" s="98"/>
      <c r="M1449" s="98"/>
      <c r="N1449" s="98"/>
      <c r="O1449" s="98"/>
      <c r="P1449" s="98"/>
      <c r="Q1449" s="98"/>
      <c r="R1449" s="99"/>
    </row>
    <row r="1450" spans="1:18" x14ac:dyDescent="0.35">
      <c r="A1450" s="88">
        <f t="shared" si="44"/>
        <v>0</v>
      </c>
      <c r="B1450" s="89"/>
      <c r="C1450" s="90">
        <f t="shared" si="45"/>
        <v>0</v>
      </c>
      <c r="D1450" s="97"/>
      <c r="E1450" s="98"/>
      <c r="F1450" s="98"/>
      <c r="G1450" s="98"/>
      <c r="H1450" s="98"/>
      <c r="I1450" s="98"/>
      <c r="J1450" s="98"/>
      <c r="K1450" s="98"/>
      <c r="L1450" s="98"/>
      <c r="M1450" s="98"/>
      <c r="N1450" s="98"/>
      <c r="O1450" s="98"/>
      <c r="P1450" s="98"/>
      <c r="Q1450" s="98"/>
      <c r="R1450" s="99"/>
    </row>
    <row r="1451" spans="1:18" x14ac:dyDescent="0.35">
      <c r="A1451" s="88">
        <f t="shared" si="44"/>
        <v>0</v>
      </c>
      <c r="B1451" s="89"/>
      <c r="C1451" s="90">
        <f t="shared" si="45"/>
        <v>0</v>
      </c>
      <c r="D1451" s="97"/>
      <c r="E1451" s="98"/>
      <c r="F1451" s="98"/>
      <c r="G1451" s="98"/>
      <c r="H1451" s="98"/>
      <c r="I1451" s="98"/>
      <c r="J1451" s="98"/>
      <c r="K1451" s="98"/>
      <c r="L1451" s="98"/>
      <c r="M1451" s="98"/>
      <c r="N1451" s="98"/>
      <c r="O1451" s="98"/>
      <c r="P1451" s="98"/>
      <c r="Q1451" s="98"/>
      <c r="R1451" s="99"/>
    </row>
    <row r="1452" spans="1:18" x14ac:dyDescent="0.35">
      <c r="A1452" s="88">
        <f t="shared" si="44"/>
        <v>0</v>
      </c>
      <c r="B1452" s="89"/>
      <c r="C1452" s="90">
        <f t="shared" si="45"/>
        <v>0</v>
      </c>
      <c r="D1452" s="97"/>
      <c r="E1452" s="98"/>
      <c r="F1452" s="98"/>
      <c r="G1452" s="98"/>
      <c r="H1452" s="98"/>
      <c r="I1452" s="98"/>
      <c r="J1452" s="98"/>
      <c r="K1452" s="98"/>
      <c r="L1452" s="98"/>
      <c r="M1452" s="98"/>
      <c r="N1452" s="98"/>
      <c r="O1452" s="98"/>
      <c r="P1452" s="98"/>
      <c r="Q1452" s="98"/>
      <c r="R1452" s="99"/>
    </row>
    <row r="1453" spans="1:18" x14ac:dyDescent="0.35">
      <c r="A1453" s="88">
        <f t="shared" si="44"/>
        <v>0</v>
      </c>
      <c r="B1453" s="89"/>
      <c r="C1453" s="90">
        <f t="shared" si="45"/>
        <v>0</v>
      </c>
      <c r="D1453" s="97"/>
      <c r="E1453" s="98"/>
      <c r="F1453" s="98"/>
      <c r="G1453" s="98"/>
      <c r="H1453" s="98"/>
      <c r="I1453" s="98"/>
      <c r="J1453" s="98"/>
      <c r="K1453" s="98"/>
      <c r="L1453" s="98"/>
      <c r="M1453" s="98"/>
      <c r="N1453" s="98"/>
      <c r="O1453" s="98"/>
      <c r="P1453" s="98"/>
      <c r="Q1453" s="98"/>
      <c r="R1453" s="99"/>
    </row>
    <row r="1454" spans="1:18" x14ac:dyDescent="0.35">
      <c r="A1454" s="88">
        <f t="shared" si="44"/>
        <v>0</v>
      </c>
      <c r="B1454" s="89"/>
      <c r="C1454" s="90">
        <f t="shared" si="45"/>
        <v>0</v>
      </c>
      <c r="D1454" s="97"/>
      <c r="E1454" s="98"/>
      <c r="F1454" s="98"/>
      <c r="G1454" s="98"/>
      <c r="H1454" s="98"/>
      <c r="I1454" s="98"/>
      <c r="J1454" s="98"/>
      <c r="K1454" s="98"/>
      <c r="L1454" s="98"/>
      <c r="M1454" s="98"/>
      <c r="N1454" s="98"/>
      <c r="O1454" s="98"/>
      <c r="P1454" s="98"/>
      <c r="Q1454" s="98"/>
      <c r="R1454" s="99"/>
    </row>
    <row r="1455" spans="1:18" x14ac:dyDescent="0.35">
      <c r="A1455" s="88">
        <f t="shared" si="44"/>
        <v>0</v>
      </c>
      <c r="B1455" s="89"/>
      <c r="C1455" s="90">
        <f t="shared" si="45"/>
        <v>0</v>
      </c>
      <c r="D1455" s="97"/>
      <c r="E1455" s="98"/>
      <c r="F1455" s="98"/>
      <c r="G1455" s="98"/>
      <c r="H1455" s="98"/>
      <c r="I1455" s="98"/>
      <c r="J1455" s="98"/>
      <c r="K1455" s="98"/>
      <c r="L1455" s="98"/>
      <c r="M1455" s="98"/>
      <c r="N1455" s="98"/>
      <c r="O1455" s="98"/>
      <c r="P1455" s="98"/>
      <c r="Q1455" s="98"/>
      <c r="R1455" s="99"/>
    </row>
    <row r="1456" spans="1:18" x14ac:dyDescent="0.35">
      <c r="A1456" s="88">
        <f t="shared" si="44"/>
        <v>0</v>
      </c>
      <c r="B1456" s="89"/>
      <c r="C1456" s="90">
        <f t="shared" si="45"/>
        <v>0</v>
      </c>
      <c r="D1456" s="97"/>
      <c r="E1456" s="98"/>
      <c r="F1456" s="98"/>
      <c r="G1456" s="98"/>
      <c r="H1456" s="98"/>
      <c r="I1456" s="98"/>
      <c r="J1456" s="98"/>
      <c r="K1456" s="98"/>
      <c r="L1456" s="98"/>
      <c r="M1456" s="98"/>
      <c r="N1456" s="98"/>
      <c r="O1456" s="98"/>
      <c r="P1456" s="98"/>
      <c r="Q1456" s="98"/>
      <c r="R1456" s="99"/>
    </row>
    <row r="1457" spans="1:18" x14ac:dyDescent="0.35">
      <c r="A1457" s="88">
        <f t="shared" si="44"/>
        <v>0</v>
      </c>
      <c r="B1457" s="89"/>
      <c r="C1457" s="90">
        <f t="shared" si="45"/>
        <v>0</v>
      </c>
      <c r="D1457" s="97"/>
      <c r="E1457" s="98"/>
      <c r="F1457" s="98"/>
      <c r="G1457" s="98"/>
      <c r="H1457" s="98"/>
      <c r="I1457" s="98"/>
      <c r="J1457" s="98"/>
      <c r="K1457" s="98"/>
      <c r="L1457" s="98"/>
      <c r="M1457" s="98"/>
      <c r="N1457" s="98"/>
      <c r="O1457" s="98"/>
      <c r="P1457" s="98"/>
      <c r="Q1457" s="98"/>
      <c r="R1457" s="99"/>
    </row>
    <row r="1458" spans="1:18" x14ac:dyDescent="0.35">
      <c r="A1458" s="88">
        <f t="shared" si="44"/>
        <v>0</v>
      </c>
      <c r="B1458" s="89"/>
      <c r="C1458" s="90">
        <f t="shared" si="45"/>
        <v>0</v>
      </c>
      <c r="D1458" s="97"/>
      <c r="E1458" s="98"/>
      <c r="F1458" s="98"/>
      <c r="G1458" s="98"/>
      <c r="H1458" s="98"/>
      <c r="I1458" s="98"/>
      <c r="J1458" s="98"/>
      <c r="K1458" s="98"/>
      <c r="L1458" s="98"/>
      <c r="M1458" s="98"/>
      <c r="N1458" s="98"/>
      <c r="O1458" s="98"/>
      <c r="P1458" s="98"/>
      <c r="Q1458" s="98"/>
      <c r="R1458" s="99"/>
    </row>
    <row r="1459" spans="1:18" x14ac:dyDescent="0.35">
      <c r="A1459" s="88">
        <f t="shared" si="44"/>
        <v>0</v>
      </c>
      <c r="B1459" s="89"/>
      <c r="C1459" s="90">
        <f t="shared" si="45"/>
        <v>0</v>
      </c>
      <c r="D1459" s="97"/>
      <c r="E1459" s="98"/>
      <c r="F1459" s="98"/>
      <c r="G1459" s="98"/>
      <c r="H1459" s="98"/>
      <c r="I1459" s="98"/>
      <c r="J1459" s="98"/>
      <c r="K1459" s="98"/>
      <c r="L1459" s="98"/>
      <c r="M1459" s="98"/>
      <c r="N1459" s="98"/>
      <c r="O1459" s="98"/>
      <c r="P1459" s="98"/>
      <c r="Q1459" s="98"/>
      <c r="R1459" s="99"/>
    </row>
    <row r="1460" spans="1:18" x14ac:dyDescent="0.35">
      <c r="A1460" s="88">
        <f t="shared" si="44"/>
        <v>0</v>
      </c>
      <c r="B1460" s="89"/>
      <c r="C1460" s="90">
        <f t="shared" si="45"/>
        <v>0</v>
      </c>
      <c r="D1460" s="97"/>
      <c r="E1460" s="98"/>
      <c r="F1460" s="98"/>
      <c r="G1460" s="98"/>
      <c r="H1460" s="98"/>
      <c r="I1460" s="98"/>
      <c r="J1460" s="98"/>
      <c r="K1460" s="98"/>
      <c r="L1460" s="98"/>
      <c r="M1460" s="98"/>
      <c r="N1460" s="98"/>
      <c r="O1460" s="98"/>
      <c r="P1460" s="98"/>
      <c r="Q1460" s="98"/>
      <c r="R1460" s="99"/>
    </row>
    <row r="1461" spans="1:18" x14ac:dyDescent="0.35">
      <c r="A1461" s="88">
        <f t="shared" si="44"/>
        <v>0</v>
      </c>
      <c r="B1461" s="89"/>
      <c r="C1461" s="90">
        <f t="shared" si="45"/>
        <v>0</v>
      </c>
      <c r="D1461" s="97"/>
      <c r="E1461" s="98"/>
      <c r="F1461" s="98"/>
      <c r="G1461" s="98"/>
      <c r="H1461" s="98"/>
      <c r="I1461" s="98"/>
      <c r="J1461" s="98"/>
      <c r="K1461" s="98"/>
      <c r="L1461" s="98"/>
      <c r="M1461" s="98"/>
      <c r="N1461" s="98"/>
      <c r="O1461" s="98"/>
      <c r="P1461" s="98"/>
      <c r="Q1461" s="98"/>
      <c r="R1461" s="99"/>
    </row>
    <row r="1462" spans="1:18" x14ac:dyDescent="0.35">
      <c r="A1462" s="88">
        <f t="shared" si="44"/>
        <v>0</v>
      </c>
      <c r="B1462" s="89"/>
      <c r="C1462" s="90">
        <f t="shared" si="45"/>
        <v>0</v>
      </c>
      <c r="D1462" s="97"/>
      <c r="E1462" s="98"/>
      <c r="F1462" s="98"/>
      <c r="G1462" s="98"/>
      <c r="H1462" s="98"/>
      <c r="I1462" s="98"/>
      <c r="J1462" s="98"/>
      <c r="K1462" s="98"/>
      <c r="L1462" s="98"/>
      <c r="M1462" s="98"/>
      <c r="N1462" s="98"/>
      <c r="O1462" s="98"/>
      <c r="P1462" s="98"/>
      <c r="Q1462" s="98"/>
      <c r="R1462" s="99"/>
    </row>
    <row r="1463" spans="1:18" x14ac:dyDescent="0.35">
      <c r="A1463" s="88">
        <f t="shared" si="44"/>
        <v>0</v>
      </c>
      <c r="B1463" s="89"/>
      <c r="C1463" s="90">
        <f t="shared" si="45"/>
        <v>0</v>
      </c>
      <c r="D1463" s="97"/>
      <c r="E1463" s="98"/>
      <c r="F1463" s="98"/>
      <c r="G1463" s="98"/>
      <c r="H1463" s="98"/>
      <c r="I1463" s="98"/>
      <c r="J1463" s="98"/>
      <c r="K1463" s="98"/>
      <c r="L1463" s="98"/>
      <c r="M1463" s="98"/>
      <c r="N1463" s="98"/>
      <c r="O1463" s="98"/>
      <c r="P1463" s="98"/>
      <c r="Q1463" s="98"/>
      <c r="R1463" s="99"/>
    </row>
    <row r="1464" spans="1:18" x14ac:dyDescent="0.35">
      <c r="A1464" s="88">
        <f t="shared" si="44"/>
        <v>0</v>
      </c>
      <c r="B1464" s="89"/>
      <c r="C1464" s="90">
        <f t="shared" si="45"/>
        <v>0</v>
      </c>
      <c r="D1464" s="97"/>
      <c r="E1464" s="98"/>
      <c r="F1464" s="98"/>
      <c r="G1464" s="98"/>
      <c r="H1464" s="98"/>
      <c r="I1464" s="98"/>
      <c r="J1464" s="98"/>
      <c r="K1464" s="98"/>
      <c r="L1464" s="98"/>
      <c r="M1464" s="98"/>
      <c r="N1464" s="98"/>
      <c r="O1464" s="98"/>
      <c r="P1464" s="98"/>
      <c r="Q1464" s="98"/>
      <c r="R1464" s="99"/>
    </row>
    <row r="1465" spans="1:18" x14ac:dyDescent="0.35">
      <c r="A1465" s="88">
        <f t="shared" si="44"/>
        <v>0</v>
      </c>
      <c r="B1465" s="89"/>
      <c r="C1465" s="90">
        <f t="shared" si="45"/>
        <v>0</v>
      </c>
      <c r="D1465" s="97"/>
      <c r="E1465" s="98"/>
      <c r="F1465" s="98"/>
      <c r="G1465" s="98"/>
      <c r="H1465" s="98"/>
      <c r="I1465" s="98"/>
      <c r="J1465" s="98"/>
      <c r="K1465" s="98"/>
      <c r="L1465" s="98"/>
      <c r="M1465" s="98"/>
      <c r="N1465" s="98"/>
      <c r="O1465" s="98"/>
      <c r="P1465" s="98"/>
      <c r="Q1465" s="98"/>
      <c r="R1465" s="99"/>
    </row>
    <row r="1466" spans="1:18" x14ac:dyDescent="0.35">
      <c r="A1466" s="88">
        <f t="shared" si="44"/>
        <v>0</v>
      </c>
      <c r="B1466" s="89"/>
      <c r="C1466" s="90">
        <f t="shared" si="45"/>
        <v>0</v>
      </c>
      <c r="D1466" s="97"/>
      <c r="E1466" s="98"/>
      <c r="F1466" s="98"/>
      <c r="G1466" s="98"/>
      <c r="H1466" s="98"/>
      <c r="I1466" s="98"/>
      <c r="J1466" s="98"/>
      <c r="K1466" s="98"/>
      <c r="L1466" s="98"/>
      <c r="M1466" s="98"/>
      <c r="N1466" s="98"/>
      <c r="O1466" s="98"/>
      <c r="P1466" s="98"/>
      <c r="Q1466" s="98"/>
      <c r="R1466" s="99"/>
    </row>
    <row r="1467" spans="1:18" x14ac:dyDescent="0.35">
      <c r="A1467" s="88">
        <f t="shared" si="44"/>
        <v>0</v>
      </c>
      <c r="B1467" s="89"/>
      <c r="C1467" s="90">
        <f t="shared" si="45"/>
        <v>0</v>
      </c>
      <c r="D1467" s="97"/>
      <c r="E1467" s="98"/>
      <c r="F1467" s="98"/>
      <c r="G1467" s="98"/>
      <c r="H1467" s="98"/>
      <c r="I1467" s="98"/>
      <c r="J1467" s="98"/>
      <c r="K1467" s="98"/>
      <c r="L1467" s="98"/>
      <c r="M1467" s="98"/>
      <c r="N1467" s="98"/>
      <c r="O1467" s="98"/>
      <c r="P1467" s="98"/>
      <c r="Q1467" s="98"/>
      <c r="R1467" s="99"/>
    </row>
    <row r="1468" spans="1:18" x14ac:dyDescent="0.35">
      <c r="A1468" s="88">
        <f t="shared" si="44"/>
        <v>0</v>
      </c>
      <c r="B1468" s="89"/>
      <c r="C1468" s="90">
        <f t="shared" si="45"/>
        <v>0</v>
      </c>
      <c r="D1468" s="97"/>
      <c r="E1468" s="98"/>
      <c r="F1468" s="98"/>
      <c r="G1468" s="98"/>
      <c r="H1468" s="98"/>
      <c r="I1468" s="98"/>
      <c r="J1468" s="98"/>
      <c r="K1468" s="98"/>
      <c r="L1468" s="98"/>
      <c r="M1468" s="98"/>
      <c r="N1468" s="98"/>
      <c r="O1468" s="98"/>
      <c r="P1468" s="98"/>
      <c r="Q1468" s="98"/>
      <c r="R1468" s="99"/>
    </row>
    <row r="1469" spans="1:18" x14ac:dyDescent="0.35">
      <c r="A1469" s="88">
        <f t="shared" si="44"/>
        <v>0</v>
      </c>
      <c r="B1469" s="89"/>
      <c r="C1469" s="90">
        <f t="shared" si="45"/>
        <v>0</v>
      </c>
      <c r="D1469" s="97"/>
      <c r="E1469" s="98"/>
      <c r="F1469" s="98"/>
      <c r="G1469" s="98"/>
      <c r="H1469" s="98"/>
      <c r="I1469" s="98"/>
      <c r="J1469" s="98"/>
      <c r="K1469" s="98"/>
      <c r="L1469" s="98"/>
      <c r="M1469" s="98"/>
      <c r="N1469" s="98"/>
      <c r="O1469" s="98"/>
      <c r="P1469" s="98"/>
      <c r="Q1469" s="98"/>
      <c r="R1469" s="99"/>
    </row>
    <row r="1470" spans="1:18" x14ac:dyDescent="0.35">
      <c r="A1470" s="88">
        <f t="shared" si="44"/>
        <v>0</v>
      </c>
      <c r="B1470" s="89"/>
      <c r="C1470" s="90">
        <f t="shared" si="45"/>
        <v>0</v>
      </c>
      <c r="D1470" s="97"/>
      <c r="E1470" s="98"/>
      <c r="F1470" s="98"/>
      <c r="G1470" s="98"/>
      <c r="H1470" s="98"/>
      <c r="I1470" s="98"/>
      <c r="J1470" s="98"/>
      <c r="K1470" s="98"/>
      <c r="L1470" s="98"/>
      <c r="M1470" s="98"/>
      <c r="N1470" s="98"/>
      <c r="O1470" s="98"/>
      <c r="P1470" s="98"/>
      <c r="Q1470" s="98"/>
      <c r="R1470" s="99"/>
    </row>
    <row r="1471" spans="1:18" x14ac:dyDescent="0.35">
      <c r="A1471" s="88">
        <f t="shared" si="44"/>
        <v>0</v>
      </c>
      <c r="B1471" s="89"/>
      <c r="C1471" s="90">
        <f t="shared" si="45"/>
        <v>0</v>
      </c>
      <c r="D1471" s="97"/>
      <c r="E1471" s="98"/>
      <c r="F1471" s="98"/>
      <c r="G1471" s="98"/>
      <c r="H1471" s="98"/>
      <c r="I1471" s="98"/>
      <c r="J1471" s="98"/>
      <c r="K1471" s="98"/>
      <c r="L1471" s="98"/>
      <c r="M1471" s="98"/>
      <c r="N1471" s="98"/>
      <c r="O1471" s="98"/>
      <c r="P1471" s="98"/>
      <c r="Q1471" s="98"/>
      <c r="R1471" s="99"/>
    </row>
    <row r="1472" spans="1:18" x14ac:dyDescent="0.35">
      <c r="A1472" s="88">
        <f t="shared" si="44"/>
        <v>0</v>
      </c>
      <c r="B1472" s="89"/>
      <c r="C1472" s="90">
        <f t="shared" si="45"/>
        <v>0</v>
      </c>
      <c r="D1472" s="97"/>
      <c r="E1472" s="98"/>
      <c r="F1472" s="98"/>
      <c r="G1472" s="98"/>
      <c r="H1472" s="98"/>
      <c r="I1472" s="98"/>
      <c r="J1472" s="98"/>
      <c r="K1472" s="98"/>
      <c r="L1472" s="98"/>
      <c r="M1472" s="98"/>
      <c r="N1472" s="98"/>
      <c r="O1472" s="98"/>
      <c r="P1472" s="98"/>
      <c r="Q1472" s="98"/>
      <c r="R1472" s="99"/>
    </row>
    <row r="1473" spans="1:18" x14ac:dyDescent="0.35">
      <c r="A1473" s="88">
        <f t="shared" si="44"/>
        <v>0</v>
      </c>
      <c r="B1473" s="89"/>
      <c r="C1473" s="90">
        <f t="shared" si="45"/>
        <v>0</v>
      </c>
      <c r="D1473" s="97"/>
      <c r="E1473" s="98"/>
      <c r="F1473" s="98"/>
      <c r="G1473" s="98"/>
      <c r="H1473" s="98"/>
      <c r="I1473" s="98"/>
      <c r="J1473" s="98"/>
      <c r="K1473" s="98"/>
      <c r="L1473" s="98"/>
      <c r="M1473" s="98"/>
      <c r="N1473" s="98"/>
      <c r="O1473" s="98"/>
      <c r="P1473" s="98"/>
      <c r="Q1473" s="98"/>
      <c r="R1473" s="99"/>
    </row>
    <row r="1474" spans="1:18" x14ac:dyDescent="0.35">
      <c r="A1474" s="88">
        <f t="shared" si="44"/>
        <v>0</v>
      </c>
      <c r="B1474" s="89"/>
      <c r="C1474" s="90">
        <f t="shared" si="45"/>
        <v>0</v>
      </c>
      <c r="D1474" s="97"/>
      <c r="E1474" s="98"/>
      <c r="F1474" s="98"/>
      <c r="G1474" s="98"/>
      <c r="H1474" s="98"/>
      <c r="I1474" s="98"/>
      <c r="J1474" s="98"/>
      <c r="K1474" s="98"/>
      <c r="L1474" s="98"/>
      <c r="M1474" s="98"/>
      <c r="N1474" s="98"/>
      <c r="O1474" s="98"/>
      <c r="P1474" s="98"/>
      <c r="Q1474" s="98"/>
      <c r="R1474" s="99"/>
    </row>
    <row r="1475" spans="1:18" x14ac:dyDescent="0.35">
      <c r="A1475" s="88">
        <f t="shared" si="44"/>
        <v>0</v>
      </c>
      <c r="B1475" s="89"/>
      <c r="C1475" s="90">
        <f t="shared" si="45"/>
        <v>0</v>
      </c>
      <c r="D1475" s="97"/>
      <c r="E1475" s="98"/>
      <c r="F1475" s="98"/>
      <c r="G1475" s="98"/>
      <c r="H1475" s="98"/>
      <c r="I1475" s="98"/>
      <c r="J1475" s="98"/>
      <c r="K1475" s="98"/>
      <c r="L1475" s="98"/>
      <c r="M1475" s="98"/>
      <c r="N1475" s="98"/>
      <c r="O1475" s="98"/>
      <c r="P1475" s="98"/>
      <c r="Q1475" s="98"/>
      <c r="R1475" s="99"/>
    </row>
    <row r="1476" spans="1:18" x14ac:dyDescent="0.35">
      <c r="A1476" s="88">
        <f t="shared" ref="A1476:A1539" si="46">F1476</f>
        <v>0</v>
      </c>
      <c r="B1476" s="89"/>
      <c r="C1476" s="90">
        <f t="shared" ref="C1476:C1539" si="47">F1476</f>
        <v>0</v>
      </c>
      <c r="D1476" s="97"/>
      <c r="E1476" s="98"/>
      <c r="F1476" s="98"/>
      <c r="G1476" s="98"/>
      <c r="H1476" s="98"/>
      <c r="I1476" s="98"/>
      <c r="J1476" s="98"/>
      <c r="K1476" s="98"/>
      <c r="L1476" s="98"/>
      <c r="M1476" s="98"/>
      <c r="N1476" s="98"/>
      <c r="O1476" s="98"/>
      <c r="P1476" s="98"/>
      <c r="Q1476" s="98"/>
      <c r="R1476" s="99"/>
    </row>
    <row r="1477" spans="1:18" x14ac:dyDescent="0.35">
      <c r="A1477" s="88">
        <f t="shared" si="46"/>
        <v>0</v>
      </c>
      <c r="B1477" s="89"/>
      <c r="C1477" s="90">
        <f t="shared" si="47"/>
        <v>0</v>
      </c>
      <c r="D1477" s="97"/>
      <c r="E1477" s="98"/>
      <c r="F1477" s="98"/>
      <c r="G1477" s="98"/>
      <c r="H1477" s="98"/>
      <c r="I1477" s="98"/>
      <c r="J1477" s="98"/>
      <c r="K1477" s="98"/>
      <c r="L1477" s="98"/>
      <c r="M1477" s="98"/>
      <c r="N1477" s="98"/>
      <c r="O1477" s="98"/>
      <c r="P1477" s="98"/>
      <c r="Q1477" s="98"/>
      <c r="R1477" s="99"/>
    </row>
    <row r="1478" spans="1:18" x14ac:dyDescent="0.35">
      <c r="A1478" s="88">
        <f t="shared" si="46"/>
        <v>0</v>
      </c>
      <c r="B1478" s="89"/>
      <c r="C1478" s="90">
        <f t="shared" si="47"/>
        <v>0</v>
      </c>
      <c r="D1478" s="97"/>
      <c r="E1478" s="98"/>
      <c r="F1478" s="98"/>
      <c r="G1478" s="98"/>
      <c r="H1478" s="98"/>
      <c r="I1478" s="98"/>
      <c r="J1478" s="98"/>
      <c r="K1478" s="98"/>
      <c r="L1478" s="98"/>
      <c r="M1478" s="98"/>
      <c r="N1478" s="98"/>
      <c r="O1478" s="98"/>
      <c r="P1478" s="98"/>
      <c r="Q1478" s="98"/>
      <c r="R1478" s="99"/>
    </row>
    <row r="1479" spans="1:18" x14ac:dyDescent="0.35">
      <c r="A1479" s="88">
        <f t="shared" si="46"/>
        <v>0</v>
      </c>
      <c r="B1479" s="89"/>
      <c r="C1479" s="90">
        <f t="shared" si="47"/>
        <v>0</v>
      </c>
      <c r="D1479" s="97"/>
      <c r="E1479" s="98"/>
      <c r="F1479" s="98"/>
      <c r="G1479" s="98"/>
      <c r="H1479" s="98"/>
      <c r="I1479" s="98"/>
      <c r="J1479" s="98"/>
      <c r="K1479" s="98"/>
      <c r="L1479" s="98"/>
      <c r="M1479" s="98"/>
      <c r="N1479" s="98"/>
      <c r="O1479" s="98"/>
      <c r="P1479" s="98"/>
      <c r="Q1479" s="98"/>
      <c r="R1479" s="99"/>
    </row>
    <row r="1480" spans="1:18" x14ac:dyDescent="0.35">
      <c r="A1480" s="88">
        <f t="shared" si="46"/>
        <v>0</v>
      </c>
      <c r="B1480" s="89"/>
      <c r="C1480" s="90">
        <f t="shared" si="47"/>
        <v>0</v>
      </c>
      <c r="D1480" s="97"/>
      <c r="E1480" s="98"/>
      <c r="F1480" s="98"/>
      <c r="G1480" s="98"/>
      <c r="H1480" s="98"/>
      <c r="I1480" s="98"/>
      <c r="J1480" s="98"/>
      <c r="K1480" s="98"/>
      <c r="L1480" s="98"/>
      <c r="M1480" s="98"/>
      <c r="N1480" s="98"/>
      <c r="O1480" s="98"/>
      <c r="P1480" s="98"/>
      <c r="Q1480" s="98"/>
      <c r="R1480" s="99"/>
    </row>
    <row r="1481" spans="1:18" x14ac:dyDescent="0.35">
      <c r="A1481" s="88">
        <f t="shared" si="46"/>
        <v>0</v>
      </c>
      <c r="B1481" s="89"/>
      <c r="C1481" s="90">
        <f t="shared" si="47"/>
        <v>0</v>
      </c>
      <c r="D1481" s="97"/>
      <c r="E1481" s="98"/>
      <c r="F1481" s="98"/>
      <c r="G1481" s="98"/>
      <c r="H1481" s="98"/>
      <c r="I1481" s="98"/>
      <c r="J1481" s="98"/>
      <c r="K1481" s="98"/>
      <c r="L1481" s="98"/>
      <c r="M1481" s="98"/>
      <c r="N1481" s="98"/>
      <c r="O1481" s="98"/>
      <c r="P1481" s="98"/>
      <c r="Q1481" s="98"/>
      <c r="R1481" s="99"/>
    </row>
    <row r="1482" spans="1:18" x14ac:dyDescent="0.35">
      <c r="A1482" s="88">
        <f t="shared" si="46"/>
        <v>0</v>
      </c>
      <c r="B1482" s="89"/>
      <c r="C1482" s="90">
        <f t="shared" si="47"/>
        <v>0</v>
      </c>
      <c r="D1482" s="97"/>
      <c r="E1482" s="98"/>
      <c r="F1482" s="98"/>
      <c r="G1482" s="98"/>
      <c r="H1482" s="98"/>
      <c r="I1482" s="98"/>
      <c r="J1482" s="98"/>
      <c r="K1482" s="98"/>
      <c r="L1482" s="98"/>
      <c r="M1482" s="98"/>
      <c r="N1482" s="98"/>
      <c r="O1482" s="98"/>
      <c r="P1482" s="98"/>
      <c r="Q1482" s="98"/>
      <c r="R1482" s="99"/>
    </row>
    <row r="1483" spans="1:18" x14ac:dyDescent="0.35">
      <c r="A1483" s="88">
        <f t="shared" si="46"/>
        <v>0</v>
      </c>
      <c r="B1483" s="89"/>
      <c r="C1483" s="90">
        <f t="shared" si="47"/>
        <v>0</v>
      </c>
      <c r="D1483" s="97"/>
      <c r="E1483" s="98"/>
      <c r="F1483" s="98"/>
      <c r="G1483" s="98"/>
      <c r="H1483" s="98"/>
      <c r="I1483" s="98"/>
      <c r="J1483" s="98"/>
      <c r="K1483" s="98"/>
      <c r="L1483" s="98"/>
      <c r="M1483" s="98"/>
      <c r="N1483" s="98"/>
      <c r="O1483" s="98"/>
      <c r="P1483" s="98"/>
      <c r="Q1483" s="98"/>
      <c r="R1483" s="99"/>
    </row>
    <row r="1484" spans="1:18" x14ac:dyDescent="0.35">
      <c r="A1484" s="88">
        <f t="shared" si="46"/>
        <v>0</v>
      </c>
      <c r="B1484" s="89"/>
      <c r="C1484" s="90">
        <f t="shared" si="47"/>
        <v>0</v>
      </c>
      <c r="D1484" s="97"/>
      <c r="E1484" s="98"/>
      <c r="F1484" s="98"/>
      <c r="G1484" s="98"/>
      <c r="H1484" s="98"/>
      <c r="I1484" s="98"/>
      <c r="J1484" s="98"/>
      <c r="K1484" s="98"/>
      <c r="L1484" s="98"/>
      <c r="M1484" s="98"/>
      <c r="N1484" s="98"/>
      <c r="O1484" s="98"/>
      <c r="P1484" s="98"/>
      <c r="Q1484" s="98"/>
      <c r="R1484" s="99"/>
    </row>
    <row r="1485" spans="1:18" x14ac:dyDescent="0.35">
      <c r="A1485" s="88">
        <f t="shared" si="46"/>
        <v>0</v>
      </c>
      <c r="B1485" s="89"/>
      <c r="C1485" s="90">
        <f t="shared" si="47"/>
        <v>0</v>
      </c>
      <c r="D1485" s="97"/>
      <c r="E1485" s="98"/>
      <c r="F1485" s="98"/>
      <c r="G1485" s="98"/>
      <c r="H1485" s="98"/>
      <c r="I1485" s="98"/>
      <c r="J1485" s="98"/>
      <c r="K1485" s="98"/>
      <c r="L1485" s="98"/>
      <c r="M1485" s="98"/>
      <c r="N1485" s="98"/>
      <c r="O1485" s="98"/>
      <c r="P1485" s="98"/>
      <c r="Q1485" s="98"/>
      <c r="R1485" s="99"/>
    </row>
    <row r="1486" spans="1:18" x14ac:dyDescent="0.35">
      <c r="A1486" s="88">
        <f t="shared" si="46"/>
        <v>0</v>
      </c>
      <c r="B1486" s="89"/>
      <c r="C1486" s="90">
        <f t="shared" si="47"/>
        <v>0</v>
      </c>
      <c r="D1486" s="97"/>
      <c r="E1486" s="98"/>
      <c r="F1486" s="98"/>
      <c r="G1486" s="98"/>
      <c r="H1486" s="98"/>
      <c r="I1486" s="98"/>
      <c r="J1486" s="98"/>
      <c r="K1486" s="98"/>
      <c r="L1486" s="98"/>
      <c r="M1486" s="98"/>
      <c r="N1486" s="98"/>
      <c r="O1486" s="98"/>
      <c r="P1486" s="98"/>
      <c r="Q1486" s="98"/>
      <c r="R1486" s="99"/>
    </row>
    <row r="1487" spans="1:18" x14ac:dyDescent="0.35">
      <c r="A1487" s="88">
        <f t="shared" si="46"/>
        <v>0</v>
      </c>
      <c r="B1487" s="89"/>
      <c r="C1487" s="90">
        <f t="shared" si="47"/>
        <v>0</v>
      </c>
      <c r="D1487" s="97"/>
      <c r="E1487" s="98"/>
      <c r="F1487" s="98"/>
      <c r="G1487" s="98"/>
      <c r="H1487" s="98"/>
      <c r="I1487" s="98"/>
      <c r="J1487" s="98"/>
      <c r="K1487" s="98"/>
      <c r="L1487" s="98"/>
      <c r="M1487" s="98"/>
      <c r="N1487" s="98"/>
      <c r="O1487" s="98"/>
      <c r="P1487" s="98"/>
      <c r="Q1487" s="98"/>
      <c r="R1487" s="99"/>
    </row>
    <row r="1488" spans="1:18" x14ac:dyDescent="0.35">
      <c r="A1488" s="88">
        <f t="shared" si="46"/>
        <v>0</v>
      </c>
      <c r="B1488" s="89"/>
      <c r="C1488" s="90">
        <f t="shared" si="47"/>
        <v>0</v>
      </c>
      <c r="D1488" s="97"/>
      <c r="E1488" s="98"/>
      <c r="F1488" s="98"/>
      <c r="G1488" s="98"/>
      <c r="H1488" s="98"/>
      <c r="I1488" s="98"/>
      <c r="J1488" s="98"/>
      <c r="K1488" s="98"/>
      <c r="L1488" s="98"/>
      <c r="M1488" s="98"/>
      <c r="N1488" s="98"/>
      <c r="O1488" s="98"/>
      <c r="P1488" s="98"/>
      <c r="Q1488" s="98"/>
      <c r="R1488" s="99"/>
    </row>
    <row r="1489" spans="1:18" x14ac:dyDescent="0.35">
      <c r="A1489" s="88">
        <f t="shared" si="46"/>
        <v>0</v>
      </c>
      <c r="B1489" s="89"/>
      <c r="C1489" s="90">
        <f t="shared" si="47"/>
        <v>0</v>
      </c>
      <c r="D1489" s="97"/>
      <c r="E1489" s="98"/>
      <c r="F1489" s="98"/>
      <c r="G1489" s="98"/>
      <c r="H1489" s="98"/>
      <c r="I1489" s="98"/>
      <c r="J1489" s="98"/>
      <c r="K1489" s="98"/>
      <c r="L1489" s="98"/>
      <c r="M1489" s="98"/>
      <c r="N1489" s="98"/>
      <c r="O1489" s="98"/>
      <c r="P1489" s="98"/>
      <c r="Q1489" s="98"/>
      <c r="R1489" s="99"/>
    </row>
    <row r="1490" spans="1:18" x14ac:dyDescent="0.35">
      <c r="A1490" s="88">
        <f t="shared" si="46"/>
        <v>0</v>
      </c>
      <c r="B1490" s="89"/>
      <c r="C1490" s="90">
        <f t="shared" si="47"/>
        <v>0</v>
      </c>
      <c r="D1490" s="97"/>
      <c r="E1490" s="98"/>
      <c r="F1490" s="98"/>
      <c r="G1490" s="98"/>
      <c r="H1490" s="98"/>
      <c r="I1490" s="98"/>
      <c r="J1490" s="98"/>
      <c r="K1490" s="98"/>
      <c r="L1490" s="98"/>
      <c r="M1490" s="98"/>
      <c r="N1490" s="98"/>
      <c r="O1490" s="98"/>
      <c r="P1490" s="98"/>
      <c r="Q1490" s="98"/>
      <c r="R1490" s="99"/>
    </row>
    <row r="1491" spans="1:18" x14ac:dyDescent="0.35">
      <c r="A1491" s="88">
        <f t="shared" si="46"/>
        <v>0</v>
      </c>
      <c r="B1491" s="89"/>
      <c r="C1491" s="90">
        <f t="shared" si="47"/>
        <v>0</v>
      </c>
      <c r="D1491" s="97"/>
      <c r="E1491" s="98"/>
      <c r="F1491" s="98"/>
      <c r="G1491" s="98"/>
      <c r="H1491" s="98"/>
      <c r="I1491" s="98"/>
      <c r="J1491" s="98"/>
      <c r="K1491" s="98"/>
      <c r="L1491" s="98"/>
      <c r="M1491" s="98"/>
      <c r="N1491" s="98"/>
      <c r="O1491" s="98"/>
      <c r="P1491" s="98"/>
      <c r="Q1491" s="98"/>
      <c r="R1491" s="99"/>
    </row>
    <row r="1492" spans="1:18" x14ac:dyDescent="0.35">
      <c r="A1492" s="88">
        <f t="shared" si="46"/>
        <v>0</v>
      </c>
      <c r="B1492" s="89"/>
      <c r="C1492" s="90">
        <f t="shared" si="47"/>
        <v>0</v>
      </c>
      <c r="D1492" s="97"/>
      <c r="E1492" s="98"/>
      <c r="F1492" s="98"/>
      <c r="G1492" s="98"/>
      <c r="H1492" s="98"/>
      <c r="I1492" s="98"/>
      <c r="J1492" s="98"/>
      <c r="K1492" s="98"/>
      <c r="L1492" s="98"/>
      <c r="M1492" s="98"/>
      <c r="N1492" s="98"/>
      <c r="O1492" s="98"/>
      <c r="P1492" s="98"/>
      <c r="Q1492" s="98"/>
      <c r="R1492" s="99"/>
    </row>
    <row r="1493" spans="1:18" x14ac:dyDescent="0.35">
      <c r="A1493" s="88">
        <f t="shared" si="46"/>
        <v>0</v>
      </c>
      <c r="B1493" s="89"/>
      <c r="C1493" s="90">
        <f t="shared" si="47"/>
        <v>0</v>
      </c>
      <c r="D1493" s="97"/>
      <c r="E1493" s="98"/>
      <c r="F1493" s="98"/>
      <c r="G1493" s="98"/>
      <c r="H1493" s="98"/>
      <c r="I1493" s="98"/>
      <c r="J1493" s="98"/>
      <c r="K1493" s="98"/>
      <c r="L1493" s="98"/>
      <c r="M1493" s="98"/>
      <c r="N1493" s="98"/>
      <c r="O1493" s="98"/>
      <c r="P1493" s="98"/>
      <c r="Q1493" s="98"/>
      <c r="R1493" s="99"/>
    </row>
    <row r="1494" spans="1:18" x14ac:dyDescent="0.35">
      <c r="A1494" s="88">
        <f t="shared" si="46"/>
        <v>0</v>
      </c>
      <c r="B1494" s="89"/>
      <c r="C1494" s="90">
        <f t="shared" si="47"/>
        <v>0</v>
      </c>
      <c r="D1494" s="97"/>
      <c r="E1494" s="98"/>
      <c r="F1494" s="98"/>
      <c r="G1494" s="98"/>
      <c r="H1494" s="98"/>
      <c r="I1494" s="98"/>
      <c r="J1494" s="98"/>
      <c r="K1494" s="98"/>
      <c r="L1494" s="98"/>
      <c r="M1494" s="98"/>
      <c r="N1494" s="98"/>
      <c r="O1494" s="98"/>
      <c r="P1494" s="98"/>
      <c r="Q1494" s="98"/>
      <c r="R1494" s="99"/>
    </row>
    <row r="1495" spans="1:18" x14ac:dyDescent="0.35">
      <c r="A1495" s="88">
        <f t="shared" si="46"/>
        <v>0</v>
      </c>
      <c r="B1495" s="89"/>
      <c r="C1495" s="90">
        <f t="shared" si="47"/>
        <v>0</v>
      </c>
      <c r="D1495" s="97"/>
      <c r="E1495" s="98"/>
      <c r="F1495" s="98"/>
      <c r="G1495" s="98"/>
      <c r="H1495" s="98"/>
      <c r="I1495" s="98"/>
      <c r="J1495" s="98"/>
      <c r="K1495" s="98"/>
      <c r="L1495" s="98"/>
      <c r="M1495" s="98"/>
      <c r="N1495" s="98"/>
      <c r="O1495" s="98"/>
      <c r="P1495" s="98"/>
      <c r="Q1495" s="98"/>
      <c r="R1495" s="99"/>
    </row>
    <row r="1496" spans="1:18" x14ac:dyDescent="0.35">
      <c r="A1496" s="88">
        <f t="shared" si="46"/>
        <v>0</v>
      </c>
      <c r="B1496" s="89"/>
      <c r="C1496" s="90">
        <f t="shared" si="47"/>
        <v>0</v>
      </c>
      <c r="D1496" s="97"/>
      <c r="E1496" s="98"/>
      <c r="F1496" s="98"/>
      <c r="G1496" s="98"/>
      <c r="H1496" s="98"/>
      <c r="I1496" s="98"/>
      <c r="J1496" s="98"/>
      <c r="K1496" s="98"/>
      <c r="L1496" s="98"/>
      <c r="M1496" s="98"/>
      <c r="N1496" s="98"/>
      <c r="O1496" s="98"/>
      <c r="P1496" s="98"/>
      <c r="Q1496" s="98"/>
      <c r="R1496" s="99"/>
    </row>
    <row r="1497" spans="1:18" x14ac:dyDescent="0.35">
      <c r="A1497" s="88">
        <f t="shared" si="46"/>
        <v>0</v>
      </c>
      <c r="B1497" s="89"/>
      <c r="C1497" s="90">
        <f t="shared" si="47"/>
        <v>0</v>
      </c>
      <c r="D1497" s="97"/>
      <c r="E1497" s="98"/>
      <c r="F1497" s="98"/>
      <c r="G1497" s="98"/>
      <c r="H1497" s="98"/>
      <c r="I1497" s="98"/>
      <c r="J1497" s="98"/>
      <c r="K1497" s="98"/>
      <c r="L1497" s="98"/>
      <c r="M1497" s="98"/>
      <c r="N1497" s="98"/>
      <c r="O1497" s="98"/>
      <c r="P1497" s="98"/>
      <c r="Q1497" s="98"/>
      <c r="R1497" s="99"/>
    </row>
    <row r="1498" spans="1:18" x14ac:dyDescent="0.35">
      <c r="A1498" s="88">
        <f t="shared" si="46"/>
        <v>0</v>
      </c>
      <c r="B1498" s="89"/>
      <c r="C1498" s="90">
        <f t="shared" si="47"/>
        <v>0</v>
      </c>
      <c r="D1498" s="97"/>
      <c r="E1498" s="98"/>
      <c r="F1498" s="98"/>
      <c r="G1498" s="98"/>
      <c r="H1498" s="98"/>
      <c r="I1498" s="98"/>
      <c r="J1498" s="98"/>
      <c r="K1498" s="98"/>
      <c r="L1498" s="98"/>
      <c r="M1498" s="98"/>
      <c r="N1498" s="98"/>
      <c r="O1498" s="98"/>
      <c r="P1498" s="98"/>
      <c r="Q1498" s="98"/>
      <c r="R1498" s="99"/>
    </row>
    <row r="1499" spans="1:18" x14ac:dyDescent="0.35">
      <c r="A1499" s="88">
        <f t="shared" si="46"/>
        <v>0</v>
      </c>
      <c r="B1499" s="89"/>
      <c r="C1499" s="90">
        <f t="shared" si="47"/>
        <v>0</v>
      </c>
      <c r="D1499" s="97"/>
      <c r="E1499" s="98"/>
      <c r="F1499" s="98"/>
      <c r="G1499" s="98"/>
      <c r="H1499" s="98"/>
      <c r="I1499" s="98"/>
      <c r="J1499" s="98"/>
      <c r="K1499" s="98"/>
      <c r="L1499" s="98"/>
      <c r="M1499" s="98"/>
      <c r="N1499" s="98"/>
      <c r="O1499" s="98"/>
      <c r="P1499" s="98"/>
      <c r="Q1499" s="98"/>
      <c r="R1499" s="99"/>
    </row>
    <row r="1500" spans="1:18" x14ac:dyDescent="0.35">
      <c r="A1500" s="88">
        <f t="shared" si="46"/>
        <v>0</v>
      </c>
      <c r="B1500" s="89"/>
      <c r="C1500" s="90">
        <f t="shared" si="47"/>
        <v>0</v>
      </c>
      <c r="D1500" s="97"/>
      <c r="E1500" s="98"/>
      <c r="F1500" s="98"/>
      <c r="G1500" s="98"/>
      <c r="H1500" s="98"/>
      <c r="I1500" s="98"/>
      <c r="J1500" s="98"/>
      <c r="K1500" s="98"/>
      <c r="L1500" s="98"/>
      <c r="M1500" s="98"/>
      <c r="N1500" s="98"/>
      <c r="O1500" s="98"/>
      <c r="P1500" s="98"/>
      <c r="Q1500" s="98"/>
      <c r="R1500" s="99"/>
    </row>
    <row r="1501" spans="1:18" x14ac:dyDescent="0.35">
      <c r="A1501" s="88">
        <f t="shared" si="46"/>
        <v>0</v>
      </c>
      <c r="B1501" s="89"/>
      <c r="C1501" s="90">
        <f t="shared" si="47"/>
        <v>0</v>
      </c>
      <c r="D1501" s="97"/>
      <c r="E1501" s="98"/>
      <c r="F1501" s="98"/>
      <c r="G1501" s="98"/>
      <c r="H1501" s="98"/>
      <c r="I1501" s="98"/>
      <c r="J1501" s="98"/>
      <c r="K1501" s="98"/>
      <c r="L1501" s="98"/>
      <c r="M1501" s="98"/>
      <c r="N1501" s="98"/>
      <c r="O1501" s="98"/>
      <c r="P1501" s="98"/>
      <c r="Q1501" s="98"/>
      <c r="R1501" s="99"/>
    </row>
    <row r="1502" spans="1:18" x14ac:dyDescent="0.35">
      <c r="A1502" s="88">
        <f t="shared" si="46"/>
        <v>0</v>
      </c>
      <c r="B1502" s="89"/>
      <c r="C1502" s="90">
        <f t="shared" si="47"/>
        <v>0</v>
      </c>
      <c r="D1502" s="97"/>
      <c r="E1502" s="98"/>
      <c r="F1502" s="98"/>
      <c r="G1502" s="98"/>
      <c r="H1502" s="98"/>
      <c r="I1502" s="98"/>
      <c r="J1502" s="98"/>
      <c r="K1502" s="98"/>
      <c r="L1502" s="98"/>
      <c r="M1502" s="98"/>
      <c r="N1502" s="98"/>
      <c r="O1502" s="98"/>
      <c r="P1502" s="98"/>
      <c r="Q1502" s="98"/>
      <c r="R1502" s="99"/>
    </row>
    <row r="1503" spans="1:18" x14ac:dyDescent="0.35">
      <c r="A1503" s="88">
        <f t="shared" si="46"/>
        <v>0</v>
      </c>
      <c r="B1503" s="89"/>
      <c r="C1503" s="90">
        <f t="shared" si="47"/>
        <v>0</v>
      </c>
      <c r="D1503" s="97"/>
      <c r="E1503" s="98"/>
      <c r="F1503" s="98"/>
      <c r="G1503" s="98"/>
      <c r="H1503" s="98"/>
      <c r="I1503" s="98"/>
      <c r="J1503" s="98"/>
      <c r="K1503" s="98"/>
      <c r="L1503" s="98"/>
      <c r="M1503" s="98"/>
      <c r="N1503" s="98"/>
      <c r="O1503" s="98"/>
      <c r="P1503" s="98"/>
      <c r="Q1503" s="98"/>
      <c r="R1503" s="99"/>
    </row>
    <row r="1504" spans="1:18" x14ac:dyDescent="0.35">
      <c r="A1504" s="88">
        <f t="shared" si="46"/>
        <v>0</v>
      </c>
      <c r="B1504" s="89"/>
      <c r="C1504" s="90">
        <f t="shared" si="47"/>
        <v>0</v>
      </c>
      <c r="D1504" s="97"/>
      <c r="E1504" s="98"/>
      <c r="F1504" s="98"/>
      <c r="G1504" s="98"/>
      <c r="H1504" s="98"/>
      <c r="I1504" s="98"/>
      <c r="J1504" s="98"/>
      <c r="K1504" s="98"/>
      <c r="L1504" s="98"/>
      <c r="M1504" s="98"/>
      <c r="N1504" s="98"/>
      <c r="O1504" s="98"/>
      <c r="P1504" s="98"/>
      <c r="Q1504" s="98"/>
      <c r="R1504" s="99"/>
    </row>
    <row r="1505" spans="1:18" x14ac:dyDescent="0.35">
      <c r="A1505" s="88">
        <f t="shared" si="46"/>
        <v>0</v>
      </c>
      <c r="B1505" s="89"/>
      <c r="C1505" s="90">
        <f t="shared" si="47"/>
        <v>0</v>
      </c>
      <c r="D1505" s="97"/>
      <c r="E1505" s="98"/>
      <c r="F1505" s="98"/>
      <c r="G1505" s="98"/>
      <c r="H1505" s="98"/>
      <c r="I1505" s="98"/>
      <c r="J1505" s="98"/>
      <c r="K1505" s="98"/>
      <c r="L1505" s="98"/>
      <c r="M1505" s="98"/>
      <c r="N1505" s="98"/>
      <c r="O1505" s="98"/>
      <c r="P1505" s="98"/>
      <c r="Q1505" s="98"/>
      <c r="R1505" s="99"/>
    </row>
    <row r="1506" spans="1:18" x14ac:dyDescent="0.35">
      <c r="A1506" s="88">
        <f t="shared" si="46"/>
        <v>0</v>
      </c>
      <c r="B1506" s="89"/>
      <c r="C1506" s="90">
        <f t="shared" si="47"/>
        <v>0</v>
      </c>
      <c r="D1506" s="97"/>
      <c r="E1506" s="98"/>
      <c r="F1506" s="98"/>
      <c r="G1506" s="98"/>
      <c r="H1506" s="98"/>
      <c r="I1506" s="98"/>
      <c r="J1506" s="98"/>
      <c r="K1506" s="98"/>
      <c r="L1506" s="98"/>
      <c r="M1506" s="98"/>
      <c r="N1506" s="98"/>
      <c r="O1506" s="98"/>
      <c r="P1506" s="98"/>
      <c r="Q1506" s="98"/>
      <c r="R1506" s="99"/>
    </row>
    <row r="1507" spans="1:18" x14ac:dyDescent="0.35">
      <c r="A1507" s="88">
        <f t="shared" si="46"/>
        <v>0</v>
      </c>
      <c r="B1507" s="89"/>
      <c r="C1507" s="90">
        <f t="shared" si="47"/>
        <v>0</v>
      </c>
      <c r="D1507" s="97"/>
      <c r="E1507" s="98"/>
      <c r="F1507" s="98"/>
      <c r="G1507" s="98"/>
      <c r="H1507" s="98"/>
      <c r="I1507" s="98"/>
      <c r="J1507" s="98"/>
      <c r="K1507" s="98"/>
      <c r="L1507" s="98"/>
      <c r="M1507" s="98"/>
      <c r="N1507" s="98"/>
      <c r="O1507" s="98"/>
      <c r="P1507" s="98"/>
      <c r="Q1507" s="98"/>
      <c r="R1507" s="99"/>
    </row>
    <row r="1508" spans="1:18" x14ac:dyDescent="0.35">
      <c r="A1508" s="88">
        <f t="shared" si="46"/>
        <v>0</v>
      </c>
      <c r="B1508" s="89"/>
      <c r="C1508" s="90">
        <f t="shared" si="47"/>
        <v>0</v>
      </c>
      <c r="D1508" s="97"/>
      <c r="E1508" s="98"/>
      <c r="F1508" s="98"/>
      <c r="G1508" s="98"/>
      <c r="H1508" s="98"/>
      <c r="I1508" s="98"/>
      <c r="J1508" s="98"/>
      <c r="K1508" s="98"/>
      <c r="L1508" s="98"/>
      <c r="M1508" s="98"/>
      <c r="N1508" s="98"/>
      <c r="O1508" s="98"/>
      <c r="P1508" s="98"/>
      <c r="Q1508" s="98"/>
      <c r="R1508" s="99"/>
    </row>
    <row r="1509" spans="1:18" x14ac:dyDescent="0.35">
      <c r="A1509" s="88">
        <f t="shared" si="46"/>
        <v>0</v>
      </c>
      <c r="B1509" s="89"/>
      <c r="C1509" s="90">
        <f t="shared" si="47"/>
        <v>0</v>
      </c>
      <c r="D1509" s="97"/>
      <c r="E1509" s="98"/>
      <c r="F1509" s="98"/>
      <c r="G1509" s="98"/>
      <c r="H1509" s="98"/>
      <c r="I1509" s="98"/>
      <c r="J1509" s="98"/>
      <c r="K1509" s="98"/>
      <c r="L1509" s="98"/>
      <c r="M1509" s="98"/>
      <c r="N1509" s="98"/>
      <c r="O1509" s="98"/>
      <c r="P1509" s="98"/>
      <c r="Q1509" s="98"/>
      <c r="R1509" s="99"/>
    </row>
    <row r="1510" spans="1:18" x14ac:dyDescent="0.35">
      <c r="A1510" s="88">
        <f t="shared" si="46"/>
        <v>0</v>
      </c>
      <c r="B1510" s="89"/>
      <c r="C1510" s="90">
        <f t="shared" si="47"/>
        <v>0</v>
      </c>
      <c r="D1510" s="97"/>
      <c r="E1510" s="98"/>
      <c r="F1510" s="98"/>
      <c r="G1510" s="98"/>
      <c r="H1510" s="98"/>
      <c r="I1510" s="98"/>
      <c r="J1510" s="98"/>
      <c r="K1510" s="98"/>
      <c r="L1510" s="98"/>
      <c r="M1510" s="98"/>
      <c r="N1510" s="98"/>
      <c r="O1510" s="98"/>
      <c r="P1510" s="98"/>
      <c r="Q1510" s="98"/>
      <c r="R1510" s="99"/>
    </row>
    <row r="1511" spans="1:18" x14ac:dyDescent="0.35">
      <c r="A1511" s="88">
        <f t="shared" si="46"/>
        <v>0</v>
      </c>
      <c r="B1511" s="89"/>
      <c r="C1511" s="90">
        <f t="shared" si="47"/>
        <v>0</v>
      </c>
      <c r="D1511" s="97"/>
      <c r="E1511" s="98"/>
      <c r="F1511" s="98"/>
      <c r="G1511" s="98"/>
      <c r="H1511" s="98"/>
      <c r="I1511" s="98"/>
      <c r="J1511" s="98"/>
      <c r="K1511" s="98"/>
      <c r="L1511" s="98"/>
      <c r="M1511" s="98"/>
      <c r="N1511" s="98"/>
      <c r="O1511" s="98"/>
      <c r="P1511" s="98"/>
      <c r="Q1511" s="98"/>
      <c r="R1511" s="99"/>
    </row>
    <row r="1512" spans="1:18" x14ac:dyDescent="0.35">
      <c r="A1512" s="88">
        <f t="shared" si="46"/>
        <v>0</v>
      </c>
      <c r="B1512" s="89"/>
      <c r="C1512" s="90">
        <f t="shared" si="47"/>
        <v>0</v>
      </c>
      <c r="D1512" s="97"/>
      <c r="E1512" s="98"/>
      <c r="F1512" s="98"/>
      <c r="G1512" s="98"/>
      <c r="H1512" s="98"/>
      <c r="I1512" s="98"/>
      <c r="J1512" s="98"/>
      <c r="K1512" s="98"/>
      <c r="L1512" s="98"/>
      <c r="M1512" s="98"/>
      <c r="N1512" s="98"/>
      <c r="O1512" s="98"/>
      <c r="P1512" s="98"/>
      <c r="Q1512" s="98"/>
      <c r="R1512" s="99"/>
    </row>
    <row r="1513" spans="1:18" x14ac:dyDescent="0.35">
      <c r="A1513" s="88">
        <f t="shared" si="46"/>
        <v>0</v>
      </c>
      <c r="B1513" s="89"/>
      <c r="C1513" s="90">
        <f t="shared" si="47"/>
        <v>0</v>
      </c>
      <c r="D1513" s="97"/>
      <c r="E1513" s="98"/>
      <c r="F1513" s="98"/>
      <c r="G1513" s="98"/>
      <c r="H1513" s="98"/>
      <c r="I1513" s="98"/>
      <c r="J1513" s="98"/>
      <c r="K1513" s="98"/>
      <c r="L1513" s="98"/>
      <c r="M1513" s="98"/>
      <c r="N1513" s="98"/>
      <c r="O1513" s="98"/>
      <c r="P1513" s="98"/>
      <c r="Q1513" s="98"/>
      <c r="R1513" s="99"/>
    </row>
    <row r="1514" spans="1:18" x14ac:dyDescent="0.35">
      <c r="A1514" s="88">
        <f t="shared" si="46"/>
        <v>0</v>
      </c>
      <c r="B1514" s="89"/>
      <c r="C1514" s="90">
        <f t="shared" si="47"/>
        <v>0</v>
      </c>
      <c r="D1514" s="97"/>
      <c r="E1514" s="98"/>
      <c r="F1514" s="98"/>
      <c r="G1514" s="98"/>
      <c r="H1514" s="98"/>
      <c r="I1514" s="98"/>
      <c r="J1514" s="98"/>
      <c r="K1514" s="98"/>
      <c r="L1514" s="98"/>
      <c r="M1514" s="98"/>
      <c r="N1514" s="98"/>
      <c r="O1514" s="98"/>
      <c r="P1514" s="98"/>
      <c r="Q1514" s="98"/>
      <c r="R1514" s="99"/>
    </row>
    <row r="1515" spans="1:18" x14ac:dyDescent="0.35">
      <c r="A1515" s="88">
        <f t="shared" si="46"/>
        <v>0</v>
      </c>
      <c r="B1515" s="89"/>
      <c r="C1515" s="90">
        <f t="shared" si="47"/>
        <v>0</v>
      </c>
      <c r="D1515" s="97"/>
      <c r="E1515" s="98"/>
      <c r="F1515" s="98"/>
      <c r="G1515" s="98"/>
      <c r="H1515" s="98"/>
      <c r="I1515" s="98"/>
      <c r="J1515" s="98"/>
      <c r="K1515" s="98"/>
      <c r="L1515" s="98"/>
      <c r="M1515" s="98"/>
      <c r="N1515" s="98"/>
      <c r="O1515" s="98"/>
      <c r="P1515" s="98"/>
      <c r="Q1515" s="98"/>
      <c r="R1515" s="99"/>
    </row>
    <row r="1516" spans="1:18" x14ac:dyDescent="0.35">
      <c r="A1516" s="88">
        <f t="shared" si="46"/>
        <v>0</v>
      </c>
      <c r="B1516" s="89"/>
      <c r="C1516" s="90">
        <f t="shared" si="47"/>
        <v>0</v>
      </c>
      <c r="D1516" s="97"/>
      <c r="E1516" s="98"/>
      <c r="F1516" s="98"/>
      <c r="G1516" s="98"/>
      <c r="H1516" s="98"/>
      <c r="I1516" s="98"/>
      <c r="J1516" s="98"/>
      <c r="K1516" s="98"/>
      <c r="L1516" s="98"/>
      <c r="M1516" s="98"/>
      <c r="N1516" s="98"/>
      <c r="O1516" s="98"/>
      <c r="P1516" s="98"/>
      <c r="Q1516" s="98"/>
      <c r="R1516" s="99"/>
    </row>
    <row r="1517" spans="1:18" x14ac:dyDescent="0.35">
      <c r="A1517" s="88">
        <f t="shared" si="46"/>
        <v>0</v>
      </c>
      <c r="B1517" s="89"/>
      <c r="C1517" s="90">
        <f t="shared" si="47"/>
        <v>0</v>
      </c>
      <c r="D1517" s="97"/>
      <c r="E1517" s="98"/>
      <c r="F1517" s="98"/>
      <c r="G1517" s="98"/>
      <c r="H1517" s="98"/>
      <c r="I1517" s="98"/>
      <c r="J1517" s="98"/>
      <c r="K1517" s="98"/>
      <c r="L1517" s="98"/>
      <c r="M1517" s="98"/>
      <c r="N1517" s="98"/>
      <c r="O1517" s="98"/>
      <c r="P1517" s="98"/>
      <c r="Q1517" s="98"/>
      <c r="R1517" s="99"/>
    </row>
    <row r="1518" spans="1:18" x14ac:dyDescent="0.35">
      <c r="A1518" s="88">
        <f t="shared" si="46"/>
        <v>0</v>
      </c>
      <c r="B1518" s="89"/>
      <c r="C1518" s="90">
        <f t="shared" si="47"/>
        <v>0</v>
      </c>
      <c r="D1518" s="97"/>
      <c r="E1518" s="98"/>
      <c r="F1518" s="98"/>
      <c r="G1518" s="98"/>
      <c r="H1518" s="98"/>
      <c r="I1518" s="98"/>
      <c r="J1518" s="98"/>
      <c r="K1518" s="98"/>
      <c r="L1518" s="98"/>
      <c r="M1518" s="98"/>
      <c r="N1518" s="98"/>
      <c r="O1518" s="98"/>
      <c r="P1518" s="98"/>
      <c r="Q1518" s="98"/>
      <c r="R1518" s="99"/>
    </row>
    <row r="1519" spans="1:18" x14ac:dyDescent="0.35">
      <c r="A1519" s="88">
        <f t="shared" si="46"/>
        <v>0</v>
      </c>
      <c r="B1519" s="89"/>
      <c r="C1519" s="90">
        <f t="shared" si="47"/>
        <v>0</v>
      </c>
      <c r="D1519" s="97"/>
      <c r="E1519" s="98"/>
      <c r="F1519" s="98"/>
      <c r="G1519" s="98"/>
      <c r="H1519" s="98"/>
      <c r="I1519" s="98"/>
      <c r="J1519" s="98"/>
      <c r="K1519" s="98"/>
      <c r="L1519" s="98"/>
      <c r="M1519" s="98"/>
      <c r="N1519" s="98"/>
      <c r="O1519" s="98"/>
      <c r="P1519" s="98"/>
      <c r="Q1519" s="98"/>
      <c r="R1519" s="99"/>
    </row>
    <row r="1520" spans="1:18" x14ac:dyDescent="0.35">
      <c r="A1520" s="88">
        <f t="shared" si="46"/>
        <v>0</v>
      </c>
      <c r="B1520" s="89"/>
      <c r="C1520" s="90">
        <f t="shared" si="47"/>
        <v>0</v>
      </c>
      <c r="D1520" s="97"/>
      <c r="E1520" s="98"/>
      <c r="F1520" s="98"/>
      <c r="G1520" s="98"/>
      <c r="H1520" s="98"/>
      <c r="I1520" s="98"/>
      <c r="J1520" s="98"/>
      <c r="K1520" s="98"/>
      <c r="L1520" s="98"/>
      <c r="M1520" s="98"/>
      <c r="N1520" s="98"/>
      <c r="O1520" s="98"/>
      <c r="P1520" s="98"/>
      <c r="Q1520" s="98"/>
      <c r="R1520" s="99"/>
    </row>
    <row r="1521" spans="1:18" x14ac:dyDescent="0.35">
      <c r="A1521" s="88">
        <f t="shared" si="46"/>
        <v>0</v>
      </c>
      <c r="B1521" s="89"/>
      <c r="C1521" s="90">
        <f t="shared" si="47"/>
        <v>0</v>
      </c>
      <c r="D1521" s="97"/>
      <c r="E1521" s="98"/>
      <c r="F1521" s="98"/>
      <c r="G1521" s="98"/>
      <c r="H1521" s="98"/>
      <c r="I1521" s="98"/>
      <c r="J1521" s="98"/>
      <c r="K1521" s="98"/>
      <c r="L1521" s="98"/>
      <c r="M1521" s="98"/>
      <c r="N1521" s="98"/>
      <c r="O1521" s="98"/>
      <c r="P1521" s="98"/>
      <c r="Q1521" s="98"/>
      <c r="R1521" s="99"/>
    </row>
    <row r="1522" spans="1:18" x14ac:dyDescent="0.35">
      <c r="A1522" s="88">
        <f t="shared" si="46"/>
        <v>0</v>
      </c>
      <c r="B1522" s="89"/>
      <c r="C1522" s="90">
        <f t="shared" si="47"/>
        <v>0</v>
      </c>
      <c r="D1522" s="97"/>
      <c r="E1522" s="98"/>
      <c r="F1522" s="98"/>
      <c r="G1522" s="98"/>
      <c r="H1522" s="98"/>
      <c r="I1522" s="98"/>
      <c r="J1522" s="98"/>
      <c r="K1522" s="98"/>
      <c r="L1522" s="98"/>
      <c r="M1522" s="98"/>
      <c r="N1522" s="98"/>
      <c r="O1522" s="98"/>
      <c r="P1522" s="98"/>
      <c r="Q1522" s="98"/>
      <c r="R1522" s="99"/>
    </row>
    <row r="1523" spans="1:18" x14ac:dyDescent="0.35">
      <c r="A1523" s="88">
        <f t="shared" si="46"/>
        <v>0</v>
      </c>
      <c r="B1523" s="89"/>
      <c r="C1523" s="90">
        <f t="shared" si="47"/>
        <v>0</v>
      </c>
      <c r="D1523" s="97"/>
      <c r="E1523" s="98"/>
      <c r="F1523" s="98"/>
      <c r="G1523" s="98"/>
      <c r="H1523" s="98"/>
      <c r="I1523" s="98"/>
      <c r="J1523" s="98"/>
      <c r="K1523" s="98"/>
      <c r="L1523" s="98"/>
      <c r="M1523" s="98"/>
      <c r="N1523" s="98"/>
      <c r="O1523" s="98"/>
      <c r="P1523" s="98"/>
      <c r="Q1523" s="98"/>
      <c r="R1523" s="99"/>
    </row>
    <row r="1524" spans="1:18" x14ac:dyDescent="0.35">
      <c r="A1524" s="88">
        <f t="shared" si="46"/>
        <v>0</v>
      </c>
      <c r="B1524" s="89"/>
      <c r="C1524" s="90">
        <f t="shared" si="47"/>
        <v>0</v>
      </c>
      <c r="D1524" s="97"/>
      <c r="E1524" s="98"/>
      <c r="F1524" s="98"/>
      <c r="G1524" s="98"/>
      <c r="H1524" s="98"/>
      <c r="I1524" s="98"/>
      <c r="J1524" s="98"/>
      <c r="K1524" s="98"/>
      <c r="L1524" s="98"/>
      <c r="M1524" s="98"/>
      <c r="N1524" s="98"/>
      <c r="O1524" s="98"/>
      <c r="P1524" s="98"/>
      <c r="Q1524" s="98"/>
      <c r="R1524" s="99"/>
    </row>
    <row r="1525" spans="1:18" x14ac:dyDescent="0.35">
      <c r="A1525" s="88">
        <f t="shared" si="46"/>
        <v>0</v>
      </c>
      <c r="B1525" s="89"/>
      <c r="C1525" s="90">
        <f t="shared" si="47"/>
        <v>0</v>
      </c>
      <c r="D1525" s="97"/>
      <c r="E1525" s="98"/>
      <c r="F1525" s="98"/>
      <c r="G1525" s="98"/>
      <c r="H1525" s="98"/>
      <c r="I1525" s="98"/>
      <c r="J1525" s="98"/>
      <c r="K1525" s="98"/>
      <c r="L1525" s="98"/>
      <c r="M1525" s="98"/>
      <c r="N1525" s="98"/>
      <c r="O1525" s="98"/>
      <c r="P1525" s="98"/>
      <c r="Q1525" s="98"/>
      <c r="R1525" s="99"/>
    </row>
    <row r="1526" spans="1:18" x14ac:dyDescent="0.35">
      <c r="A1526" s="88">
        <f t="shared" si="46"/>
        <v>0</v>
      </c>
      <c r="B1526" s="89"/>
      <c r="C1526" s="90">
        <f t="shared" si="47"/>
        <v>0</v>
      </c>
      <c r="D1526" s="97"/>
      <c r="E1526" s="98"/>
      <c r="F1526" s="98"/>
      <c r="G1526" s="98"/>
      <c r="H1526" s="98"/>
      <c r="I1526" s="98"/>
      <c r="J1526" s="98"/>
      <c r="K1526" s="98"/>
      <c r="L1526" s="98"/>
      <c r="M1526" s="98"/>
      <c r="N1526" s="98"/>
      <c r="O1526" s="98"/>
      <c r="P1526" s="98"/>
      <c r="Q1526" s="98"/>
      <c r="R1526" s="99"/>
    </row>
    <row r="1527" spans="1:18" x14ac:dyDescent="0.35">
      <c r="A1527" s="88">
        <f t="shared" si="46"/>
        <v>0</v>
      </c>
      <c r="B1527" s="89"/>
      <c r="C1527" s="90">
        <f t="shared" si="47"/>
        <v>0</v>
      </c>
      <c r="D1527" s="97"/>
      <c r="E1527" s="98"/>
      <c r="F1527" s="98"/>
      <c r="G1527" s="98"/>
      <c r="H1527" s="98"/>
      <c r="I1527" s="98"/>
      <c r="J1527" s="98"/>
      <c r="K1527" s="98"/>
      <c r="L1527" s="98"/>
      <c r="M1527" s="98"/>
      <c r="N1527" s="98"/>
      <c r="O1527" s="98"/>
      <c r="P1527" s="98"/>
      <c r="Q1527" s="98"/>
      <c r="R1527" s="99"/>
    </row>
    <row r="1528" spans="1:18" x14ac:dyDescent="0.35">
      <c r="A1528" s="88">
        <f t="shared" si="46"/>
        <v>0</v>
      </c>
      <c r="B1528" s="89"/>
      <c r="C1528" s="90">
        <f t="shared" si="47"/>
        <v>0</v>
      </c>
      <c r="D1528" s="97"/>
      <c r="E1528" s="98"/>
      <c r="F1528" s="98"/>
      <c r="G1528" s="98"/>
      <c r="H1528" s="98"/>
      <c r="I1528" s="98"/>
      <c r="J1528" s="98"/>
      <c r="K1528" s="98"/>
      <c r="L1528" s="98"/>
      <c r="M1528" s="98"/>
      <c r="N1528" s="98"/>
      <c r="O1528" s="98"/>
      <c r="P1528" s="98"/>
      <c r="Q1528" s="98"/>
      <c r="R1528" s="99"/>
    </row>
    <row r="1529" spans="1:18" x14ac:dyDescent="0.35">
      <c r="A1529" s="88">
        <f t="shared" si="46"/>
        <v>0</v>
      </c>
      <c r="B1529" s="89"/>
      <c r="C1529" s="90">
        <f t="shared" si="47"/>
        <v>0</v>
      </c>
      <c r="D1529" s="97"/>
      <c r="E1529" s="98"/>
      <c r="F1529" s="98"/>
      <c r="G1529" s="98"/>
      <c r="H1529" s="98"/>
      <c r="I1529" s="98"/>
      <c r="J1529" s="98"/>
      <c r="K1529" s="98"/>
      <c r="L1529" s="98"/>
      <c r="M1529" s="98"/>
      <c r="N1529" s="98"/>
      <c r="O1529" s="98"/>
      <c r="P1529" s="98"/>
      <c r="Q1529" s="98"/>
      <c r="R1529" s="99"/>
    </row>
    <row r="1530" spans="1:18" x14ac:dyDescent="0.35">
      <c r="A1530" s="88">
        <f t="shared" si="46"/>
        <v>0</v>
      </c>
      <c r="B1530" s="89"/>
      <c r="C1530" s="90">
        <f t="shared" si="47"/>
        <v>0</v>
      </c>
      <c r="D1530" s="97"/>
      <c r="E1530" s="98"/>
      <c r="F1530" s="98"/>
      <c r="G1530" s="98"/>
      <c r="H1530" s="98"/>
      <c r="I1530" s="98"/>
      <c r="J1530" s="98"/>
      <c r="K1530" s="98"/>
      <c r="L1530" s="98"/>
      <c r="M1530" s="98"/>
      <c r="N1530" s="98"/>
      <c r="O1530" s="98"/>
      <c r="P1530" s="98"/>
      <c r="Q1530" s="98"/>
      <c r="R1530" s="99"/>
    </row>
    <row r="1531" spans="1:18" x14ac:dyDescent="0.35">
      <c r="A1531" s="88">
        <f t="shared" si="46"/>
        <v>0</v>
      </c>
      <c r="B1531" s="89"/>
      <c r="C1531" s="90">
        <f t="shared" si="47"/>
        <v>0</v>
      </c>
      <c r="D1531" s="97"/>
      <c r="E1531" s="98"/>
      <c r="F1531" s="98"/>
      <c r="G1531" s="98"/>
      <c r="H1531" s="98"/>
      <c r="I1531" s="98"/>
      <c r="J1531" s="98"/>
      <c r="K1531" s="98"/>
      <c r="L1531" s="98"/>
      <c r="M1531" s="98"/>
      <c r="N1531" s="98"/>
      <c r="O1531" s="98"/>
      <c r="P1531" s="98"/>
      <c r="Q1531" s="98"/>
      <c r="R1531" s="99"/>
    </row>
    <row r="1532" spans="1:18" x14ac:dyDescent="0.35">
      <c r="A1532" s="88">
        <f t="shared" si="46"/>
        <v>0</v>
      </c>
      <c r="B1532" s="89"/>
      <c r="C1532" s="90">
        <f t="shared" si="47"/>
        <v>0</v>
      </c>
      <c r="D1532" s="97"/>
      <c r="E1532" s="98"/>
      <c r="F1532" s="98"/>
      <c r="G1532" s="98"/>
      <c r="H1532" s="98"/>
      <c r="I1532" s="98"/>
      <c r="J1532" s="98"/>
      <c r="K1532" s="98"/>
      <c r="L1532" s="98"/>
      <c r="M1532" s="98"/>
      <c r="N1532" s="98"/>
      <c r="O1532" s="98"/>
      <c r="P1532" s="98"/>
      <c r="Q1532" s="98"/>
      <c r="R1532" s="99"/>
    </row>
    <row r="1533" spans="1:18" x14ac:dyDescent="0.35">
      <c r="A1533" s="88">
        <f t="shared" si="46"/>
        <v>0</v>
      </c>
      <c r="B1533" s="89"/>
      <c r="C1533" s="90">
        <f t="shared" si="47"/>
        <v>0</v>
      </c>
      <c r="D1533" s="97"/>
      <c r="E1533" s="98"/>
      <c r="F1533" s="98"/>
      <c r="G1533" s="98"/>
      <c r="H1533" s="98"/>
      <c r="I1533" s="98"/>
      <c r="J1533" s="98"/>
      <c r="K1533" s="98"/>
      <c r="L1533" s="98"/>
      <c r="M1533" s="98"/>
      <c r="N1533" s="98"/>
      <c r="O1533" s="98"/>
      <c r="P1533" s="98"/>
      <c r="Q1533" s="98"/>
      <c r="R1533" s="99"/>
    </row>
    <row r="1534" spans="1:18" x14ac:dyDescent="0.35">
      <c r="A1534" s="88">
        <f t="shared" si="46"/>
        <v>0</v>
      </c>
      <c r="B1534" s="89"/>
      <c r="C1534" s="90">
        <f t="shared" si="47"/>
        <v>0</v>
      </c>
      <c r="D1534" s="97"/>
      <c r="E1534" s="98"/>
      <c r="F1534" s="98"/>
      <c r="G1534" s="98"/>
      <c r="H1534" s="98"/>
      <c r="I1534" s="98"/>
      <c r="J1534" s="98"/>
      <c r="K1534" s="98"/>
      <c r="L1534" s="98"/>
      <c r="M1534" s="98"/>
      <c r="N1534" s="98"/>
      <c r="O1534" s="98"/>
      <c r="P1534" s="98"/>
      <c r="Q1534" s="98"/>
      <c r="R1534" s="99"/>
    </row>
    <row r="1535" spans="1:18" x14ac:dyDescent="0.35">
      <c r="A1535" s="88">
        <f t="shared" si="46"/>
        <v>0</v>
      </c>
      <c r="B1535" s="89"/>
      <c r="C1535" s="90">
        <f t="shared" si="47"/>
        <v>0</v>
      </c>
      <c r="D1535" s="97"/>
      <c r="E1535" s="98"/>
      <c r="F1535" s="98"/>
      <c r="G1535" s="98"/>
      <c r="H1535" s="98"/>
      <c r="I1535" s="98"/>
      <c r="J1535" s="98"/>
      <c r="K1535" s="98"/>
      <c r="L1535" s="98"/>
      <c r="M1535" s="98"/>
      <c r="N1535" s="98"/>
      <c r="O1535" s="98"/>
      <c r="P1535" s="98"/>
      <c r="Q1535" s="98"/>
      <c r="R1535" s="99"/>
    </row>
    <row r="1536" spans="1:18" x14ac:dyDescent="0.35">
      <c r="A1536" s="88">
        <f t="shared" si="46"/>
        <v>0</v>
      </c>
      <c r="B1536" s="89"/>
      <c r="C1536" s="90">
        <f t="shared" si="47"/>
        <v>0</v>
      </c>
      <c r="D1536" s="97"/>
      <c r="E1536" s="98"/>
      <c r="F1536" s="98"/>
      <c r="G1536" s="98"/>
      <c r="H1536" s="98"/>
      <c r="I1536" s="98"/>
      <c r="J1536" s="98"/>
      <c r="K1536" s="98"/>
      <c r="L1536" s="98"/>
      <c r="M1536" s="98"/>
      <c r="N1536" s="98"/>
      <c r="O1536" s="98"/>
      <c r="P1536" s="98"/>
      <c r="Q1536" s="98"/>
      <c r="R1536" s="99"/>
    </row>
    <row r="1537" spans="1:18" x14ac:dyDescent="0.35">
      <c r="A1537" s="88">
        <f t="shared" si="46"/>
        <v>0</v>
      </c>
      <c r="B1537" s="89"/>
      <c r="C1537" s="90">
        <f t="shared" si="47"/>
        <v>0</v>
      </c>
      <c r="D1537" s="97"/>
      <c r="E1537" s="98"/>
      <c r="F1537" s="98"/>
      <c r="G1537" s="98"/>
      <c r="H1537" s="98"/>
      <c r="I1537" s="98"/>
      <c r="J1537" s="98"/>
      <c r="K1537" s="98"/>
      <c r="L1537" s="98"/>
      <c r="M1537" s="98"/>
      <c r="N1537" s="98"/>
      <c r="O1537" s="98"/>
      <c r="P1537" s="98"/>
      <c r="Q1537" s="98"/>
      <c r="R1537" s="99"/>
    </row>
    <row r="1538" spans="1:18" x14ac:dyDescent="0.35">
      <c r="A1538" s="88">
        <f t="shared" si="46"/>
        <v>0</v>
      </c>
      <c r="B1538" s="89"/>
      <c r="C1538" s="90">
        <f t="shared" si="47"/>
        <v>0</v>
      </c>
      <c r="D1538" s="97"/>
      <c r="E1538" s="98"/>
      <c r="F1538" s="98"/>
      <c r="G1538" s="98"/>
      <c r="H1538" s="98"/>
      <c r="I1538" s="98"/>
      <c r="J1538" s="98"/>
      <c r="K1538" s="98"/>
      <c r="L1538" s="98"/>
      <c r="M1538" s="98"/>
      <c r="N1538" s="98"/>
      <c r="O1538" s="98"/>
      <c r="P1538" s="98"/>
      <c r="Q1538" s="98"/>
      <c r="R1538" s="99"/>
    </row>
    <row r="1539" spans="1:18" x14ac:dyDescent="0.35">
      <c r="A1539" s="88">
        <f t="shared" si="46"/>
        <v>0</v>
      </c>
      <c r="B1539" s="89"/>
      <c r="C1539" s="90">
        <f t="shared" si="47"/>
        <v>0</v>
      </c>
      <c r="D1539" s="97"/>
      <c r="E1539" s="98"/>
      <c r="F1539" s="98"/>
      <c r="G1539" s="98"/>
      <c r="H1539" s="98"/>
      <c r="I1539" s="98"/>
      <c r="J1539" s="98"/>
      <c r="K1539" s="98"/>
      <c r="L1539" s="98"/>
      <c r="M1539" s="98"/>
      <c r="N1539" s="98"/>
      <c r="O1539" s="98"/>
      <c r="P1539" s="98"/>
      <c r="Q1539" s="98"/>
      <c r="R1539" s="99"/>
    </row>
    <row r="1540" spans="1:18" x14ac:dyDescent="0.35">
      <c r="A1540" s="88">
        <f t="shared" ref="A1540:A1603" si="48">F1540</f>
        <v>0</v>
      </c>
      <c r="B1540" s="89"/>
      <c r="C1540" s="90">
        <f t="shared" ref="C1540:C1603" si="49">F1540</f>
        <v>0</v>
      </c>
      <c r="D1540" s="97"/>
      <c r="E1540" s="98"/>
      <c r="F1540" s="98"/>
      <c r="G1540" s="98"/>
      <c r="H1540" s="98"/>
      <c r="I1540" s="98"/>
      <c r="J1540" s="98"/>
      <c r="K1540" s="98"/>
      <c r="L1540" s="98"/>
      <c r="M1540" s="98"/>
      <c r="N1540" s="98"/>
      <c r="O1540" s="98"/>
      <c r="P1540" s="98"/>
      <c r="Q1540" s="98"/>
      <c r="R1540" s="99"/>
    </row>
    <row r="1541" spans="1:18" x14ac:dyDescent="0.35">
      <c r="A1541" s="88">
        <f t="shared" si="48"/>
        <v>0</v>
      </c>
      <c r="B1541" s="89"/>
      <c r="C1541" s="90">
        <f t="shared" si="49"/>
        <v>0</v>
      </c>
      <c r="D1541" s="97"/>
      <c r="E1541" s="98"/>
      <c r="F1541" s="98"/>
      <c r="G1541" s="98"/>
      <c r="H1541" s="98"/>
      <c r="I1541" s="98"/>
      <c r="J1541" s="98"/>
      <c r="K1541" s="98"/>
      <c r="L1541" s="98"/>
      <c r="M1541" s="98"/>
      <c r="N1541" s="98"/>
      <c r="O1541" s="98"/>
      <c r="P1541" s="98"/>
      <c r="Q1541" s="98"/>
      <c r="R1541" s="99"/>
    </row>
    <row r="1542" spans="1:18" x14ac:dyDescent="0.35">
      <c r="A1542" s="88">
        <f t="shared" si="48"/>
        <v>0</v>
      </c>
      <c r="B1542" s="89"/>
      <c r="C1542" s="90">
        <f t="shared" si="49"/>
        <v>0</v>
      </c>
      <c r="D1542" s="97"/>
      <c r="E1542" s="98"/>
      <c r="F1542" s="98"/>
      <c r="G1542" s="98"/>
      <c r="H1542" s="98"/>
      <c r="I1542" s="98"/>
      <c r="J1542" s="98"/>
      <c r="K1542" s="98"/>
      <c r="L1542" s="98"/>
      <c r="M1542" s="98"/>
      <c r="N1542" s="98"/>
      <c r="O1542" s="98"/>
      <c r="P1542" s="98"/>
      <c r="Q1542" s="98"/>
      <c r="R1542" s="99"/>
    </row>
    <row r="1543" spans="1:18" x14ac:dyDescent="0.35">
      <c r="A1543" s="88">
        <f t="shared" si="48"/>
        <v>0</v>
      </c>
      <c r="B1543" s="89"/>
      <c r="C1543" s="90">
        <f t="shared" si="49"/>
        <v>0</v>
      </c>
      <c r="D1543" s="97"/>
      <c r="E1543" s="98"/>
      <c r="F1543" s="98"/>
      <c r="G1543" s="98"/>
      <c r="H1543" s="98"/>
      <c r="I1543" s="98"/>
      <c r="J1543" s="98"/>
      <c r="K1543" s="98"/>
      <c r="L1543" s="98"/>
      <c r="M1543" s="98"/>
      <c r="N1543" s="98"/>
      <c r="O1543" s="98"/>
      <c r="P1543" s="98"/>
      <c r="Q1543" s="98"/>
      <c r="R1543" s="99"/>
    </row>
    <row r="1544" spans="1:18" x14ac:dyDescent="0.35">
      <c r="A1544" s="88">
        <f t="shared" si="48"/>
        <v>0</v>
      </c>
      <c r="B1544" s="89"/>
      <c r="C1544" s="90">
        <f t="shared" si="49"/>
        <v>0</v>
      </c>
      <c r="D1544" s="97"/>
      <c r="E1544" s="98"/>
      <c r="F1544" s="98"/>
      <c r="G1544" s="98"/>
      <c r="H1544" s="98"/>
      <c r="I1544" s="98"/>
      <c r="J1544" s="98"/>
      <c r="K1544" s="98"/>
      <c r="L1544" s="98"/>
      <c r="M1544" s="98"/>
      <c r="N1544" s="98"/>
      <c r="O1544" s="98"/>
      <c r="P1544" s="98"/>
      <c r="Q1544" s="98"/>
      <c r="R1544" s="99"/>
    </row>
    <row r="1545" spans="1:18" x14ac:dyDescent="0.35">
      <c r="A1545" s="88">
        <f t="shared" si="48"/>
        <v>0</v>
      </c>
      <c r="B1545" s="89"/>
      <c r="C1545" s="90">
        <f t="shared" si="49"/>
        <v>0</v>
      </c>
      <c r="D1545" s="97"/>
      <c r="E1545" s="98"/>
      <c r="F1545" s="98"/>
      <c r="G1545" s="98"/>
      <c r="H1545" s="98"/>
      <c r="I1545" s="98"/>
      <c r="J1545" s="98"/>
      <c r="K1545" s="98"/>
      <c r="L1545" s="98"/>
      <c r="M1545" s="98"/>
      <c r="N1545" s="98"/>
      <c r="O1545" s="98"/>
      <c r="P1545" s="98"/>
      <c r="Q1545" s="98"/>
      <c r="R1545" s="99"/>
    </row>
    <row r="1546" spans="1:18" x14ac:dyDescent="0.35">
      <c r="A1546" s="88">
        <f t="shared" si="48"/>
        <v>0</v>
      </c>
      <c r="B1546" s="89"/>
      <c r="C1546" s="90">
        <f t="shared" si="49"/>
        <v>0</v>
      </c>
      <c r="D1546" s="97"/>
      <c r="E1546" s="98"/>
      <c r="F1546" s="98"/>
      <c r="G1546" s="98"/>
      <c r="H1546" s="98"/>
      <c r="I1546" s="98"/>
      <c r="J1546" s="98"/>
      <c r="K1546" s="98"/>
      <c r="L1546" s="98"/>
      <c r="M1546" s="98"/>
      <c r="N1546" s="98"/>
      <c r="O1546" s="98"/>
      <c r="P1546" s="98"/>
      <c r="Q1546" s="98"/>
      <c r="R1546" s="99"/>
    </row>
    <row r="1547" spans="1:18" x14ac:dyDescent="0.35">
      <c r="A1547" s="88">
        <f t="shared" si="48"/>
        <v>0</v>
      </c>
      <c r="B1547" s="89"/>
      <c r="C1547" s="90">
        <f t="shared" si="49"/>
        <v>0</v>
      </c>
      <c r="D1547" s="97"/>
      <c r="E1547" s="98"/>
      <c r="F1547" s="98"/>
      <c r="G1547" s="98"/>
      <c r="H1547" s="98"/>
      <c r="I1547" s="98"/>
      <c r="J1547" s="98"/>
      <c r="K1547" s="98"/>
      <c r="L1547" s="98"/>
      <c r="M1547" s="98"/>
      <c r="N1547" s="98"/>
      <c r="O1547" s="98"/>
      <c r="P1547" s="98"/>
      <c r="Q1547" s="98"/>
      <c r="R1547" s="99"/>
    </row>
    <row r="1548" spans="1:18" x14ac:dyDescent="0.35">
      <c r="A1548" s="88">
        <f t="shared" si="48"/>
        <v>0</v>
      </c>
      <c r="B1548" s="89"/>
      <c r="C1548" s="90">
        <f t="shared" si="49"/>
        <v>0</v>
      </c>
      <c r="D1548" s="97"/>
      <c r="E1548" s="98"/>
      <c r="F1548" s="98"/>
      <c r="G1548" s="98"/>
      <c r="H1548" s="98"/>
      <c r="I1548" s="98"/>
      <c r="J1548" s="98"/>
      <c r="K1548" s="98"/>
      <c r="L1548" s="98"/>
      <c r="M1548" s="98"/>
      <c r="N1548" s="98"/>
      <c r="O1548" s="98"/>
      <c r="P1548" s="98"/>
      <c r="Q1548" s="98"/>
      <c r="R1548" s="99"/>
    </row>
    <row r="1549" spans="1:18" x14ac:dyDescent="0.35">
      <c r="A1549" s="88">
        <f t="shared" si="48"/>
        <v>0</v>
      </c>
      <c r="B1549" s="89"/>
      <c r="C1549" s="90">
        <f t="shared" si="49"/>
        <v>0</v>
      </c>
      <c r="D1549" s="97"/>
      <c r="E1549" s="98"/>
      <c r="F1549" s="98"/>
      <c r="G1549" s="98"/>
      <c r="H1549" s="98"/>
      <c r="I1549" s="98"/>
      <c r="J1549" s="98"/>
      <c r="K1549" s="98"/>
      <c r="L1549" s="98"/>
      <c r="M1549" s="98"/>
      <c r="N1549" s="98"/>
      <c r="O1549" s="98"/>
      <c r="P1549" s="98"/>
      <c r="Q1549" s="98"/>
      <c r="R1549" s="99"/>
    </row>
    <row r="1550" spans="1:18" x14ac:dyDescent="0.35">
      <c r="A1550" s="88">
        <f t="shared" si="48"/>
        <v>0</v>
      </c>
      <c r="B1550" s="89"/>
      <c r="C1550" s="90">
        <f t="shared" si="49"/>
        <v>0</v>
      </c>
      <c r="D1550" s="97"/>
      <c r="E1550" s="98"/>
      <c r="F1550" s="98"/>
      <c r="G1550" s="98"/>
      <c r="H1550" s="98"/>
      <c r="I1550" s="98"/>
      <c r="J1550" s="98"/>
      <c r="K1550" s="98"/>
      <c r="L1550" s="98"/>
      <c r="M1550" s="98"/>
      <c r="N1550" s="98"/>
      <c r="O1550" s="98"/>
      <c r="P1550" s="98"/>
      <c r="Q1550" s="98"/>
      <c r="R1550" s="99"/>
    </row>
    <row r="1551" spans="1:18" x14ac:dyDescent="0.35">
      <c r="A1551" s="88">
        <f t="shared" si="48"/>
        <v>0</v>
      </c>
      <c r="B1551" s="89"/>
      <c r="C1551" s="90">
        <f t="shared" si="49"/>
        <v>0</v>
      </c>
      <c r="D1551" s="97"/>
      <c r="E1551" s="98"/>
      <c r="F1551" s="98"/>
      <c r="G1551" s="98"/>
      <c r="H1551" s="98"/>
      <c r="I1551" s="98"/>
      <c r="J1551" s="98"/>
      <c r="K1551" s="98"/>
      <c r="L1551" s="98"/>
      <c r="M1551" s="98"/>
      <c r="N1551" s="98"/>
      <c r="O1551" s="98"/>
      <c r="P1551" s="98"/>
      <c r="Q1551" s="98"/>
      <c r="R1551" s="99"/>
    </row>
    <row r="1552" spans="1:18" x14ac:dyDescent="0.35">
      <c r="A1552" s="88">
        <f t="shared" si="48"/>
        <v>0</v>
      </c>
      <c r="B1552" s="89"/>
      <c r="C1552" s="90">
        <f t="shared" si="49"/>
        <v>0</v>
      </c>
      <c r="D1552" s="97"/>
      <c r="E1552" s="98"/>
      <c r="F1552" s="98"/>
      <c r="G1552" s="98"/>
      <c r="H1552" s="98"/>
      <c r="I1552" s="98"/>
      <c r="J1552" s="98"/>
      <c r="K1552" s="98"/>
      <c r="L1552" s="98"/>
      <c r="M1552" s="98"/>
      <c r="N1552" s="98"/>
      <c r="O1552" s="98"/>
      <c r="P1552" s="98"/>
      <c r="Q1552" s="98"/>
      <c r="R1552" s="99"/>
    </row>
    <row r="1553" spans="1:18" x14ac:dyDescent="0.35">
      <c r="A1553" s="88">
        <f t="shared" si="48"/>
        <v>0</v>
      </c>
      <c r="B1553" s="89"/>
      <c r="C1553" s="90">
        <f t="shared" si="49"/>
        <v>0</v>
      </c>
      <c r="D1553" s="97"/>
      <c r="E1553" s="98"/>
      <c r="F1553" s="98"/>
      <c r="G1553" s="98"/>
      <c r="H1553" s="98"/>
      <c r="I1553" s="98"/>
      <c r="J1553" s="98"/>
      <c r="K1553" s="98"/>
      <c r="L1553" s="98"/>
      <c r="M1553" s="98"/>
      <c r="N1553" s="98"/>
      <c r="O1553" s="98"/>
      <c r="P1553" s="98"/>
      <c r="Q1553" s="98"/>
      <c r="R1553" s="99"/>
    </row>
    <row r="1554" spans="1:18" x14ac:dyDescent="0.35">
      <c r="A1554" s="88">
        <f t="shared" si="48"/>
        <v>0</v>
      </c>
      <c r="B1554" s="89"/>
      <c r="C1554" s="90">
        <f t="shared" si="49"/>
        <v>0</v>
      </c>
      <c r="D1554" s="97"/>
      <c r="E1554" s="98"/>
      <c r="F1554" s="98"/>
      <c r="G1554" s="98"/>
      <c r="H1554" s="98"/>
      <c r="I1554" s="98"/>
      <c r="J1554" s="98"/>
      <c r="K1554" s="98"/>
      <c r="L1554" s="98"/>
      <c r="M1554" s="98"/>
      <c r="N1554" s="98"/>
      <c r="O1554" s="98"/>
      <c r="P1554" s="98"/>
      <c r="Q1554" s="98"/>
      <c r="R1554" s="99"/>
    </row>
    <row r="1555" spans="1:18" x14ac:dyDescent="0.35">
      <c r="A1555" s="88">
        <f t="shared" si="48"/>
        <v>0</v>
      </c>
      <c r="B1555" s="89"/>
      <c r="C1555" s="90">
        <f t="shared" si="49"/>
        <v>0</v>
      </c>
      <c r="D1555" s="97"/>
      <c r="E1555" s="98"/>
      <c r="F1555" s="98"/>
      <c r="G1555" s="98"/>
      <c r="H1555" s="98"/>
      <c r="I1555" s="98"/>
      <c r="J1555" s="98"/>
      <c r="K1555" s="98"/>
      <c r="L1555" s="98"/>
      <c r="M1555" s="98"/>
      <c r="N1555" s="98"/>
      <c r="O1555" s="98"/>
      <c r="P1555" s="98"/>
      <c r="Q1555" s="98"/>
      <c r="R1555" s="99"/>
    </row>
    <row r="1556" spans="1:18" x14ac:dyDescent="0.35">
      <c r="A1556" s="88">
        <f t="shared" si="48"/>
        <v>0</v>
      </c>
      <c r="B1556" s="89"/>
      <c r="C1556" s="90">
        <f t="shared" si="49"/>
        <v>0</v>
      </c>
      <c r="D1556" s="97"/>
      <c r="E1556" s="98"/>
      <c r="F1556" s="98"/>
      <c r="G1556" s="98"/>
      <c r="H1556" s="98"/>
      <c r="I1556" s="98"/>
      <c r="J1556" s="98"/>
      <c r="K1556" s="98"/>
      <c r="L1556" s="98"/>
      <c r="M1556" s="98"/>
      <c r="N1556" s="98"/>
      <c r="O1556" s="98"/>
      <c r="P1556" s="98"/>
      <c r="Q1556" s="98"/>
      <c r="R1556" s="99"/>
    </row>
    <row r="1557" spans="1:18" x14ac:dyDescent="0.35">
      <c r="A1557" s="88">
        <f t="shared" si="48"/>
        <v>0</v>
      </c>
      <c r="B1557" s="89"/>
      <c r="C1557" s="90">
        <f t="shared" si="49"/>
        <v>0</v>
      </c>
      <c r="D1557" s="97"/>
      <c r="E1557" s="98"/>
      <c r="F1557" s="98"/>
      <c r="G1557" s="98"/>
      <c r="H1557" s="98"/>
      <c r="I1557" s="98"/>
      <c r="J1557" s="98"/>
      <c r="K1557" s="98"/>
      <c r="L1557" s="98"/>
      <c r="M1557" s="98"/>
      <c r="N1557" s="98"/>
      <c r="O1557" s="98"/>
      <c r="P1557" s="98"/>
      <c r="Q1557" s="98"/>
      <c r="R1557" s="99"/>
    </row>
    <row r="1558" spans="1:18" x14ac:dyDescent="0.35">
      <c r="A1558" s="88">
        <f t="shared" si="48"/>
        <v>0</v>
      </c>
      <c r="B1558" s="89"/>
      <c r="C1558" s="90">
        <f t="shared" si="49"/>
        <v>0</v>
      </c>
      <c r="D1558" s="97"/>
      <c r="E1558" s="98"/>
      <c r="F1558" s="98"/>
      <c r="G1558" s="98"/>
      <c r="H1558" s="98"/>
      <c r="I1558" s="98"/>
      <c r="J1558" s="98"/>
      <c r="K1558" s="98"/>
      <c r="L1558" s="98"/>
      <c r="M1558" s="98"/>
      <c r="N1558" s="98"/>
      <c r="O1558" s="98"/>
      <c r="P1558" s="98"/>
      <c r="Q1558" s="98"/>
      <c r="R1558" s="99"/>
    </row>
    <row r="1559" spans="1:18" x14ac:dyDescent="0.35">
      <c r="A1559" s="88">
        <f t="shared" si="48"/>
        <v>0</v>
      </c>
      <c r="B1559" s="89"/>
      <c r="C1559" s="90">
        <f t="shared" si="49"/>
        <v>0</v>
      </c>
      <c r="D1559" s="97"/>
      <c r="E1559" s="98"/>
      <c r="F1559" s="98"/>
      <c r="G1559" s="98"/>
      <c r="H1559" s="98"/>
      <c r="I1559" s="98"/>
      <c r="J1559" s="98"/>
      <c r="K1559" s="98"/>
      <c r="L1559" s="98"/>
      <c r="M1559" s="98"/>
      <c r="N1559" s="98"/>
      <c r="O1559" s="98"/>
      <c r="P1559" s="98"/>
      <c r="Q1559" s="98"/>
      <c r="R1559" s="99"/>
    </row>
    <row r="1560" spans="1:18" x14ac:dyDescent="0.35">
      <c r="A1560" s="88">
        <f t="shared" si="48"/>
        <v>0</v>
      </c>
      <c r="B1560" s="89"/>
      <c r="C1560" s="90">
        <f t="shared" si="49"/>
        <v>0</v>
      </c>
      <c r="D1560" s="97"/>
      <c r="E1560" s="98"/>
      <c r="F1560" s="98"/>
      <c r="G1560" s="98"/>
      <c r="H1560" s="98"/>
      <c r="I1560" s="98"/>
      <c r="J1560" s="98"/>
      <c r="K1560" s="98"/>
      <c r="L1560" s="98"/>
      <c r="M1560" s="98"/>
      <c r="N1560" s="98"/>
      <c r="O1560" s="98"/>
      <c r="P1560" s="98"/>
      <c r="Q1560" s="98"/>
      <c r="R1560" s="99"/>
    </row>
    <row r="1561" spans="1:18" x14ac:dyDescent="0.35">
      <c r="A1561" s="88">
        <f t="shared" si="48"/>
        <v>0</v>
      </c>
      <c r="B1561" s="89"/>
      <c r="C1561" s="90">
        <f t="shared" si="49"/>
        <v>0</v>
      </c>
      <c r="D1561" s="97"/>
      <c r="E1561" s="98"/>
      <c r="F1561" s="98"/>
      <c r="G1561" s="98"/>
      <c r="H1561" s="98"/>
      <c r="I1561" s="98"/>
      <c r="J1561" s="98"/>
      <c r="K1561" s="98"/>
      <c r="L1561" s="98"/>
      <c r="M1561" s="98"/>
      <c r="N1561" s="98"/>
      <c r="O1561" s="98"/>
      <c r="P1561" s="98"/>
      <c r="Q1561" s="98"/>
      <c r="R1561" s="99"/>
    </row>
    <row r="1562" spans="1:18" x14ac:dyDescent="0.35">
      <c r="A1562" s="88">
        <f t="shared" si="48"/>
        <v>0</v>
      </c>
      <c r="B1562" s="89"/>
      <c r="C1562" s="90">
        <f t="shared" si="49"/>
        <v>0</v>
      </c>
      <c r="D1562" s="97"/>
      <c r="E1562" s="98"/>
      <c r="F1562" s="98"/>
      <c r="G1562" s="98"/>
      <c r="H1562" s="98"/>
      <c r="I1562" s="98"/>
      <c r="J1562" s="98"/>
      <c r="K1562" s="98"/>
      <c r="L1562" s="98"/>
      <c r="M1562" s="98"/>
      <c r="N1562" s="98"/>
      <c r="O1562" s="98"/>
      <c r="P1562" s="98"/>
      <c r="Q1562" s="98"/>
      <c r="R1562" s="99"/>
    </row>
    <row r="1563" spans="1:18" x14ac:dyDescent="0.35">
      <c r="A1563" s="88">
        <f t="shared" si="48"/>
        <v>0</v>
      </c>
      <c r="B1563" s="89"/>
      <c r="C1563" s="90">
        <f t="shared" si="49"/>
        <v>0</v>
      </c>
      <c r="D1563" s="97"/>
      <c r="E1563" s="98"/>
      <c r="F1563" s="98"/>
      <c r="G1563" s="98"/>
      <c r="H1563" s="98"/>
      <c r="I1563" s="98"/>
      <c r="J1563" s="98"/>
      <c r="K1563" s="98"/>
      <c r="L1563" s="98"/>
      <c r="M1563" s="98"/>
      <c r="N1563" s="98"/>
      <c r="O1563" s="98"/>
      <c r="P1563" s="98"/>
      <c r="Q1563" s="98"/>
      <c r="R1563" s="99"/>
    </row>
    <row r="1564" spans="1:18" x14ac:dyDescent="0.35">
      <c r="A1564" s="88">
        <f t="shared" si="48"/>
        <v>0</v>
      </c>
      <c r="B1564" s="89"/>
      <c r="C1564" s="90">
        <f t="shared" si="49"/>
        <v>0</v>
      </c>
      <c r="D1564" s="97"/>
      <c r="E1564" s="98"/>
      <c r="F1564" s="98"/>
      <c r="G1564" s="98"/>
      <c r="H1564" s="98"/>
      <c r="I1564" s="98"/>
      <c r="J1564" s="98"/>
      <c r="K1564" s="98"/>
      <c r="L1564" s="98"/>
      <c r="M1564" s="98"/>
      <c r="N1564" s="98"/>
      <c r="O1564" s="98"/>
      <c r="P1564" s="98"/>
      <c r="Q1564" s="98"/>
      <c r="R1564" s="99"/>
    </row>
    <row r="1565" spans="1:18" x14ac:dyDescent="0.35">
      <c r="A1565" s="88">
        <f t="shared" si="48"/>
        <v>0</v>
      </c>
      <c r="B1565" s="89"/>
      <c r="C1565" s="90">
        <f t="shared" si="49"/>
        <v>0</v>
      </c>
      <c r="D1565" s="97"/>
      <c r="E1565" s="98"/>
      <c r="F1565" s="98"/>
      <c r="G1565" s="98"/>
      <c r="H1565" s="98"/>
      <c r="I1565" s="98"/>
      <c r="J1565" s="98"/>
      <c r="K1565" s="98"/>
      <c r="L1565" s="98"/>
      <c r="M1565" s="98"/>
      <c r="N1565" s="98"/>
      <c r="O1565" s="98"/>
      <c r="P1565" s="98"/>
      <c r="Q1565" s="98"/>
      <c r="R1565" s="99"/>
    </row>
    <row r="1566" spans="1:18" x14ac:dyDescent="0.35">
      <c r="A1566" s="88">
        <f t="shared" si="48"/>
        <v>0</v>
      </c>
      <c r="B1566" s="89"/>
      <c r="C1566" s="90">
        <f t="shared" si="49"/>
        <v>0</v>
      </c>
      <c r="D1566" s="97"/>
      <c r="E1566" s="98"/>
      <c r="F1566" s="98"/>
      <c r="G1566" s="98"/>
      <c r="H1566" s="98"/>
      <c r="I1566" s="98"/>
      <c r="J1566" s="98"/>
      <c r="K1566" s="98"/>
      <c r="L1566" s="98"/>
      <c r="M1566" s="98"/>
      <c r="N1566" s="98"/>
      <c r="O1566" s="98"/>
      <c r="P1566" s="98"/>
      <c r="Q1566" s="98"/>
      <c r="R1566" s="99"/>
    </row>
    <row r="1567" spans="1:18" x14ac:dyDescent="0.35">
      <c r="A1567" s="88">
        <f t="shared" si="48"/>
        <v>0</v>
      </c>
      <c r="B1567" s="89"/>
      <c r="C1567" s="90">
        <f t="shared" si="49"/>
        <v>0</v>
      </c>
      <c r="D1567" s="97"/>
      <c r="E1567" s="98"/>
      <c r="F1567" s="98"/>
      <c r="G1567" s="98"/>
      <c r="H1567" s="98"/>
      <c r="I1567" s="98"/>
      <c r="J1567" s="98"/>
      <c r="K1567" s="98"/>
      <c r="L1567" s="98"/>
      <c r="M1567" s="98"/>
      <c r="N1567" s="98"/>
      <c r="O1567" s="98"/>
      <c r="P1567" s="98"/>
      <c r="Q1567" s="98"/>
      <c r="R1567" s="99"/>
    </row>
    <row r="1568" spans="1:18" x14ac:dyDescent="0.35">
      <c r="A1568" s="88">
        <f t="shared" si="48"/>
        <v>0</v>
      </c>
      <c r="B1568" s="89"/>
      <c r="C1568" s="90">
        <f t="shared" si="49"/>
        <v>0</v>
      </c>
      <c r="D1568" s="97"/>
      <c r="E1568" s="98"/>
      <c r="F1568" s="98"/>
      <c r="G1568" s="98"/>
      <c r="H1568" s="98"/>
      <c r="I1568" s="98"/>
      <c r="J1568" s="98"/>
      <c r="K1568" s="98"/>
      <c r="L1568" s="98"/>
      <c r="M1568" s="98"/>
      <c r="N1568" s="98"/>
      <c r="O1568" s="98"/>
      <c r="P1568" s="98"/>
      <c r="Q1568" s="98"/>
      <c r="R1568" s="99"/>
    </row>
    <row r="1569" spans="1:18" x14ac:dyDescent="0.35">
      <c r="A1569" s="88">
        <f t="shared" si="48"/>
        <v>0</v>
      </c>
      <c r="B1569" s="89"/>
      <c r="C1569" s="90">
        <f t="shared" si="49"/>
        <v>0</v>
      </c>
      <c r="D1569" s="97"/>
      <c r="E1569" s="98"/>
      <c r="F1569" s="98"/>
      <c r="G1569" s="98"/>
      <c r="H1569" s="98"/>
      <c r="I1569" s="98"/>
      <c r="J1569" s="98"/>
      <c r="K1569" s="98"/>
      <c r="L1569" s="98"/>
      <c r="M1569" s="98"/>
      <c r="N1569" s="98"/>
      <c r="O1569" s="98"/>
      <c r="P1569" s="98"/>
      <c r="Q1569" s="98"/>
      <c r="R1569" s="99"/>
    </row>
    <row r="1570" spans="1:18" x14ac:dyDescent="0.35">
      <c r="A1570" s="88">
        <f t="shared" si="48"/>
        <v>0</v>
      </c>
      <c r="B1570" s="89"/>
      <c r="C1570" s="90">
        <f t="shared" si="49"/>
        <v>0</v>
      </c>
      <c r="D1570" s="97"/>
      <c r="E1570" s="98"/>
      <c r="F1570" s="98"/>
      <c r="G1570" s="98"/>
      <c r="H1570" s="98"/>
      <c r="I1570" s="98"/>
      <c r="J1570" s="98"/>
      <c r="K1570" s="98"/>
      <c r="L1570" s="98"/>
      <c r="M1570" s="98"/>
      <c r="N1570" s="98"/>
      <c r="O1570" s="98"/>
      <c r="P1570" s="98"/>
      <c r="Q1570" s="98"/>
      <c r="R1570" s="99"/>
    </row>
    <row r="1571" spans="1:18" x14ac:dyDescent="0.35">
      <c r="A1571" s="88">
        <f t="shared" si="48"/>
        <v>0</v>
      </c>
      <c r="B1571" s="89"/>
      <c r="C1571" s="90">
        <f t="shared" si="49"/>
        <v>0</v>
      </c>
      <c r="D1571" s="97"/>
      <c r="E1571" s="98"/>
      <c r="F1571" s="98"/>
      <c r="G1571" s="98"/>
      <c r="H1571" s="98"/>
      <c r="I1571" s="98"/>
      <c r="J1571" s="98"/>
      <c r="K1571" s="98"/>
      <c r="L1571" s="98"/>
      <c r="M1571" s="98"/>
      <c r="N1571" s="98"/>
      <c r="O1571" s="98"/>
      <c r="P1571" s="98"/>
      <c r="Q1571" s="98"/>
      <c r="R1571" s="99"/>
    </row>
    <row r="1572" spans="1:18" x14ac:dyDescent="0.35">
      <c r="A1572" s="88">
        <f t="shared" si="48"/>
        <v>0</v>
      </c>
      <c r="B1572" s="89"/>
      <c r="C1572" s="90">
        <f t="shared" si="49"/>
        <v>0</v>
      </c>
      <c r="D1572" s="97"/>
      <c r="E1572" s="98"/>
      <c r="F1572" s="98"/>
      <c r="G1572" s="98"/>
      <c r="H1572" s="98"/>
      <c r="I1572" s="98"/>
      <c r="J1572" s="98"/>
      <c r="K1572" s="98"/>
      <c r="L1572" s="98"/>
      <c r="M1572" s="98"/>
      <c r="N1572" s="98"/>
      <c r="O1572" s="98"/>
      <c r="P1572" s="98"/>
      <c r="Q1572" s="98"/>
      <c r="R1572" s="99"/>
    </row>
    <row r="1573" spans="1:18" x14ac:dyDescent="0.35">
      <c r="A1573" s="88">
        <f t="shared" si="48"/>
        <v>0</v>
      </c>
      <c r="B1573" s="89"/>
      <c r="C1573" s="90">
        <f t="shared" si="49"/>
        <v>0</v>
      </c>
      <c r="D1573" s="97"/>
      <c r="E1573" s="98"/>
      <c r="F1573" s="98"/>
      <c r="G1573" s="98"/>
      <c r="H1573" s="98"/>
      <c r="I1573" s="98"/>
      <c r="J1573" s="98"/>
      <c r="K1573" s="98"/>
      <c r="L1573" s="98"/>
      <c r="M1573" s="98"/>
      <c r="N1573" s="98"/>
      <c r="O1573" s="98"/>
      <c r="P1573" s="98"/>
      <c r="Q1573" s="98"/>
      <c r="R1573" s="99"/>
    </row>
    <row r="1574" spans="1:18" x14ac:dyDescent="0.35">
      <c r="A1574" s="88">
        <f t="shared" si="48"/>
        <v>0</v>
      </c>
      <c r="B1574" s="89"/>
      <c r="C1574" s="90">
        <f t="shared" si="49"/>
        <v>0</v>
      </c>
      <c r="D1574" s="97"/>
      <c r="E1574" s="98"/>
      <c r="F1574" s="98"/>
      <c r="G1574" s="98"/>
      <c r="H1574" s="98"/>
      <c r="I1574" s="98"/>
      <c r="J1574" s="98"/>
      <c r="K1574" s="98"/>
      <c r="L1574" s="98"/>
      <c r="M1574" s="98"/>
      <c r="N1574" s="98"/>
      <c r="O1574" s="98"/>
      <c r="P1574" s="98"/>
      <c r="Q1574" s="98"/>
      <c r="R1574" s="99"/>
    </row>
    <row r="1575" spans="1:18" x14ac:dyDescent="0.35">
      <c r="A1575" s="88">
        <f t="shared" si="48"/>
        <v>0</v>
      </c>
      <c r="B1575" s="89"/>
      <c r="C1575" s="90">
        <f t="shared" si="49"/>
        <v>0</v>
      </c>
      <c r="D1575" s="97"/>
      <c r="E1575" s="98"/>
      <c r="F1575" s="98"/>
      <c r="G1575" s="98"/>
      <c r="H1575" s="98"/>
      <c r="I1575" s="98"/>
      <c r="J1575" s="98"/>
      <c r="K1575" s="98"/>
      <c r="L1575" s="98"/>
      <c r="M1575" s="98"/>
      <c r="N1575" s="98"/>
      <c r="O1575" s="98"/>
      <c r="P1575" s="98"/>
      <c r="Q1575" s="98"/>
      <c r="R1575" s="99"/>
    </row>
    <row r="1576" spans="1:18" x14ac:dyDescent="0.35">
      <c r="A1576" s="88">
        <f t="shared" si="48"/>
        <v>0</v>
      </c>
      <c r="B1576" s="89"/>
      <c r="C1576" s="90">
        <f t="shared" si="49"/>
        <v>0</v>
      </c>
      <c r="D1576" s="97"/>
      <c r="E1576" s="98"/>
      <c r="F1576" s="98"/>
      <c r="G1576" s="98"/>
      <c r="H1576" s="98"/>
      <c r="I1576" s="98"/>
      <c r="J1576" s="98"/>
      <c r="K1576" s="98"/>
      <c r="L1576" s="98"/>
      <c r="M1576" s="98"/>
      <c r="N1576" s="98"/>
      <c r="O1576" s="98"/>
      <c r="P1576" s="98"/>
      <c r="Q1576" s="98"/>
      <c r="R1576" s="99"/>
    </row>
    <row r="1577" spans="1:18" x14ac:dyDescent="0.35">
      <c r="A1577" s="88">
        <f t="shared" si="48"/>
        <v>0</v>
      </c>
      <c r="B1577" s="89"/>
      <c r="C1577" s="90">
        <f t="shared" si="49"/>
        <v>0</v>
      </c>
      <c r="D1577" s="97"/>
      <c r="E1577" s="98"/>
      <c r="F1577" s="98"/>
      <c r="G1577" s="98"/>
      <c r="H1577" s="98"/>
      <c r="I1577" s="98"/>
      <c r="J1577" s="98"/>
      <c r="K1577" s="98"/>
      <c r="L1577" s="98"/>
      <c r="M1577" s="98"/>
      <c r="N1577" s="98"/>
      <c r="O1577" s="98"/>
      <c r="P1577" s="98"/>
      <c r="Q1577" s="98"/>
      <c r="R1577" s="99"/>
    </row>
    <row r="1578" spans="1:18" x14ac:dyDescent="0.35">
      <c r="A1578" s="88">
        <f t="shared" si="48"/>
        <v>0</v>
      </c>
      <c r="B1578" s="89"/>
      <c r="C1578" s="90">
        <f t="shared" si="49"/>
        <v>0</v>
      </c>
      <c r="D1578" s="97"/>
      <c r="E1578" s="98"/>
      <c r="F1578" s="98"/>
      <c r="G1578" s="98"/>
      <c r="H1578" s="98"/>
      <c r="I1578" s="98"/>
      <c r="J1578" s="98"/>
      <c r="K1578" s="98"/>
      <c r="L1578" s="98"/>
      <c r="M1578" s="98"/>
      <c r="N1578" s="98"/>
      <c r="O1578" s="98"/>
      <c r="P1578" s="98"/>
      <c r="Q1578" s="98"/>
      <c r="R1578" s="99"/>
    </row>
    <row r="1579" spans="1:18" x14ac:dyDescent="0.35">
      <c r="A1579" s="88">
        <f t="shared" si="48"/>
        <v>0</v>
      </c>
      <c r="B1579" s="89"/>
      <c r="C1579" s="90">
        <f t="shared" si="49"/>
        <v>0</v>
      </c>
      <c r="D1579" s="97"/>
      <c r="E1579" s="98"/>
      <c r="F1579" s="98"/>
      <c r="G1579" s="98"/>
      <c r="H1579" s="98"/>
      <c r="I1579" s="98"/>
      <c r="J1579" s="98"/>
      <c r="K1579" s="98"/>
      <c r="L1579" s="98"/>
      <c r="M1579" s="98"/>
      <c r="N1579" s="98"/>
      <c r="O1579" s="98"/>
      <c r="P1579" s="98"/>
      <c r="Q1579" s="98"/>
      <c r="R1579" s="99"/>
    </row>
    <row r="1580" spans="1:18" x14ac:dyDescent="0.35">
      <c r="A1580" s="88">
        <f t="shared" si="48"/>
        <v>0</v>
      </c>
      <c r="B1580" s="89"/>
      <c r="C1580" s="90">
        <f t="shared" si="49"/>
        <v>0</v>
      </c>
      <c r="D1580" s="97"/>
      <c r="E1580" s="98"/>
      <c r="F1580" s="98"/>
      <c r="G1580" s="98"/>
      <c r="H1580" s="98"/>
      <c r="I1580" s="98"/>
      <c r="J1580" s="98"/>
      <c r="K1580" s="98"/>
      <c r="L1580" s="98"/>
      <c r="M1580" s="98"/>
      <c r="N1580" s="98"/>
      <c r="O1580" s="98"/>
      <c r="P1580" s="98"/>
      <c r="Q1580" s="98"/>
      <c r="R1580" s="99"/>
    </row>
    <row r="1581" spans="1:18" x14ac:dyDescent="0.35">
      <c r="A1581" s="88">
        <f t="shared" si="48"/>
        <v>0</v>
      </c>
      <c r="B1581" s="89"/>
      <c r="C1581" s="90">
        <f t="shared" si="49"/>
        <v>0</v>
      </c>
      <c r="D1581" s="97"/>
      <c r="E1581" s="98"/>
      <c r="F1581" s="98"/>
      <c r="G1581" s="98"/>
      <c r="H1581" s="98"/>
      <c r="I1581" s="98"/>
      <c r="J1581" s="98"/>
      <c r="K1581" s="98"/>
      <c r="L1581" s="98"/>
      <c r="M1581" s="98"/>
      <c r="N1581" s="98"/>
      <c r="O1581" s="98"/>
      <c r="P1581" s="98"/>
      <c r="Q1581" s="98"/>
      <c r="R1581" s="99"/>
    </row>
    <row r="1582" spans="1:18" x14ac:dyDescent="0.35">
      <c r="A1582" s="88">
        <f t="shared" si="48"/>
        <v>0</v>
      </c>
      <c r="B1582" s="89"/>
      <c r="C1582" s="90">
        <f t="shared" si="49"/>
        <v>0</v>
      </c>
      <c r="D1582" s="97"/>
      <c r="E1582" s="98"/>
      <c r="F1582" s="98"/>
      <c r="G1582" s="98"/>
      <c r="H1582" s="98"/>
      <c r="I1582" s="98"/>
      <c r="J1582" s="98"/>
      <c r="K1582" s="98"/>
      <c r="L1582" s="98"/>
      <c r="M1582" s="98"/>
      <c r="N1582" s="98"/>
      <c r="O1582" s="98"/>
      <c r="P1582" s="98"/>
      <c r="Q1582" s="98"/>
      <c r="R1582" s="99"/>
    </row>
    <row r="1583" spans="1:18" x14ac:dyDescent="0.35">
      <c r="A1583" s="88">
        <f t="shared" si="48"/>
        <v>0</v>
      </c>
      <c r="B1583" s="89"/>
      <c r="C1583" s="90">
        <f t="shared" si="49"/>
        <v>0</v>
      </c>
      <c r="D1583" s="97"/>
      <c r="E1583" s="98"/>
      <c r="F1583" s="98"/>
      <c r="G1583" s="98"/>
      <c r="H1583" s="98"/>
      <c r="I1583" s="98"/>
      <c r="J1583" s="98"/>
      <c r="K1583" s="98"/>
      <c r="L1583" s="98"/>
      <c r="M1583" s="98"/>
      <c r="N1583" s="98"/>
      <c r="O1583" s="98"/>
      <c r="P1583" s="98"/>
      <c r="Q1583" s="98"/>
      <c r="R1583" s="99"/>
    </row>
    <row r="1584" spans="1:18" x14ac:dyDescent="0.35">
      <c r="A1584" s="88">
        <f t="shared" si="48"/>
        <v>0</v>
      </c>
      <c r="B1584" s="89"/>
      <c r="C1584" s="90">
        <f t="shared" si="49"/>
        <v>0</v>
      </c>
      <c r="D1584" s="97"/>
      <c r="E1584" s="98"/>
      <c r="F1584" s="98"/>
      <c r="G1584" s="98"/>
      <c r="H1584" s="98"/>
      <c r="I1584" s="98"/>
      <c r="J1584" s="98"/>
      <c r="K1584" s="98"/>
      <c r="L1584" s="98"/>
      <c r="M1584" s="98"/>
      <c r="N1584" s="98"/>
      <c r="O1584" s="98"/>
      <c r="P1584" s="98"/>
      <c r="Q1584" s="98"/>
      <c r="R1584" s="99"/>
    </row>
    <row r="1585" spans="1:18" x14ac:dyDescent="0.35">
      <c r="A1585" s="88">
        <f t="shared" si="48"/>
        <v>0</v>
      </c>
      <c r="B1585" s="89"/>
      <c r="C1585" s="90">
        <f t="shared" si="49"/>
        <v>0</v>
      </c>
      <c r="D1585" s="97"/>
      <c r="E1585" s="98"/>
      <c r="F1585" s="98"/>
      <c r="G1585" s="98"/>
      <c r="H1585" s="98"/>
      <c r="I1585" s="98"/>
      <c r="J1585" s="98"/>
      <c r="K1585" s="98"/>
      <c r="L1585" s="98"/>
      <c r="M1585" s="98"/>
      <c r="N1585" s="98"/>
      <c r="O1585" s="98"/>
      <c r="P1585" s="98"/>
      <c r="Q1585" s="98"/>
      <c r="R1585" s="99"/>
    </row>
    <row r="1586" spans="1:18" x14ac:dyDescent="0.35">
      <c r="A1586" s="88">
        <f t="shared" si="48"/>
        <v>0</v>
      </c>
      <c r="B1586" s="89"/>
      <c r="C1586" s="90">
        <f t="shared" si="49"/>
        <v>0</v>
      </c>
      <c r="D1586" s="97"/>
      <c r="E1586" s="98"/>
      <c r="F1586" s="98"/>
      <c r="G1586" s="98"/>
      <c r="H1586" s="98"/>
      <c r="I1586" s="98"/>
      <c r="J1586" s="98"/>
      <c r="K1586" s="98"/>
      <c r="L1586" s="98"/>
      <c r="M1586" s="98"/>
      <c r="N1586" s="98"/>
      <c r="O1586" s="98"/>
      <c r="P1586" s="98"/>
      <c r="Q1586" s="98"/>
      <c r="R1586" s="99"/>
    </row>
    <row r="1587" spans="1:18" x14ac:dyDescent="0.35">
      <c r="A1587" s="88">
        <f t="shared" si="48"/>
        <v>0</v>
      </c>
      <c r="B1587" s="89"/>
      <c r="C1587" s="90">
        <f t="shared" si="49"/>
        <v>0</v>
      </c>
      <c r="D1587" s="97"/>
      <c r="E1587" s="98"/>
      <c r="F1587" s="98"/>
      <c r="G1587" s="98"/>
      <c r="H1587" s="98"/>
      <c r="I1587" s="98"/>
      <c r="J1587" s="98"/>
      <c r="K1587" s="98"/>
      <c r="L1587" s="98"/>
      <c r="M1587" s="98"/>
      <c r="N1587" s="98"/>
      <c r="O1587" s="98"/>
      <c r="P1587" s="98"/>
      <c r="Q1587" s="98"/>
      <c r="R1587" s="99"/>
    </row>
    <row r="1588" spans="1:18" x14ac:dyDescent="0.35">
      <c r="A1588" s="88">
        <f t="shared" si="48"/>
        <v>0</v>
      </c>
      <c r="B1588" s="89"/>
      <c r="C1588" s="90">
        <f t="shared" si="49"/>
        <v>0</v>
      </c>
      <c r="D1588" s="97"/>
      <c r="E1588" s="98"/>
      <c r="F1588" s="98"/>
      <c r="G1588" s="98"/>
      <c r="H1588" s="98"/>
      <c r="I1588" s="98"/>
      <c r="J1588" s="98"/>
      <c r="K1588" s="98"/>
      <c r="L1588" s="98"/>
      <c r="M1588" s="98"/>
      <c r="N1588" s="98"/>
      <c r="O1588" s="98"/>
      <c r="P1588" s="98"/>
      <c r="Q1588" s="98"/>
      <c r="R1588" s="99"/>
    </row>
    <row r="1589" spans="1:18" x14ac:dyDescent="0.35">
      <c r="A1589" s="88">
        <f t="shared" si="48"/>
        <v>0</v>
      </c>
      <c r="B1589" s="89"/>
      <c r="C1589" s="90">
        <f t="shared" si="49"/>
        <v>0</v>
      </c>
      <c r="D1589" s="97"/>
      <c r="E1589" s="98"/>
      <c r="F1589" s="98"/>
      <c r="G1589" s="98"/>
      <c r="H1589" s="98"/>
      <c r="I1589" s="98"/>
      <c r="J1589" s="98"/>
      <c r="K1589" s="98"/>
      <c r="L1589" s="98"/>
      <c r="M1589" s="98"/>
      <c r="N1589" s="98"/>
      <c r="O1589" s="98"/>
      <c r="P1589" s="98"/>
      <c r="Q1589" s="98"/>
      <c r="R1589" s="99"/>
    </row>
    <row r="1590" spans="1:18" x14ac:dyDescent="0.35">
      <c r="A1590" s="88">
        <f t="shared" si="48"/>
        <v>0</v>
      </c>
      <c r="B1590" s="89"/>
      <c r="C1590" s="90">
        <f t="shared" si="49"/>
        <v>0</v>
      </c>
      <c r="D1590" s="97"/>
      <c r="E1590" s="98"/>
      <c r="F1590" s="98"/>
      <c r="G1590" s="98"/>
      <c r="H1590" s="98"/>
      <c r="I1590" s="98"/>
      <c r="J1590" s="98"/>
      <c r="K1590" s="98"/>
      <c r="L1590" s="98"/>
      <c r="M1590" s="98"/>
      <c r="N1590" s="98"/>
      <c r="O1590" s="98"/>
      <c r="P1590" s="98"/>
      <c r="Q1590" s="98"/>
      <c r="R1590" s="99"/>
    </row>
    <row r="1591" spans="1:18" x14ac:dyDescent="0.35">
      <c r="A1591" s="88">
        <f t="shared" si="48"/>
        <v>0</v>
      </c>
      <c r="B1591" s="89"/>
      <c r="C1591" s="90">
        <f t="shared" si="49"/>
        <v>0</v>
      </c>
      <c r="D1591" s="97"/>
      <c r="E1591" s="98"/>
      <c r="F1591" s="98"/>
      <c r="G1591" s="98"/>
      <c r="H1591" s="98"/>
      <c r="I1591" s="98"/>
      <c r="J1591" s="98"/>
      <c r="K1591" s="98"/>
      <c r="L1591" s="98"/>
      <c r="M1591" s="98"/>
      <c r="N1591" s="98"/>
      <c r="O1591" s="98"/>
      <c r="P1591" s="98"/>
      <c r="Q1591" s="98"/>
      <c r="R1591" s="99"/>
    </row>
    <row r="1592" spans="1:18" x14ac:dyDescent="0.35">
      <c r="A1592" s="88">
        <f t="shared" si="48"/>
        <v>0</v>
      </c>
      <c r="B1592" s="89"/>
      <c r="C1592" s="90">
        <f t="shared" si="49"/>
        <v>0</v>
      </c>
      <c r="D1592" s="97"/>
      <c r="E1592" s="98"/>
      <c r="F1592" s="98"/>
      <c r="G1592" s="98"/>
      <c r="H1592" s="98"/>
      <c r="I1592" s="98"/>
      <c r="J1592" s="98"/>
      <c r="K1592" s="98"/>
      <c r="L1592" s="98"/>
      <c r="M1592" s="98"/>
      <c r="N1592" s="98"/>
      <c r="O1592" s="98"/>
      <c r="P1592" s="98"/>
      <c r="Q1592" s="98"/>
      <c r="R1592" s="99"/>
    </row>
    <row r="1593" spans="1:18" x14ac:dyDescent="0.35">
      <c r="A1593" s="88">
        <f t="shared" si="48"/>
        <v>0</v>
      </c>
      <c r="B1593" s="89"/>
      <c r="C1593" s="90">
        <f t="shared" si="49"/>
        <v>0</v>
      </c>
      <c r="D1593" s="97"/>
      <c r="E1593" s="98"/>
      <c r="F1593" s="98"/>
      <c r="G1593" s="98"/>
      <c r="H1593" s="98"/>
      <c r="I1593" s="98"/>
      <c r="J1593" s="98"/>
      <c r="K1593" s="98"/>
      <c r="L1593" s="98"/>
      <c r="M1593" s="98"/>
      <c r="N1593" s="98"/>
      <c r="O1593" s="98"/>
      <c r="P1593" s="98"/>
      <c r="Q1593" s="98"/>
      <c r="R1593" s="99"/>
    </row>
    <row r="1594" spans="1:18" x14ac:dyDescent="0.35">
      <c r="A1594" s="88">
        <f t="shared" si="48"/>
        <v>0</v>
      </c>
      <c r="B1594" s="89"/>
      <c r="C1594" s="90">
        <f t="shared" si="49"/>
        <v>0</v>
      </c>
      <c r="D1594" s="97"/>
      <c r="E1594" s="98"/>
      <c r="F1594" s="98"/>
      <c r="G1594" s="98"/>
      <c r="H1594" s="98"/>
      <c r="I1594" s="98"/>
      <c r="J1594" s="98"/>
      <c r="K1594" s="98"/>
      <c r="L1594" s="98"/>
      <c r="M1594" s="98"/>
      <c r="N1594" s="98"/>
      <c r="O1594" s="98"/>
      <c r="P1594" s="98"/>
      <c r="Q1594" s="98"/>
      <c r="R1594" s="99"/>
    </row>
    <row r="1595" spans="1:18" x14ac:dyDescent="0.35">
      <c r="A1595" s="88">
        <f t="shared" si="48"/>
        <v>0</v>
      </c>
      <c r="B1595" s="89"/>
      <c r="C1595" s="90">
        <f t="shared" si="49"/>
        <v>0</v>
      </c>
      <c r="D1595" s="97"/>
      <c r="E1595" s="98"/>
      <c r="F1595" s="98"/>
      <c r="G1595" s="98"/>
      <c r="H1595" s="98"/>
      <c r="I1595" s="98"/>
      <c r="J1595" s="98"/>
      <c r="K1595" s="98"/>
      <c r="L1595" s="98"/>
      <c r="M1595" s="98"/>
      <c r="N1595" s="98"/>
      <c r="O1595" s="98"/>
      <c r="P1595" s="98"/>
      <c r="Q1595" s="98"/>
      <c r="R1595" s="99"/>
    </row>
    <row r="1596" spans="1:18" x14ac:dyDescent="0.35">
      <c r="A1596" s="88">
        <f t="shared" si="48"/>
        <v>0</v>
      </c>
      <c r="B1596" s="89"/>
      <c r="C1596" s="90">
        <f t="shared" si="49"/>
        <v>0</v>
      </c>
      <c r="D1596" s="97"/>
      <c r="E1596" s="98"/>
      <c r="F1596" s="98"/>
      <c r="G1596" s="98"/>
      <c r="H1596" s="98"/>
      <c r="I1596" s="98"/>
      <c r="J1596" s="98"/>
      <c r="K1596" s="98"/>
      <c r="L1596" s="98"/>
      <c r="M1596" s="98"/>
      <c r="N1596" s="98"/>
      <c r="O1596" s="98"/>
      <c r="P1596" s="98"/>
      <c r="Q1596" s="98"/>
      <c r="R1596" s="99"/>
    </row>
    <row r="1597" spans="1:18" x14ac:dyDescent="0.35">
      <c r="A1597" s="88">
        <f t="shared" si="48"/>
        <v>0</v>
      </c>
      <c r="B1597" s="89"/>
      <c r="C1597" s="90">
        <f t="shared" si="49"/>
        <v>0</v>
      </c>
      <c r="D1597" s="97"/>
      <c r="E1597" s="98"/>
      <c r="F1597" s="98"/>
      <c r="G1597" s="98"/>
      <c r="H1597" s="98"/>
      <c r="I1597" s="98"/>
      <c r="J1597" s="98"/>
      <c r="K1597" s="98"/>
      <c r="L1597" s="98"/>
      <c r="M1597" s="98"/>
      <c r="N1597" s="98"/>
      <c r="O1597" s="98"/>
      <c r="P1597" s="98"/>
      <c r="Q1597" s="98"/>
      <c r="R1597" s="99"/>
    </row>
    <row r="1598" spans="1:18" x14ac:dyDescent="0.35">
      <c r="A1598" s="88">
        <f t="shared" si="48"/>
        <v>0</v>
      </c>
      <c r="B1598" s="89"/>
      <c r="C1598" s="90">
        <f t="shared" si="49"/>
        <v>0</v>
      </c>
      <c r="D1598" s="97"/>
      <c r="E1598" s="98"/>
      <c r="F1598" s="98"/>
      <c r="G1598" s="98"/>
      <c r="H1598" s="98"/>
      <c r="I1598" s="98"/>
      <c r="J1598" s="98"/>
      <c r="K1598" s="98"/>
      <c r="L1598" s="98"/>
      <c r="M1598" s="98"/>
      <c r="N1598" s="98"/>
      <c r="O1598" s="98"/>
      <c r="P1598" s="98"/>
      <c r="Q1598" s="98"/>
      <c r="R1598" s="99"/>
    </row>
    <row r="1599" spans="1:18" x14ac:dyDescent="0.35">
      <c r="A1599" s="88">
        <f t="shared" si="48"/>
        <v>0</v>
      </c>
      <c r="B1599" s="89"/>
      <c r="C1599" s="90">
        <f t="shared" si="49"/>
        <v>0</v>
      </c>
      <c r="D1599" s="97"/>
      <c r="E1599" s="98"/>
      <c r="F1599" s="98"/>
      <c r="G1599" s="98"/>
      <c r="H1599" s="98"/>
      <c r="I1599" s="98"/>
      <c r="J1599" s="98"/>
      <c r="K1599" s="98"/>
      <c r="L1599" s="98"/>
      <c r="M1599" s="98"/>
      <c r="N1599" s="98"/>
      <c r="O1599" s="98"/>
      <c r="P1599" s="98"/>
      <c r="Q1599" s="98"/>
      <c r="R1599" s="99"/>
    </row>
    <row r="1600" spans="1:18" x14ac:dyDescent="0.35">
      <c r="A1600" s="88">
        <f t="shared" si="48"/>
        <v>0</v>
      </c>
      <c r="B1600" s="89"/>
      <c r="C1600" s="90">
        <f t="shared" si="49"/>
        <v>0</v>
      </c>
      <c r="D1600" s="97"/>
      <c r="E1600" s="98"/>
      <c r="F1600" s="98"/>
      <c r="G1600" s="98"/>
      <c r="H1600" s="98"/>
      <c r="I1600" s="98"/>
      <c r="J1600" s="98"/>
      <c r="K1600" s="98"/>
      <c r="L1600" s="98"/>
      <c r="M1600" s="98"/>
      <c r="N1600" s="98"/>
      <c r="O1600" s="98"/>
      <c r="P1600" s="98"/>
      <c r="Q1600" s="98"/>
      <c r="R1600" s="99"/>
    </row>
    <row r="1601" spans="1:18" x14ac:dyDescent="0.35">
      <c r="A1601" s="88">
        <f t="shared" si="48"/>
        <v>0</v>
      </c>
      <c r="B1601" s="89"/>
      <c r="C1601" s="90">
        <f t="shared" si="49"/>
        <v>0</v>
      </c>
      <c r="D1601" s="97"/>
      <c r="E1601" s="98"/>
      <c r="F1601" s="98"/>
      <c r="G1601" s="98"/>
      <c r="H1601" s="98"/>
      <c r="I1601" s="98"/>
      <c r="J1601" s="98"/>
      <c r="K1601" s="98"/>
      <c r="L1601" s="98"/>
      <c r="M1601" s="98"/>
      <c r="N1601" s="98"/>
      <c r="O1601" s="98"/>
      <c r="P1601" s="98"/>
      <c r="Q1601" s="98"/>
      <c r="R1601" s="99"/>
    </row>
    <row r="1602" spans="1:18" x14ac:dyDescent="0.35">
      <c r="A1602" s="88">
        <f t="shared" si="48"/>
        <v>0</v>
      </c>
      <c r="B1602" s="89"/>
      <c r="C1602" s="90">
        <f t="shared" si="49"/>
        <v>0</v>
      </c>
      <c r="D1602" s="97"/>
      <c r="E1602" s="98"/>
      <c r="F1602" s="98"/>
      <c r="G1602" s="98"/>
      <c r="H1602" s="98"/>
      <c r="I1602" s="98"/>
      <c r="J1602" s="98"/>
      <c r="K1602" s="98"/>
      <c r="L1602" s="98"/>
      <c r="M1602" s="98"/>
      <c r="N1602" s="98"/>
      <c r="O1602" s="98"/>
      <c r="P1602" s="98"/>
      <c r="Q1602" s="98"/>
      <c r="R1602" s="99"/>
    </row>
    <row r="1603" spans="1:18" x14ac:dyDescent="0.35">
      <c r="A1603" s="88">
        <f t="shared" si="48"/>
        <v>0</v>
      </c>
      <c r="B1603" s="89"/>
      <c r="C1603" s="90">
        <f t="shared" si="49"/>
        <v>0</v>
      </c>
      <c r="D1603" s="97"/>
      <c r="E1603" s="98"/>
      <c r="F1603" s="98"/>
      <c r="G1603" s="98"/>
      <c r="H1603" s="98"/>
      <c r="I1603" s="98"/>
      <c r="J1603" s="98"/>
      <c r="K1603" s="98"/>
      <c r="L1603" s="98"/>
      <c r="M1603" s="98"/>
      <c r="N1603" s="98"/>
      <c r="O1603" s="98"/>
      <c r="P1603" s="98"/>
      <c r="Q1603" s="98"/>
      <c r="R1603" s="99"/>
    </row>
    <row r="1604" spans="1:18" x14ac:dyDescent="0.35">
      <c r="A1604" s="88">
        <f t="shared" ref="A1604:A1667" si="50">F1604</f>
        <v>0</v>
      </c>
      <c r="B1604" s="89"/>
      <c r="C1604" s="90">
        <f t="shared" ref="C1604:C1667" si="51">F1604</f>
        <v>0</v>
      </c>
      <c r="D1604" s="97"/>
      <c r="E1604" s="98"/>
      <c r="F1604" s="98"/>
      <c r="G1604" s="98"/>
      <c r="H1604" s="98"/>
      <c r="I1604" s="98"/>
      <c r="J1604" s="98"/>
      <c r="K1604" s="98"/>
      <c r="L1604" s="98"/>
      <c r="M1604" s="98"/>
      <c r="N1604" s="98"/>
      <c r="O1604" s="98"/>
      <c r="P1604" s="98"/>
      <c r="Q1604" s="98"/>
      <c r="R1604" s="99"/>
    </row>
    <row r="1605" spans="1:18" x14ac:dyDescent="0.35">
      <c r="A1605" s="88">
        <f t="shared" si="50"/>
        <v>0</v>
      </c>
      <c r="B1605" s="89"/>
      <c r="C1605" s="90">
        <f t="shared" si="51"/>
        <v>0</v>
      </c>
      <c r="D1605" s="97"/>
      <c r="E1605" s="98"/>
      <c r="F1605" s="98"/>
      <c r="G1605" s="98"/>
      <c r="H1605" s="98"/>
      <c r="I1605" s="98"/>
      <c r="J1605" s="98"/>
      <c r="K1605" s="98"/>
      <c r="L1605" s="98"/>
      <c r="M1605" s="98"/>
      <c r="N1605" s="98"/>
      <c r="O1605" s="98"/>
      <c r="P1605" s="98"/>
      <c r="Q1605" s="98"/>
      <c r="R1605" s="99"/>
    </row>
    <row r="1606" spans="1:18" x14ac:dyDescent="0.35">
      <c r="A1606" s="88">
        <f t="shared" si="50"/>
        <v>0</v>
      </c>
      <c r="B1606" s="89"/>
      <c r="C1606" s="90">
        <f t="shared" si="51"/>
        <v>0</v>
      </c>
      <c r="D1606" s="97"/>
      <c r="E1606" s="98"/>
      <c r="F1606" s="98"/>
      <c r="G1606" s="98"/>
      <c r="H1606" s="98"/>
      <c r="I1606" s="98"/>
      <c r="J1606" s="98"/>
      <c r="K1606" s="98"/>
      <c r="L1606" s="98"/>
      <c r="M1606" s="98"/>
      <c r="N1606" s="98"/>
      <c r="O1606" s="98"/>
      <c r="P1606" s="98"/>
      <c r="Q1606" s="98"/>
      <c r="R1606" s="99"/>
    </row>
    <row r="1607" spans="1:18" x14ac:dyDescent="0.35">
      <c r="A1607" s="88">
        <f t="shared" si="50"/>
        <v>0</v>
      </c>
      <c r="B1607" s="89"/>
      <c r="C1607" s="90">
        <f t="shared" si="51"/>
        <v>0</v>
      </c>
      <c r="D1607" s="97"/>
      <c r="E1607" s="98"/>
      <c r="F1607" s="98"/>
      <c r="G1607" s="98"/>
      <c r="H1607" s="98"/>
      <c r="I1607" s="98"/>
      <c r="J1607" s="98"/>
      <c r="K1607" s="98"/>
      <c r="L1607" s="98"/>
      <c r="M1607" s="98"/>
      <c r="N1607" s="98"/>
      <c r="O1607" s="98"/>
      <c r="P1607" s="98"/>
      <c r="Q1607" s="98"/>
      <c r="R1607" s="99"/>
    </row>
    <row r="1608" spans="1:18" x14ac:dyDescent="0.35">
      <c r="A1608" s="88">
        <f t="shared" si="50"/>
        <v>0</v>
      </c>
      <c r="B1608" s="89"/>
      <c r="C1608" s="90">
        <f t="shared" si="51"/>
        <v>0</v>
      </c>
      <c r="D1608" s="97"/>
      <c r="E1608" s="98"/>
      <c r="F1608" s="98"/>
      <c r="G1608" s="98"/>
      <c r="H1608" s="98"/>
      <c r="I1608" s="98"/>
      <c r="J1608" s="98"/>
      <c r="K1608" s="98"/>
      <c r="L1608" s="98"/>
      <c r="M1608" s="98"/>
      <c r="N1608" s="98"/>
      <c r="O1608" s="98"/>
      <c r="P1608" s="98"/>
      <c r="Q1608" s="98"/>
      <c r="R1608" s="99"/>
    </row>
    <row r="1609" spans="1:18" x14ac:dyDescent="0.35">
      <c r="A1609" s="88">
        <f t="shared" si="50"/>
        <v>0</v>
      </c>
      <c r="B1609" s="89"/>
      <c r="C1609" s="90">
        <f t="shared" si="51"/>
        <v>0</v>
      </c>
      <c r="D1609" s="97"/>
      <c r="E1609" s="98"/>
      <c r="F1609" s="98"/>
      <c r="G1609" s="98"/>
      <c r="H1609" s="98"/>
      <c r="I1609" s="98"/>
      <c r="J1609" s="98"/>
      <c r="K1609" s="98"/>
      <c r="L1609" s="98"/>
      <c r="M1609" s="98"/>
      <c r="N1609" s="98"/>
      <c r="O1609" s="98"/>
      <c r="P1609" s="98"/>
      <c r="Q1609" s="98"/>
      <c r="R1609" s="99"/>
    </row>
    <row r="1610" spans="1:18" x14ac:dyDescent="0.35">
      <c r="A1610" s="88">
        <f t="shared" si="50"/>
        <v>0</v>
      </c>
      <c r="B1610" s="89"/>
      <c r="C1610" s="90">
        <f t="shared" si="51"/>
        <v>0</v>
      </c>
      <c r="D1610" s="97"/>
      <c r="E1610" s="98"/>
      <c r="F1610" s="98"/>
      <c r="G1610" s="98"/>
      <c r="H1610" s="98"/>
      <c r="I1610" s="98"/>
      <c r="J1610" s="98"/>
      <c r="K1610" s="98"/>
      <c r="L1610" s="98"/>
      <c r="M1610" s="98"/>
      <c r="N1610" s="98"/>
      <c r="O1610" s="98"/>
      <c r="P1610" s="98"/>
      <c r="Q1610" s="98"/>
      <c r="R1610" s="99"/>
    </row>
    <row r="1611" spans="1:18" x14ac:dyDescent="0.35">
      <c r="A1611" s="88">
        <f t="shared" si="50"/>
        <v>0</v>
      </c>
      <c r="B1611" s="89"/>
      <c r="C1611" s="90">
        <f t="shared" si="51"/>
        <v>0</v>
      </c>
      <c r="D1611" s="97"/>
      <c r="E1611" s="98"/>
      <c r="F1611" s="98"/>
      <c r="G1611" s="98"/>
      <c r="H1611" s="98"/>
      <c r="I1611" s="98"/>
      <c r="J1611" s="98"/>
      <c r="K1611" s="98"/>
      <c r="L1611" s="98"/>
      <c r="M1611" s="98"/>
      <c r="N1611" s="98"/>
      <c r="O1611" s="98"/>
      <c r="P1611" s="98"/>
      <c r="Q1611" s="98"/>
      <c r="R1611" s="99"/>
    </row>
    <row r="1612" spans="1:18" x14ac:dyDescent="0.35">
      <c r="A1612" s="88">
        <f t="shared" si="50"/>
        <v>0</v>
      </c>
      <c r="B1612" s="89"/>
      <c r="C1612" s="90">
        <f t="shared" si="51"/>
        <v>0</v>
      </c>
      <c r="D1612" s="97"/>
      <c r="E1612" s="98"/>
      <c r="F1612" s="98"/>
      <c r="G1612" s="98"/>
      <c r="H1612" s="98"/>
      <c r="I1612" s="98"/>
      <c r="J1612" s="98"/>
      <c r="K1612" s="98"/>
      <c r="L1612" s="98"/>
      <c r="M1612" s="98"/>
      <c r="N1612" s="98"/>
      <c r="O1612" s="98"/>
      <c r="P1612" s="98"/>
      <c r="Q1612" s="98"/>
      <c r="R1612" s="99"/>
    </row>
    <row r="1613" spans="1:18" x14ac:dyDescent="0.35">
      <c r="A1613" s="88">
        <f t="shared" si="50"/>
        <v>0</v>
      </c>
      <c r="B1613" s="89"/>
      <c r="C1613" s="90">
        <f t="shared" si="51"/>
        <v>0</v>
      </c>
      <c r="D1613" s="97"/>
      <c r="E1613" s="98"/>
      <c r="F1613" s="98"/>
      <c r="G1613" s="98"/>
      <c r="H1613" s="98"/>
      <c r="I1613" s="98"/>
      <c r="J1613" s="98"/>
      <c r="K1613" s="98"/>
      <c r="L1613" s="98"/>
      <c r="M1613" s="98"/>
      <c r="N1613" s="98"/>
      <c r="O1613" s="98"/>
      <c r="P1613" s="98"/>
      <c r="Q1613" s="98"/>
      <c r="R1613" s="99"/>
    </row>
    <row r="1614" spans="1:18" x14ac:dyDescent="0.35">
      <c r="A1614" s="88">
        <f t="shared" si="50"/>
        <v>0</v>
      </c>
      <c r="B1614" s="89"/>
      <c r="C1614" s="90">
        <f t="shared" si="51"/>
        <v>0</v>
      </c>
      <c r="D1614" s="97"/>
      <c r="E1614" s="98"/>
      <c r="F1614" s="98"/>
      <c r="G1614" s="98"/>
      <c r="H1614" s="98"/>
      <c r="I1614" s="98"/>
      <c r="J1614" s="98"/>
      <c r="K1614" s="98"/>
      <c r="L1614" s="98"/>
      <c r="M1614" s="98"/>
      <c r="N1614" s="98"/>
      <c r="O1614" s="98"/>
      <c r="P1614" s="98"/>
      <c r="Q1614" s="98"/>
      <c r="R1614" s="99"/>
    </row>
    <row r="1615" spans="1:18" x14ac:dyDescent="0.35">
      <c r="A1615" s="88">
        <f t="shared" si="50"/>
        <v>0</v>
      </c>
      <c r="B1615" s="89"/>
      <c r="C1615" s="90">
        <f t="shared" si="51"/>
        <v>0</v>
      </c>
      <c r="D1615" s="97"/>
      <c r="E1615" s="98"/>
      <c r="F1615" s="98"/>
      <c r="G1615" s="98"/>
      <c r="H1615" s="98"/>
      <c r="I1615" s="98"/>
      <c r="J1615" s="98"/>
      <c r="K1615" s="98"/>
      <c r="L1615" s="98"/>
      <c r="M1615" s="98"/>
      <c r="N1615" s="98"/>
      <c r="O1615" s="98"/>
      <c r="P1615" s="98"/>
      <c r="Q1615" s="98"/>
      <c r="R1615" s="99"/>
    </row>
    <row r="1616" spans="1:18" x14ac:dyDescent="0.35">
      <c r="A1616" s="88">
        <f t="shared" si="50"/>
        <v>0</v>
      </c>
      <c r="B1616" s="89"/>
      <c r="C1616" s="90">
        <f t="shared" si="51"/>
        <v>0</v>
      </c>
      <c r="D1616" s="97"/>
      <c r="E1616" s="98"/>
      <c r="F1616" s="98"/>
      <c r="G1616" s="98"/>
      <c r="H1616" s="98"/>
      <c r="I1616" s="98"/>
      <c r="J1616" s="98"/>
      <c r="K1616" s="98"/>
      <c r="L1616" s="98"/>
      <c r="M1616" s="98"/>
      <c r="N1616" s="98"/>
      <c r="O1616" s="98"/>
      <c r="P1616" s="98"/>
      <c r="Q1616" s="98"/>
      <c r="R1616" s="99"/>
    </row>
    <row r="1617" spans="1:18" x14ac:dyDescent="0.35">
      <c r="A1617" s="88">
        <f t="shared" si="50"/>
        <v>0</v>
      </c>
      <c r="B1617" s="89"/>
      <c r="C1617" s="90">
        <f t="shared" si="51"/>
        <v>0</v>
      </c>
      <c r="D1617" s="97"/>
      <c r="E1617" s="98"/>
      <c r="F1617" s="98"/>
      <c r="G1617" s="98"/>
      <c r="H1617" s="98"/>
      <c r="I1617" s="98"/>
      <c r="J1617" s="98"/>
      <c r="K1617" s="98"/>
      <c r="L1617" s="98"/>
      <c r="M1617" s="98"/>
      <c r="N1617" s="98"/>
      <c r="O1617" s="98"/>
      <c r="P1617" s="98"/>
      <c r="Q1617" s="98"/>
      <c r="R1617" s="99"/>
    </row>
    <row r="1618" spans="1:18" x14ac:dyDescent="0.35">
      <c r="A1618" s="88">
        <f t="shared" si="50"/>
        <v>0</v>
      </c>
      <c r="B1618" s="89"/>
      <c r="C1618" s="90">
        <f t="shared" si="51"/>
        <v>0</v>
      </c>
      <c r="D1618" s="97"/>
      <c r="E1618" s="98"/>
      <c r="F1618" s="98"/>
      <c r="G1618" s="98"/>
      <c r="H1618" s="98"/>
      <c r="I1618" s="98"/>
      <c r="J1618" s="98"/>
      <c r="K1618" s="98"/>
      <c r="L1618" s="98"/>
      <c r="M1618" s="98"/>
      <c r="N1618" s="98"/>
      <c r="O1618" s="98"/>
      <c r="P1618" s="98"/>
      <c r="Q1618" s="98"/>
      <c r="R1618" s="99"/>
    </row>
    <row r="1619" spans="1:18" x14ac:dyDescent="0.35">
      <c r="A1619" s="88">
        <f t="shared" si="50"/>
        <v>0</v>
      </c>
      <c r="B1619" s="89"/>
      <c r="C1619" s="90">
        <f t="shared" si="51"/>
        <v>0</v>
      </c>
      <c r="D1619" s="97"/>
      <c r="E1619" s="98"/>
      <c r="F1619" s="98"/>
      <c r="G1619" s="98"/>
      <c r="H1619" s="98"/>
      <c r="I1619" s="98"/>
      <c r="J1619" s="98"/>
      <c r="K1619" s="98"/>
      <c r="L1619" s="98"/>
      <c r="M1619" s="98"/>
      <c r="N1619" s="98"/>
      <c r="O1619" s="98"/>
      <c r="P1619" s="98"/>
      <c r="Q1619" s="98"/>
      <c r="R1619" s="99"/>
    </row>
    <row r="1620" spans="1:18" x14ac:dyDescent="0.35">
      <c r="A1620" s="88">
        <f t="shared" si="50"/>
        <v>0</v>
      </c>
      <c r="B1620" s="89"/>
      <c r="C1620" s="90">
        <f t="shared" si="51"/>
        <v>0</v>
      </c>
      <c r="D1620" s="97"/>
      <c r="E1620" s="98"/>
      <c r="F1620" s="98"/>
      <c r="G1620" s="98"/>
      <c r="H1620" s="98"/>
      <c r="I1620" s="98"/>
      <c r="J1620" s="98"/>
      <c r="K1620" s="98"/>
      <c r="L1620" s="98"/>
      <c r="M1620" s="98"/>
      <c r="N1620" s="98"/>
      <c r="O1620" s="98"/>
      <c r="P1620" s="98"/>
      <c r="Q1620" s="98"/>
      <c r="R1620" s="99"/>
    </row>
    <row r="1621" spans="1:18" x14ac:dyDescent="0.35">
      <c r="A1621" s="88">
        <f t="shared" si="50"/>
        <v>0</v>
      </c>
      <c r="B1621" s="89"/>
      <c r="C1621" s="90">
        <f t="shared" si="51"/>
        <v>0</v>
      </c>
      <c r="D1621" s="97"/>
      <c r="E1621" s="98"/>
      <c r="F1621" s="98"/>
      <c r="G1621" s="98"/>
      <c r="H1621" s="98"/>
      <c r="I1621" s="98"/>
      <c r="J1621" s="98"/>
      <c r="K1621" s="98"/>
      <c r="L1621" s="98"/>
      <c r="M1621" s="98"/>
      <c r="N1621" s="98"/>
      <c r="O1621" s="98"/>
      <c r="P1621" s="98"/>
      <c r="Q1621" s="98"/>
      <c r="R1621" s="99"/>
    </row>
    <row r="1622" spans="1:18" x14ac:dyDescent="0.35">
      <c r="A1622" s="88">
        <f t="shared" si="50"/>
        <v>0</v>
      </c>
      <c r="B1622" s="89"/>
      <c r="C1622" s="90">
        <f t="shared" si="51"/>
        <v>0</v>
      </c>
      <c r="D1622" s="97"/>
      <c r="E1622" s="98"/>
      <c r="F1622" s="98"/>
      <c r="G1622" s="98"/>
      <c r="H1622" s="98"/>
      <c r="I1622" s="98"/>
      <c r="J1622" s="98"/>
      <c r="K1622" s="98"/>
      <c r="L1622" s="98"/>
      <c r="M1622" s="98"/>
      <c r="N1622" s="98"/>
      <c r="O1622" s="98"/>
      <c r="P1622" s="98"/>
      <c r="Q1622" s="98"/>
      <c r="R1622" s="99"/>
    </row>
    <row r="1623" spans="1:18" x14ac:dyDescent="0.35">
      <c r="A1623" s="88">
        <f t="shared" si="50"/>
        <v>0</v>
      </c>
      <c r="B1623" s="89"/>
      <c r="C1623" s="90">
        <f t="shared" si="51"/>
        <v>0</v>
      </c>
      <c r="D1623" s="97"/>
      <c r="E1623" s="98"/>
      <c r="F1623" s="98"/>
      <c r="G1623" s="98"/>
      <c r="H1623" s="98"/>
      <c r="I1623" s="98"/>
      <c r="J1623" s="98"/>
      <c r="K1623" s="98"/>
      <c r="L1623" s="98"/>
      <c r="M1623" s="98"/>
      <c r="N1623" s="98"/>
      <c r="O1623" s="98"/>
      <c r="P1623" s="98"/>
      <c r="Q1623" s="98"/>
      <c r="R1623" s="99"/>
    </row>
    <row r="1624" spans="1:18" x14ac:dyDescent="0.35">
      <c r="A1624" s="88">
        <f t="shared" si="50"/>
        <v>0</v>
      </c>
      <c r="B1624" s="89"/>
      <c r="C1624" s="90">
        <f t="shared" si="51"/>
        <v>0</v>
      </c>
      <c r="D1624" s="97"/>
      <c r="E1624" s="98"/>
      <c r="F1624" s="98"/>
      <c r="G1624" s="98"/>
      <c r="H1624" s="98"/>
      <c r="I1624" s="98"/>
      <c r="J1624" s="98"/>
      <c r="K1624" s="98"/>
      <c r="L1624" s="98"/>
      <c r="M1624" s="98"/>
      <c r="N1624" s="98"/>
      <c r="O1624" s="98"/>
      <c r="P1624" s="98"/>
      <c r="Q1624" s="98"/>
      <c r="R1624" s="99"/>
    </row>
    <row r="1625" spans="1:18" x14ac:dyDescent="0.35">
      <c r="A1625" s="88">
        <f t="shared" si="50"/>
        <v>0</v>
      </c>
      <c r="B1625" s="89"/>
      <c r="C1625" s="90">
        <f t="shared" si="51"/>
        <v>0</v>
      </c>
      <c r="D1625" s="97"/>
      <c r="E1625" s="98"/>
      <c r="F1625" s="98"/>
      <c r="G1625" s="98"/>
      <c r="H1625" s="98"/>
      <c r="I1625" s="98"/>
      <c r="J1625" s="98"/>
      <c r="K1625" s="98"/>
      <c r="L1625" s="98"/>
      <c r="M1625" s="98"/>
      <c r="N1625" s="98"/>
      <c r="O1625" s="98"/>
      <c r="P1625" s="98"/>
      <c r="Q1625" s="98"/>
      <c r="R1625" s="99"/>
    </row>
    <row r="1626" spans="1:18" x14ac:dyDescent="0.35">
      <c r="A1626" s="88">
        <f t="shared" si="50"/>
        <v>0</v>
      </c>
      <c r="B1626" s="89"/>
      <c r="C1626" s="90">
        <f t="shared" si="51"/>
        <v>0</v>
      </c>
      <c r="D1626" s="97"/>
      <c r="E1626" s="98"/>
      <c r="F1626" s="98"/>
      <c r="G1626" s="98"/>
      <c r="H1626" s="98"/>
      <c r="I1626" s="98"/>
      <c r="J1626" s="98"/>
      <c r="K1626" s="98"/>
      <c r="L1626" s="98"/>
      <c r="M1626" s="98"/>
      <c r="N1626" s="98"/>
      <c r="O1626" s="98"/>
      <c r="P1626" s="98"/>
      <c r="Q1626" s="98"/>
      <c r="R1626" s="99"/>
    </row>
    <row r="1627" spans="1:18" x14ac:dyDescent="0.35">
      <c r="A1627" s="88">
        <f t="shared" si="50"/>
        <v>0</v>
      </c>
      <c r="B1627" s="89"/>
      <c r="C1627" s="90">
        <f t="shared" si="51"/>
        <v>0</v>
      </c>
      <c r="D1627" s="97"/>
      <c r="E1627" s="98"/>
      <c r="F1627" s="98"/>
      <c r="G1627" s="98"/>
      <c r="H1627" s="98"/>
      <c r="I1627" s="98"/>
      <c r="J1627" s="98"/>
      <c r="K1627" s="98"/>
      <c r="L1627" s="98"/>
      <c r="M1627" s="98"/>
      <c r="N1627" s="98"/>
      <c r="O1627" s="98"/>
      <c r="P1627" s="98"/>
      <c r="Q1627" s="98"/>
      <c r="R1627" s="99"/>
    </row>
    <row r="1628" spans="1:18" x14ac:dyDescent="0.35">
      <c r="A1628" s="88">
        <f t="shared" si="50"/>
        <v>0</v>
      </c>
      <c r="B1628" s="89"/>
      <c r="C1628" s="90">
        <f t="shared" si="51"/>
        <v>0</v>
      </c>
      <c r="D1628" s="97"/>
      <c r="E1628" s="98"/>
      <c r="F1628" s="98"/>
      <c r="G1628" s="98"/>
      <c r="H1628" s="98"/>
      <c r="I1628" s="98"/>
      <c r="J1628" s="98"/>
      <c r="K1628" s="98"/>
      <c r="L1628" s="98"/>
      <c r="M1628" s="98"/>
      <c r="N1628" s="98"/>
      <c r="O1628" s="98"/>
      <c r="P1628" s="98"/>
      <c r="Q1628" s="98"/>
      <c r="R1628" s="99"/>
    </row>
    <row r="1629" spans="1:18" x14ac:dyDescent="0.35">
      <c r="A1629" s="88">
        <f t="shared" si="50"/>
        <v>0</v>
      </c>
      <c r="B1629" s="89"/>
      <c r="C1629" s="90">
        <f t="shared" si="51"/>
        <v>0</v>
      </c>
      <c r="D1629" s="97"/>
      <c r="E1629" s="98"/>
      <c r="F1629" s="98"/>
      <c r="G1629" s="98"/>
      <c r="H1629" s="98"/>
      <c r="I1629" s="98"/>
      <c r="J1629" s="98"/>
      <c r="K1629" s="98"/>
      <c r="L1629" s="98"/>
      <c r="M1629" s="98"/>
      <c r="N1629" s="98"/>
      <c r="O1629" s="98"/>
      <c r="P1629" s="98"/>
      <c r="Q1629" s="98"/>
      <c r="R1629" s="99"/>
    </row>
    <row r="1630" spans="1:18" x14ac:dyDescent="0.35">
      <c r="A1630" s="88">
        <f t="shared" si="50"/>
        <v>0</v>
      </c>
      <c r="B1630" s="89"/>
      <c r="C1630" s="90">
        <f t="shared" si="51"/>
        <v>0</v>
      </c>
      <c r="D1630" s="97"/>
      <c r="E1630" s="98"/>
      <c r="F1630" s="98"/>
      <c r="G1630" s="98"/>
      <c r="H1630" s="98"/>
      <c r="I1630" s="98"/>
      <c r="J1630" s="98"/>
      <c r="K1630" s="98"/>
      <c r="L1630" s="98"/>
      <c r="M1630" s="98"/>
      <c r="N1630" s="98"/>
      <c r="O1630" s="98"/>
      <c r="P1630" s="98"/>
      <c r="Q1630" s="98"/>
      <c r="R1630" s="99"/>
    </row>
    <row r="1631" spans="1:18" x14ac:dyDescent="0.35">
      <c r="A1631" s="88">
        <f t="shared" si="50"/>
        <v>0</v>
      </c>
      <c r="B1631" s="89"/>
      <c r="C1631" s="90">
        <f t="shared" si="51"/>
        <v>0</v>
      </c>
      <c r="D1631" s="97"/>
      <c r="E1631" s="98"/>
      <c r="F1631" s="98"/>
      <c r="G1631" s="98"/>
      <c r="H1631" s="98"/>
      <c r="I1631" s="98"/>
      <c r="J1631" s="98"/>
      <c r="K1631" s="98"/>
      <c r="L1631" s="98"/>
      <c r="M1631" s="98"/>
      <c r="N1631" s="98"/>
      <c r="O1631" s="98"/>
      <c r="P1631" s="98"/>
      <c r="Q1631" s="98"/>
      <c r="R1631" s="99"/>
    </row>
    <row r="1632" spans="1:18" x14ac:dyDescent="0.35">
      <c r="A1632" s="88">
        <f t="shared" si="50"/>
        <v>0</v>
      </c>
      <c r="B1632" s="89"/>
      <c r="C1632" s="90">
        <f t="shared" si="51"/>
        <v>0</v>
      </c>
      <c r="D1632" s="97"/>
      <c r="E1632" s="98"/>
      <c r="F1632" s="98"/>
      <c r="G1632" s="98"/>
      <c r="H1632" s="98"/>
      <c r="I1632" s="98"/>
      <c r="J1632" s="98"/>
      <c r="K1632" s="98"/>
      <c r="L1632" s="98"/>
      <c r="M1632" s="98"/>
      <c r="N1632" s="98"/>
      <c r="O1632" s="98"/>
      <c r="P1632" s="98"/>
      <c r="Q1632" s="98"/>
      <c r="R1632" s="99"/>
    </row>
    <row r="1633" spans="1:18" x14ac:dyDescent="0.35">
      <c r="A1633" s="88">
        <f t="shared" si="50"/>
        <v>0</v>
      </c>
      <c r="B1633" s="89"/>
      <c r="C1633" s="90">
        <f t="shared" si="51"/>
        <v>0</v>
      </c>
      <c r="D1633" s="97"/>
      <c r="E1633" s="98"/>
      <c r="F1633" s="98"/>
      <c r="G1633" s="98"/>
      <c r="H1633" s="98"/>
      <c r="I1633" s="98"/>
      <c r="J1633" s="98"/>
      <c r="K1633" s="98"/>
      <c r="L1633" s="98"/>
      <c r="M1633" s="98"/>
      <c r="N1633" s="98"/>
      <c r="O1633" s="98"/>
      <c r="P1633" s="98"/>
      <c r="Q1633" s="98"/>
      <c r="R1633" s="99"/>
    </row>
    <row r="1634" spans="1:18" x14ac:dyDescent="0.35">
      <c r="A1634" s="88">
        <f t="shared" si="50"/>
        <v>0</v>
      </c>
      <c r="B1634" s="89"/>
      <c r="C1634" s="90">
        <f t="shared" si="51"/>
        <v>0</v>
      </c>
      <c r="D1634" s="97"/>
      <c r="E1634" s="98"/>
      <c r="F1634" s="98"/>
      <c r="G1634" s="98"/>
      <c r="H1634" s="98"/>
      <c r="I1634" s="98"/>
      <c r="J1634" s="98"/>
      <c r="K1634" s="98"/>
      <c r="L1634" s="98"/>
      <c r="M1634" s="98"/>
      <c r="N1634" s="98"/>
      <c r="O1634" s="98"/>
      <c r="P1634" s="98"/>
      <c r="Q1634" s="98"/>
      <c r="R1634" s="99"/>
    </row>
    <row r="1635" spans="1:18" x14ac:dyDescent="0.35">
      <c r="A1635" s="88">
        <f t="shared" si="50"/>
        <v>0</v>
      </c>
      <c r="B1635" s="89"/>
      <c r="C1635" s="90">
        <f t="shared" si="51"/>
        <v>0</v>
      </c>
      <c r="D1635" s="97"/>
      <c r="E1635" s="98"/>
      <c r="F1635" s="98"/>
      <c r="G1635" s="98"/>
      <c r="H1635" s="98"/>
      <c r="I1635" s="98"/>
      <c r="J1635" s="98"/>
      <c r="K1635" s="98"/>
      <c r="L1635" s="98"/>
      <c r="M1635" s="98"/>
      <c r="N1635" s="98"/>
      <c r="O1635" s="98"/>
      <c r="P1635" s="98"/>
      <c r="Q1635" s="98"/>
      <c r="R1635" s="99"/>
    </row>
    <row r="1636" spans="1:18" x14ac:dyDescent="0.35">
      <c r="A1636" s="88">
        <f t="shared" si="50"/>
        <v>0</v>
      </c>
      <c r="B1636" s="89"/>
      <c r="C1636" s="90">
        <f t="shared" si="51"/>
        <v>0</v>
      </c>
      <c r="D1636" s="97"/>
      <c r="E1636" s="98"/>
      <c r="F1636" s="98"/>
      <c r="G1636" s="98"/>
      <c r="H1636" s="98"/>
      <c r="I1636" s="98"/>
      <c r="J1636" s="98"/>
      <c r="K1636" s="98"/>
      <c r="L1636" s="98"/>
      <c r="M1636" s="98"/>
      <c r="N1636" s="98"/>
      <c r="O1636" s="98"/>
      <c r="P1636" s="98"/>
      <c r="Q1636" s="98"/>
      <c r="R1636" s="99"/>
    </row>
    <row r="1637" spans="1:18" x14ac:dyDescent="0.35">
      <c r="A1637" s="88">
        <f t="shared" si="50"/>
        <v>0</v>
      </c>
      <c r="B1637" s="89"/>
      <c r="C1637" s="90">
        <f t="shared" si="51"/>
        <v>0</v>
      </c>
      <c r="D1637" s="97"/>
      <c r="E1637" s="98"/>
      <c r="F1637" s="98"/>
      <c r="G1637" s="98"/>
      <c r="H1637" s="98"/>
      <c r="I1637" s="98"/>
      <c r="J1637" s="98"/>
      <c r="K1637" s="98"/>
      <c r="L1637" s="98"/>
      <c r="M1637" s="98"/>
      <c r="N1637" s="98"/>
      <c r="O1637" s="98"/>
      <c r="P1637" s="98"/>
      <c r="Q1637" s="98"/>
      <c r="R1637" s="99"/>
    </row>
    <row r="1638" spans="1:18" x14ac:dyDescent="0.35">
      <c r="A1638" s="88">
        <f t="shared" si="50"/>
        <v>0</v>
      </c>
      <c r="B1638" s="89"/>
      <c r="C1638" s="90">
        <f t="shared" si="51"/>
        <v>0</v>
      </c>
      <c r="D1638" s="97"/>
      <c r="E1638" s="98"/>
      <c r="F1638" s="98"/>
      <c r="G1638" s="98"/>
      <c r="H1638" s="98"/>
      <c r="I1638" s="98"/>
      <c r="J1638" s="98"/>
      <c r="K1638" s="98"/>
      <c r="L1638" s="98"/>
      <c r="M1638" s="98"/>
      <c r="N1638" s="98"/>
      <c r="O1638" s="98"/>
      <c r="P1638" s="98"/>
      <c r="Q1638" s="98"/>
      <c r="R1638" s="99"/>
    </row>
    <row r="1639" spans="1:18" x14ac:dyDescent="0.35">
      <c r="A1639" s="88">
        <f t="shared" si="50"/>
        <v>0</v>
      </c>
      <c r="B1639" s="89"/>
      <c r="C1639" s="90">
        <f t="shared" si="51"/>
        <v>0</v>
      </c>
      <c r="D1639" s="97"/>
      <c r="E1639" s="98"/>
      <c r="F1639" s="98"/>
      <c r="G1639" s="98"/>
      <c r="H1639" s="98"/>
      <c r="I1639" s="98"/>
      <c r="J1639" s="98"/>
      <c r="K1639" s="98"/>
      <c r="L1639" s="98"/>
      <c r="M1639" s="98"/>
      <c r="N1639" s="98"/>
      <c r="O1639" s="98"/>
      <c r="P1639" s="98"/>
      <c r="Q1639" s="98"/>
      <c r="R1639" s="99"/>
    </row>
    <row r="1640" spans="1:18" x14ac:dyDescent="0.35">
      <c r="A1640" s="88">
        <f t="shared" si="50"/>
        <v>0</v>
      </c>
      <c r="B1640" s="89"/>
      <c r="C1640" s="90">
        <f t="shared" si="51"/>
        <v>0</v>
      </c>
      <c r="D1640" s="97"/>
      <c r="E1640" s="98"/>
      <c r="F1640" s="98"/>
      <c r="G1640" s="98"/>
      <c r="H1640" s="98"/>
      <c r="I1640" s="98"/>
      <c r="J1640" s="98"/>
      <c r="K1640" s="98"/>
      <c r="L1640" s="98"/>
      <c r="M1640" s="98"/>
      <c r="N1640" s="98"/>
      <c r="O1640" s="98"/>
      <c r="P1640" s="98"/>
      <c r="Q1640" s="98"/>
      <c r="R1640" s="99"/>
    </row>
    <row r="1641" spans="1:18" x14ac:dyDescent="0.35">
      <c r="A1641" s="88">
        <f t="shared" si="50"/>
        <v>0</v>
      </c>
      <c r="B1641" s="89"/>
      <c r="C1641" s="90">
        <f t="shared" si="51"/>
        <v>0</v>
      </c>
      <c r="D1641" s="97"/>
      <c r="E1641" s="98"/>
      <c r="F1641" s="98"/>
      <c r="G1641" s="98"/>
      <c r="H1641" s="98"/>
      <c r="I1641" s="98"/>
      <c r="J1641" s="98"/>
      <c r="K1641" s="98"/>
      <c r="L1641" s="98"/>
      <c r="M1641" s="98"/>
      <c r="N1641" s="98"/>
      <c r="O1641" s="98"/>
      <c r="P1641" s="98"/>
      <c r="Q1641" s="98"/>
      <c r="R1641" s="99"/>
    </row>
    <row r="1642" spans="1:18" x14ac:dyDescent="0.35">
      <c r="A1642" s="88">
        <f t="shared" si="50"/>
        <v>0</v>
      </c>
      <c r="B1642" s="89"/>
      <c r="C1642" s="90">
        <f t="shared" si="51"/>
        <v>0</v>
      </c>
      <c r="D1642" s="97"/>
      <c r="E1642" s="98"/>
      <c r="F1642" s="98"/>
      <c r="G1642" s="98"/>
      <c r="H1642" s="98"/>
      <c r="I1642" s="98"/>
      <c r="J1642" s="98"/>
      <c r="K1642" s="98"/>
      <c r="L1642" s="98"/>
      <c r="M1642" s="98"/>
      <c r="N1642" s="98"/>
      <c r="O1642" s="98"/>
      <c r="P1642" s="98"/>
      <c r="Q1642" s="98"/>
      <c r="R1642" s="99"/>
    </row>
    <row r="1643" spans="1:18" x14ac:dyDescent="0.35">
      <c r="A1643" s="88">
        <f t="shared" si="50"/>
        <v>0</v>
      </c>
      <c r="B1643" s="89"/>
      <c r="C1643" s="90">
        <f t="shared" si="51"/>
        <v>0</v>
      </c>
      <c r="D1643" s="97"/>
      <c r="E1643" s="98"/>
      <c r="F1643" s="98"/>
      <c r="G1643" s="98"/>
      <c r="H1643" s="98"/>
      <c r="I1643" s="98"/>
      <c r="J1643" s="98"/>
      <c r="K1643" s="98"/>
      <c r="L1643" s="98"/>
      <c r="M1643" s="98"/>
      <c r="N1643" s="98"/>
      <c r="O1643" s="98"/>
      <c r="P1643" s="98"/>
      <c r="Q1643" s="98"/>
      <c r="R1643" s="99"/>
    </row>
    <row r="1644" spans="1:18" x14ac:dyDescent="0.35">
      <c r="A1644" s="88">
        <f t="shared" si="50"/>
        <v>0</v>
      </c>
      <c r="B1644" s="89"/>
      <c r="C1644" s="90">
        <f t="shared" si="51"/>
        <v>0</v>
      </c>
      <c r="D1644" s="97"/>
      <c r="E1644" s="98"/>
      <c r="F1644" s="98"/>
      <c r="G1644" s="98"/>
      <c r="H1644" s="98"/>
      <c r="I1644" s="98"/>
      <c r="J1644" s="98"/>
      <c r="K1644" s="98"/>
      <c r="L1644" s="98"/>
      <c r="M1644" s="98"/>
      <c r="N1644" s="98"/>
      <c r="O1644" s="98"/>
      <c r="P1644" s="98"/>
      <c r="Q1644" s="98"/>
      <c r="R1644" s="99"/>
    </row>
    <row r="1645" spans="1:18" x14ac:dyDescent="0.35">
      <c r="A1645" s="88">
        <f t="shared" si="50"/>
        <v>0</v>
      </c>
      <c r="B1645" s="89"/>
      <c r="C1645" s="90">
        <f t="shared" si="51"/>
        <v>0</v>
      </c>
      <c r="D1645" s="97"/>
      <c r="E1645" s="98"/>
      <c r="F1645" s="98"/>
      <c r="G1645" s="98"/>
      <c r="H1645" s="98"/>
      <c r="I1645" s="98"/>
      <c r="J1645" s="98"/>
      <c r="K1645" s="98"/>
      <c r="L1645" s="98"/>
      <c r="M1645" s="98"/>
      <c r="N1645" s="98"/>
      <c r="O1645" s="98"/>
      <c r="P1645" s="98"/>
      <c r="Q1645" s="98"/>
      <c r="R1645" s="99"/>
    </row>
    <row r="1646" spans="1:18" x14ac:dyDescent="0.35">
      <c r="A1646" s="88">
        <f t="shared" si="50"/>
        <v>0</v>
      </c>
      <c r="B1646" s="89"/>
      <c r="C1646" s="90">
        <f t="shared" si="51"/>
        <v>0</v>
      </c>
      <c r="D1646" s="97"/>
      <c r="E1646" s="98"/>
      <c r="F1646" s="98"/>
      <c r="G1646" s="98"/>
      <c r="H1646" s="98"/>
      <c r="I1646" s="98"/>
      <c r="J1646" s="98"/>
      <c r="K1646" s="98"/>
      <c r="L1646" s="98"/>
      <c r="M1646" s="98"/>
      <c r="N1646" s="98"/>
      <c r="O1646" s="98"/>
      <c r="P1646" s="98"/>
      <c r="Q1646" s="98"/>
      <c r="R1646" s="99"/>
    </row>
    <row r="1647" spans="1:18" x14ac:dyDescent="0.35">
      <c r="A1647" s="88">
        <f t="shared" si="50"/>
        <v>0</v>
      </c>
      <c r="B1647" s="89"/>
      <c r="C1647" s="90">
        <f t="shared" si="51"/>
        <v>0</v>
      </c>
      <c r="D1647" s="97"/>
      <c r="E1647" s="98"/>
      <c r="F1647" s="98"/>
      <c r="G1647" s="98"/>
      <c r="H1647" s="98"/>
      <c r="I1647" s="98"/>
      <c r="J1647" s="98"/>
      <c r="K1647" s="98"/>
      <c r="L1647" s="98"/>
      <c r="M1647" s="98"/>
      <c r="N1647" s="98"/>
      <c r="O1647" s="98"/>
      <c r="P1647" s="98"/>
      <c r="Q1647" s="98"/>
      <c r="R1647" s="99"/>
    </row>
    <row r="1648" spans="1:18" x14ac:dyDescent="0.35">
      <c r="A1648" s="88">
        <f t="shared" si="50"/>
        <v>0</v>
      </c>
      <c r="B1648" s="89"/>
      <c r="C1648" s="90">
        <f t="shared" si="51"/>
        <v>0</v>
      </c>
      <c r="D1648" s="97"/>
      <c r="E1648" s="98"/>
      <c r="F1648" s="98"/>
      <c r="G1648" s="98"/>
      <c r="H1648" s="98"/>
      <c r="I1648" s="98"/>
      <c r="J1648" s="98"/>
      <c r="K1648" s="98"/>
      <c r="L1648" s="98"/>
      <c r="M1648" s="98"/>
      <c r="N1648" s="98"/>
      <c r="O1648" s="98"/>
      <c r="P1648" s="98"/>
      <c r="Q1648" s="98"/>
      <c r="R1648" s="99"/>
    </row>
    <row r="1649" spans="1:18" x14ac:dyDescent="0.35">
      <c r="A1649" s="88">
        <f t="shared" si="50"/>
        <v>0</v>
      </c>
      <c r="B1649" s="89"/>
      <c r="C1649" s="90">
        <f t="shared" si="51"/>
        <v>0</v>
      </c>
      <c r="D1649" s="97"/>
      <c r="E1649" s="98"/>
      <c r="F1649" s="98"/>
      <c r="G1649" s="98"/>
      <c r="H1649" s="98"/>
      <c r="I1649" s="98"/>
      <c r="J1649" s="98"/>
      <c r="K1649" s="98"/>
      <c r="L1649" s="98"/>
      <c r="M1649" s="98"/>
      <c r="N1649" s="98"/>
      <c r="O1649" s="98"/>
      <c r="P1649" s="98"/>
      <c r="Q1649" s="98"/>
      <c r="R1649" s="99"/>
    </row>
    <row r="1650" spans="1:18" x14ac:dyDescent="0.35">
      <c r="A1650" s="88">
        <f t="shared" si="50"/>
        <v>0</v>
      </c>
      <c r="B1650" s="89"/>
      <c r="C1650" s="90">
        <f t="shared" si="51"/>
        <v>0</v>
      </c>
      <c r="D1650" s="97"/>
      <c r="E1650" s="98"/>
      <c r="F1650" s="98"/>
      <c r="G1650" s="98"/>
      <c r="H1650" s="98"/>
      <c r="I1650" s="98"/>
      <c r="J1650" s="98"/>
      <c r="K1650" s="98"/>
      <c r="L1650" s="98"/>
      <c r="M1650" s="98"/>
      <c r="N1650" s="98"/>
      <c r="O1650" s="98"/>
      <c r="P1650" s="98"/>
      <c r="Q1650" s="98"/>
      <c r="R1650" s="99"/>
    </row>
    <row r="1651" spans="1:18" x14ac:dyDescent="0.35">
      <c r="A1651" s="88">
        <f t="shared" si="50"/>
        <v>0</v>
      </c>
      <c r="B1651" s="89"/>
      <c r="C1651" s="90">
        <f t="shared" si="51"/>
        <v>0</v>
      </c>
      <c r="D1651" s="97"/>
      <c r="E1651" s="98"/>
      <c r="F1651" s="98"/>
      <c r="G1651" s="98"/>
      <c r="H1651" s="98"/>
      <c r="I1651" s="98"/>
      <c r="J1651" s="98"/>
      <c r="K1651" s="98"/>
      <c r="L1651" s="98"/>
      <c r="M1651" s="98"/>
      <c r="N1651" s="98"/>
      <c r="O1651" s="98"/>
      <c r="P1651" s="98"/>
      <c r="Q1651" s="98"/>
      <c r="R1651" s="99"/>
    </row>
    <row r="1652" spans="1:18" x14ac:dyDescent="0.35">
      <c r="A1652" s="88">
        <f t="shared" si="50"/>
        <v>0</v>
      </c>
      <c r="B1652" s="89"/>
      <c r="C1652" s="90">
        <f t="shared" si="51"/>
        <v>0</v>
      </c>
      <c r="D1652" s="97"/>
      <c r="E1652" s="98"/>
      <c r="F1652" s="98"/>
      <c r="G1652" s="98"/>
      <c r="H1652" s="98"/>
      <c r="I1652" s="98"/>
      <c r="J1652" s="98"/>
      <c r="K1652" s="98"/>
      <c r="L1652" s="98"/>
      <c r="M1652" s="98"/>
      <c r="N1652" s="98"/>
      <c r="O1652" s="98"/>
      <c r="P1652" s="98"/>
      <c r="Q1652" s="98"/>
      <c r="R1652" s="99"/>
    </row>
    <row r="1653" spans="1:18" x14ac:dyDescent="0.35">
      <c r="A1653" s="88">
        <f t="shared" si="50"/>
        <v>0</v>
      </c>
      <c r="B1653" s="89"/>
      <c r="C1653" s="90">
        <f t="shared" si="51"/>
        <v>0</v>
      </c>
      <c r="D1653" s="97"/>
      <c r="E1653" s="98"/>
      <c r="F1653" s="98"/>
      <c r="G1653" s="98"/>
      <c r="H1653" s="98"/>
      <c r="I1653" s="98"/>
      <c r="J1653" s="98"/>
      <c r="K1653" s="98"/>
      <c r="L1653" s="98"/>
      <c r="M1653" s="98"/>
      <c r="N1653" s="98"/>
      <c r="O1653" s="98"/>
      <c r="P1653" s="98"/>
      <c r="Q1653" s="98"/>
      <c r="R1653" s="99"/>
    </row>
    <row r="1654" spans="1:18" x14ac:dyDescent="0.35">
      <c r="A1654" s="88">
        <f t="shared" si="50"/>
        <v>0</v>
      </c>
      <c r="B1654" s="89"/>
      <c r="C1654" s="90">
        <f t="shared" si="51"/>
        <v>0</v>
      </c>
      <c r="D1654" s="97"/>
      <c r="E1654" s="98"/>
      <c r="F1654" s="98"/>
      <c r="G1654" s="98"/>
      <c r="H1654" s="98"/>
      <c r="I1654" s="98"/>
      <c r="J1654" s="98"/>
      <c r="K1654" s="98"/>
      <c r="L1654" s="98"/>
      <c r="M1654" s="98"/>
      <c r="N1654" s="98"/>
      <c r="O1654" s="98"/>
      <c r="P1654" s="98"/>
      <c r="Q1654" s="98"/>
      <c r="R1654" s="99"/>
    </row>
    <row r="1655" spans="1:18" x14ac:dyDescent="0.35">
      <c r="A1655" s="88">
        <f t="shared" si="50"/>
        <v>0</v>
      </c>
      <c r="B1655" s="89"/>
      <c r="C1655" s="90">
        <f t="shared" si="51"/>
        <v>0</v>
      </c>
      <c r="D1655" s="97"/>
      <c r="E1655" s="98"/>
      <c r="F1655" s="98"/>
      <c r="G1655" s="98"/>
      <c r="H1655" s="98"/>
      <c r="I1655" s="98"/>
      <c r="J1655" s="98"/>
      <c r="K1655" s="98"/>
      <c r="L1655" s="98"/>
      <c r="M1655" s="98"/>
      <c r="N1655" s="98"/>
      <c r="O1655" s="98"/>
      <c r="P1655" s="98"/>
      <c r="Q1655" s="98"/>
      <c r="R1655" s="99"/>
    </row>
    <row r="1656" spans="1:18" x14ac:dyDescent="0.35">
      <c r="A1656" s="88">
        <f t="shared" si="50"/>
        <v>0</v>
      </c>
      <c r="B1656" s="89"/>
      <c r="C1656" s="90">
        <f t="shared" si="51"/>
        <v>0</v>
      </c>
      <c r="D1656" s="97"/>
      <c r="E1656" s="98"/>
      <c r="F1656" s="98"/>
      <c r="G1656" s="98"/>
      <c r="H1656" s="98"/>
      <c r="I1656" s="98"/>
      <c r="J1656" s="98"/>
      <c r="K1656" s="98"/>
      <c r="L1656" s="98"/>
      <c r="M1656" s="98"/>
      <c r="N1656" s="98"/>
      <c r="O1656" s="98"/>
      <c r="P1656" s="98"/>
      <c r="Q1656" s="98"/>
      <c r="R1656" s="99"/>
    </row>
    <row r="1657" spans="1:18" x14ac:dyDescent="0.35">
      <c r="A1657" s="88">
        <f t="shared" si="50"/>
        <v>0</v>
      </c>
      <c r="B1657" s="89"/>
      <c r="C1657" s="90">
        <f t="shared" si="51"/>
        <v>0</v>
      </c>
      <c r="D1657" s="97"/>
      <c r="E1657" s="98"/>
      <c r="F1657" s="98"/>
      <c r="G1657" s="98"/>
      <c r="H1657" s="98"/>
      <c r="I1657" s="98"/>
      <c r="J1657" s="98"/>
      <c r="K1657" s="98"/>
      <c r="L1657" s="98"/>
      <c r="M1657" s="98"/>
      <c r="N1657" s="98"/>
      <c r="O1657" s="98"/>
      <c r="P1657" s="98"/>
      <c r="Q1657" s="98"/>
      <c r="R1657" s="99"/>
    </row>
    <row r="1658" spans="1:18" x14ac:dyDescent="0.35">
      <c r="A1658" s="88">
        <f t="shared" si="50"/>
        <v>0</v>
      </c>
      <c r="B1658" s="89"/>
      <c r="C1658" s="90">
        <f t="shared" si="51"/>
        <v>0</v>
      </c>
      <c r="D1658" s="97"/>
      <c r="E1658" s="98"/>
      <c r="F1658" s="98"/>
      <c r="G1658" s="98"/>
      <c r="H1658" s="98"/>
      <c r="I1658" s="98"/>
      <c r="J1658" s="98"/>
      <c r="K1658" s="98"/>
      <c r="L1658" s="98"/>
      <c r="M1658" s="98"/>
      <c r="N1658" s="98"/>
      <c r="O1658" s="98"/>
      <c r="P1658" s="98"/>
      <c r="Q1658" s="98"/>
      <c r="R1658" s="99"/>
    </row>
    <row r="1659" spans="1:18" x14ac:dyDescent="0.35">
      <c r="A1659" s="88">
        <f t="shared" si="50"/>
        <v>0</v>
      </c>
      <c r="B1659" s="89"/>
      <c r="C1659" s="90">
        <f t="shared" si="51"/>
        <v>0</v>
      </c>
      <c r="D1659" s="97"/>
      <c r="E1659" s="98"/>
      <c r="F1659" s="98"/>
      <c r="G1659" s="98"/>
      <c r="H1659" s="98"/>
      <c r="I1659" s="98"/>
      <c r="J1659" s="98"/>
      <c r="K1659" s="98"/>
      <c r="L1659" s="98"/>
      <c r="M1659" s="98"/>
      <c r="N1659" s="98"/>
      <c r="O1659" s="98"/>
      <c r="P1659" s="98"/>
      <c r="Q1659" s="98"/>
      <c r="R1659" s="99"/>
    </row>
    <row r="1660" spans="1:18" x14ac:dyDescent="0.35">
      <c r="A1660" s="88">
        <f t="shared" si="50"/>
        <v>0</v>
      </c>
      <c r="B1660" s="89"/>
      <c r="C1660" s="90">
        <f t="shared" si="51"/>
        <v>0</v>
      </c>
      <c r="D1660" s="97"/>
      <c r="E1660" s="98"/>
      <c r="F1660" s="98"/>
      <c r="G1660" s="98"/>
      <c r="H1660" s="98"/>
      <c r="I1660" s="98"/>
      <c r="J1660" s="98"/>
      <c r="K1660" s="98"/>
      <c r="L1660" s="98"/>
      <c r="M1660" s="98"/>
      <c r="N1660" s="98"/>
      <c r="O1660" s="98"/>
      <c r="P1660" s="98"/>
      <c r="Q1660" s="98"/>
      <c r="R1660" s="99"/>
    </row>
    <row r="1661" spans="1:18" x14ac:dyDescent="0.35">
      <c r="A1661" s="88">
        <f t="shared" si="50"/>
        <v>0</v>
      </c>
      <c r="B1661" s="89"/>
      <c r="C1661" s="90">
        <f t="shared" si="51"/>
        <v>0</v>
      </c>
      <c r="D1661" s="97"/>
      <c r="E1661" s="98"/>
      <c r="F1661" s="98"/>
      <c r="G1661" s="98"/>
      <c r="H1661" s="98"/>
      <c r="I1661" s="98"/>
      <c r="J1661" s="98"/>
      <c r="K1661" s="98"/>
      <c r="L1661" s="98"/>
      <c r="M1661" s="98"/>
      <c r="N1661" s="98"/>
      <c r="O1661" s="98"/>
      <c r="P1661" s="98"/>
      <c r="Q1661" s="98"/>
      <c r="R1661" s="99"/>
    </row>
    <row r="1662" spans="1:18" x14ac:dyDescent="0.35">
      <c r="A1662" s="88">
        <f t="shared" si="50"/>
        <v>0</v>
      </c>
      <c r="B1662" s="89"/>
      <c r="C1662" s="90">
        <f t="shared" si="51"/>
        <v>0</v>
      </c>
      <c r="D1662" s="97"/>
      <c r="E1662" s="98"/>
      <c r="F1662" s="98"/>
      <c r="G1662" s="98"/>
      <c r="H1662" s="98"/>
      <c r="I1662" s="98"/>
      <c r="J1662" s="98"/>
      <c r="K1662" s="98"/>
      <c r="L1662" s="98"/>
      <c r="M1662" s="98"/>
      <c r="N1662" s="98"/>
      <c r="O1662" s="98"/>
      <c r="P1662" s="98"/>
      <c r="Q1662" s="98"/>
      <c r="R1662" s="99"/>
    </row>
    <row r="1663" spans="1:18" x14ac:dyDescent="0.35">
      <c r="A1663" s="88">
        <f t="shared" si="50"/>
        <v>0</v>
      </c>
      <c r="B1663" s="89"/>
      <c r="C1663" s="90">
        <f t="shared" si="51"/>
        <v>0</v>
      </c>
      <c r="D1663" s="97"/>
      <c r="E1663" s="98"/>
      <c r="F1663" s="98"/>
      <c r="G1663" s="98"/>
      <c r="H1663" s="98"/>
      <c r="I1663" s="98"/>
      <c r="J1663" s="98"/>
      <c r="K1663" s="98"/>
      <c r="L1663" s="98"/>
      <c r="M1663" s="98"/>
      <c r="N1663" s="98"/>
      <c r="O1663" s="98"/>
      <c r="P1663" s="98"/>
      <c r="Q1663" s="98"/>
      <c r="R1663" s="99"/>
    </row>
    <row r="1664" spans="1:18" x14ac:dyDescent="0.35">
      <c r="A1664" s="88">
        <f t="shared" si="50"/>
        <v>0</v>
      </c>
      <c r="B1664" s="89"/>
      <c r="C1664" s="90">
        <f t="shared" si="51"/>
        <v>0</v>
      </c>
      <c r="D1664" s="97"/>
      <c r="E1664" s="98"/>
      <c r="F1664" s="98"/>
      <c r="G1664" s="98"/>
      <c r="H1664" s="98"/>
      <c r="I1664" s="98"/>
      <c r="J1664" s="98"/>
      <c r="K1664" s="98"/>
      <c r="L1664" s="98"/>
      <c r="M1664" s="98"/>
      <c r="N1664" s="98"/>
      <c r="O1664" s="98"/>
      <c r="P1664" s="98"/>
      <c r="Q1664" s="98"/>
      <c r="R1664" s="99"/>
    </row>
    <row r="1665" spans="1:18" x14ac:dyDescent="0.35">
      <c r="A1665" s="88">
        <f t="shared" si="50"/>
        <v>0</v>
      </c>
      <c r="B1665" s="89"/>
      <c r="C1665" s="90">
        <f t="shared" si="51"/>
        <v>0</v>
      </c>
      <c r="D1665" s="97"/>
      <c r="E1665" s="98"/>
      <c r="F1665" s="98"/>
      <c r="G1665" s="98"/>
      <c r="H1665" s="98"/>
      <c r="I1665" s="98"/>
      <c r="J1665" s="98"/>
      <c r="K1665" s="98"/>
      <c r="L1665" s="98"/>
      <c r="M1665" s="98"/>
      <c r="N1665" s="98"/>
      <c r="O1665" s="98"/>
      <c r="P1665" s="98"/>
      <c r="Q1665" s="98"/>
      <c r="R1665" s="99"/>
    </row>
    <row r="1666" spans="1:18" x14ac:dyDescent="0.35">
      <c r="A1666" s="88">
        <f t="shared" si="50"/>
        <v>0</v>
      </c>
      <c r="B1666" s="89"/>
      <c r="C1666" s="90">
        <f t="shared" si="51"/>
        <v>0</v>
      </c>
      <c r="D1666" s="97"/>
      <c r="E1666" s="98"/>
      <c r="F1666" s="98"/>
      <c r="G1666" s="98"/>
      <c r="H1666" s="98"/>
      <c r="I1666" s="98"/>
      <c r="J1666" s="98"/>
      <c r="K1666" s="98"/>
      <c r="L1666" s="98"/>
      <c r="M1666" s="98"/>
      <c r="N1666" s="98"/>
      <c r="O1666" s="98"/>
      <c r="P1666" s="98"/>
      <c r="Q1666" s="98"/>
      <c r="R1666" s="99"/>
    </row>
    <row r="1667" spans="1:18" x14ac:dyDescent="0.35">
      <c r="A1667" s="88">
        <f t="shared" si="50"/>
        <v>0</v>
      </c>
      <c r="B1667" s="89"/>
      <c r="C1667" s="90">
        <f t="shared" si="51"/>
        <v>0</v>
      </c>
      <c r="D1667" s="97"/>
      <c r="E1667" s="98"/>
      <c r="F1667" s="98"/>
      <c r="G1667" s="98"/>
      <c r="H1667" s="98"/>
      <c r="I1667" s="98"/>
      <c r="J1667" s="98"/>
      <c r="K1667" s="98"/>
      <c r="L1667" s="98"/>
      <c r="M1667" s="98"/>
      <c r="N1667" s="98"/>
      <c r="O1667" s="98"/>
      <c r="P1667" s="98"/>
      <c r="Q1667" s="98"/>
      <c r="R1667" s="99"/>
    </row>
    <row r="1668" spans="1:18" x14ac:dyDescent="0.35">
      <c r="A1668" s="88">
        <f t="shared" ref="A1668:A1731" si="52">F1668</f>
        <v>0</v>
      </c>
      <c r="B1668" s="89"/>
      <c r="C1668" s="90">
        <f t="shared" ref="C1668:C1731" si="53">F1668</f>
        <v>0</v>
      </c>
      <c r="D1668" s="97"/>
      <c r="E1668" s="98"/>
      <c r="F1668" s="98"/>
      <c r="G1668" s="98"/>
      <c r="H1668" s="98"/>
      <c r="I1668" s="98"/>
      <c r="J1668" s="98"/>
      <c r="K1668" s="98"/>
      <c r="L1668" s="98"/>
      <c r="M1668" s="98"/>
      <c r="N1668" s="98"/>
      <c r="O1668" s="98"/>
      <c r="P1668" s="98"/>
      <c r="Q1668" s="98"/>
      <c r="R1668" s="99"/>
    </row>
    <row r="1669" spans="1:18" x14ac:dyDescent="0.35">
      <c r="A1669" s="88">
        <f t="shared" si="52"/>
        <v>0</v>
      </c>
      <c r="B1669" s="89"/>
      <c r="C1669" s="90">
        <f t="shared" si="53"/>
        <v>0</v>
      </c>
      <c r="D1669" s="97"/>
      <c r="E1669" s="98"/>
      <c r="F1669" s="98"/>
      <c r="G1669" s="98"/>
      <c r="H1669" s="98"/>
      <c r="I1669" s="98"/>
      <c r="J1669" s="98"/>
      <c r="K1669" s="98"/>
      <c r="L1669" s="98"/>
      <c r="M1669" s="98"/>
      <c r="N1669" s="98"/>
      <c r="O1669" s="98"/>
      <c r="P1669" s="98"/>
      <c r="Q1669" s="98"/>
      <c r="R1669" s="99"/>
    </row>
    <row r="1670" spans="1:18" x14ac:dyDescent="0.35">
      <c r="A1670" s="88">
        <f t="shared" si="52"/>
        <v>0</v>
      </c>
      <c r="B1670" s="89"/>
      <c r="C1670" s="90">
        <f t="shared" si="53"/>
        <v>0</v>
      </c>
      <c r="D1670" s="97"/>
      <c r="E1670" s="98"/>
      <c r="F1670" s="98"/>
      <c r="G1670" s="98"/>
      <c r="H1670" s="98"/>
      <c r="I1670" s="98"/>
      <c r="J1670" s="98"/>
      <c r="K1670" s="98"/>
      <c r="L1670" s="98"/>
      <c r="M1670" s="98"/>
      <c r="N1670" s="98"/>
      <c r="O1670" s="98"/>
      <c r="P1670" s="98"/>
      <c r="Q1670" s="98"/>
      <c r="R1670" s="99"/>
    </row>
    <row r="1671" spans="1:18" x14ac:dyDescent="0.35">
      <c r="A1671" s="88">
        <f t="shared" si="52"/>
        <v>0</v>
      </c>
      <c r="B1671" s="89"/>
      <c r="C1671" s="90">
        <f t="shared" si="53"/>
        <v>0</v>
      </c>
      <c r="D1671" s="97"/>
      <c r="E1671" s="98"/>
      <c r="F1671" s="98"/>
      <c r="G1671" s="98"/>
      <c r="H1671" s="98"/>
      <c r="I1671" s="98"/>
      <c r="J1671" s="98"/>
      <c r="K1671" s="98"/>
      <c r="L1671" s="98"/>
      <c r="M1671" s="98"/>
      <c r="N1671" s="98"/>
      <c r="O1671" s="98"/>
      <c r="P1671" s="98"/>
      <c r="Q1671" s="98"/>
      <c r="R1671" s="99"/>
    </row>
    <row r="1672" spans="1:18" x14ac:dyDescent="0.35">
      <c r="A1672" s="88">
        <f t="shared" si="52"/>
        <v>0</v>
      </c>
      <c r="B1672" s="89"/>
      <c r="C1672" s="90">
        <f t="shared" si="53"/>
        <v>0</v>
      </c>
      <c r="D1672" s="97"/>
      <c r="E1672" s="98"/>
      <c r="F1672" s="98"/>
      <c r="G1672" s="98"/>
      <c r="H1672" s="98"/>
      <c r="I1672" s="98"/>
      <c r="J1672" s="98"/>
      <c r="K1672" s="98"/>
      <c r="L1672" s="98"/>
      <c r="M1672" s="98"/>
      <c r="N1672" s="98"/>
      <c r="O1672" s="98"/>
      <c r="P1672" s="98"/>
      <c r="Q1672" s="98"/>
      <c r="R1672" s="99"/>
    </row>
    <row r="1673" spans="1:18" x14ac:dyDescent="0.35">
      <c r="A1673" s="88">
        <f t="shared" si="52"/>
        <v>0</v>
      </c>
      <c r="B1673" s="89"/>
      <c r="C1673" s="90">
        <f t="shared" si="53"/>
        <v>0</v>
      </c>
      <c r="D1673" s="97"/>
      <c r="E1673" s="98"/>
      <c r="F1673" s="98"/>
      <c r="G1673" s="98"/>
      <c r="H1673" s="98"/>
      <c r="I1673" s="98"/>
      <c r="J1673" s="98"/>
      <c r="K1673" s="98"/>
      <c r="L1673" s="98"/>
      <c r="M1673" s="98"/>
      <c r="N1673" s="98"/>
      <c r="O1673" s="98"/>
      <c r="P1673" s="98"/>
      <c r="Q1673" s="98"/>
      <c r="R1673" s="99"/>
    </row>
    <row r="1674" spans="1:18" x14ac:dyDescent="0.35">
      <c r="A1674" s="88">
        <f t="shared" si="52"/>
        <v>0</v>
      </c>
      <c r="B1674" s="89"/>
      <c r="C1674" s="90">
        <f t="shared" si="53"/>
        <v>0</v>
      </c>
      <c r="D1674" s="97"/>
      <c r="E1674" s="98"/>
      <c r="F1674" s="98"/>
      <c r="G1674" s="98"/>
      <c r="H1674" s="98"/>
      <c r="I1674" s="98"/>
      <c r="J1674" s="98"/>
      <c r="K1674" s="98"/>
      <c r="L1674" s="98"/>
      <c r="M1674" s="98"/>
      <c r="N1674" s="98"/>
      <c r="O1674" s="98"/>
      <c r="P1674" s="98"/>
      <c r="Q1674" s="98"/>
      <c r="R1674" s="99"/>
    </row>
    <row r="1675" spans="1:18" x14ac:dyDescent="0.35">
      <c r="A1675" s="88">
        <f t="shared" si="52"/>
        <v>0</v>
      </c>
      <c r="B1675" s="89"/>
      <c r="C1675" s="90">
        <f t="shared" si="53"/>
        <v>0</v>
      </c>
      <c r="D1675" s="97"/>
      <c r="E1675" s="98"/>
      <c r="F1675" s="98"/>
      <c r="G1675" s="98"/>
      <c r="H1675" s="98"/>
      <c r="I1675" s="98"/>
      <c r="J1675" s="98"/>
      <c r="K1675" s="98"/>
      <c r="L1675" s="98"/>
      <c r="M1675" s="98"/>
      <c r="N1675" s="98"/>
      <c r="O1675" s="98"/>
      <c r="P1675" s="98"/>
      <c r="Q1675" s="98"/>
      <c r="R1675" s="99"/>
    </row>
    <row r="1676" spans="1:18" x14ac:dyDescent="0.35">
      <c r="A1676" s="88">
        <f t="shared" si="52"/>
        <v>0</v>
      </c>
      <c r="B1676" s="89"/>
      <c r="C1676" s="90">
        <f t="shared" si="53"/>
        <v>0</v>
      </c>
      <c r="D1676" s="97"/>
      <c r="E1676" s="98"/>
      <c r="F1676" s="98"/>
      <c r="G1676" s="98"/>
      <c r="H1676" s="98"/>
      <c r="I1676" s="98"/>
      <c r="J1676" s="98"/>
      <c r="K1676" s="98"/>
      <c r="L1676" s="98"/>
      <c r="M1676" s="98"/>
      <c r="N1676" s="98"/>
      <c r="O1676" s="98"/>
      <c r="P1676" s="98"/>
      <c r="Q1676" s="98"/>
      <c r="R1676" s="99"/>
    </row>
    <row r="1677" spans="1:18" x14ac:dyDescent="0.35">
      <c r="A1677" s="88">
        <f t="shared" si="52"/>
        <v>0</v>
      </c>
      <c r="B1677" s="89"/>
      <c r="C1677" s="90">
        <f t="shared" si="53"/>
        <v>0</v>
      </c>
      <c r="D1677" s="97"/>
      <c r="E1677" s="98"/>
      <c r="F1677" s="98"/>
      <c r="G1677" s="98"/>
      <c r="H1677" s="98"/>
      <c r="I1677" s="98"/>
      <c r="J1677" s="98"/>
      <c r="K1677" s="98"/>
      <c r="L1677" s="98"/>
      <c r="M1677" s="98"/>
      <c r="N1677" s="98"/>
      <c r="O1677" s="98"/>
      <c r="P1677" s="98"/>
      <c r="Q1677" s="98"/>
      <c r="R1677" s="99"/>
    </row>
    <row r="1678" spans="1:18" x14ac:dyDescent="0.35">
      <c r="A1678" s="88">
        <f t="shared" si="52"/>
        <v>0</v>
      </c>
      <c r="B1678" s="89"/>
      <c r="C1678" s="90">
        <f t="shared" si="53"/>
        <v>0</v>
      </c>
      <c r="D1678" s="97"/>
      <c r="E1678" s="98"/>
      <c r="F1678" s="98"/>
      <c r="G1678" s="98"/>
      <c r="H1678" s="98"/>
      <c r="I1678" s="98"/>
      <c r="J1678" s="98"/>
      <c r="K1678" s="98"/>
      <c r="L1678" s="98"/>
      <c r="M1678" s="98"/>
      <c r="N1678" s="98"/>
      <c r="O1678" s="98"/>
      <c r="P1678" s="98"/>
      <c r="Q1678" s="98"/>
      <c r="R1678" s="99"/>
    </row>
    <row r="1679" spans="1:18" x14ac:dyDescent="0.35">
      <c r="A1679" s="88">
        <f t="shared" si="52"/>
        <v>0</v>
      </c>
      <c r="B1679" s="89"/>
      <c r="C1679" s="90">
        <f t="shared" si="53"/>
        <v>0</v>
      </c>
      <c r="D1679" s="97"/>
      <c r="E1679" s="98"/>
      <c r="F1679" s="98"/>
      <c r="G1679" s="98"/>
      <c r="H1679" s="98"/>
      <c r="I1679" s="98"/>
      <c r="J1679" s="98"/>
      <c r="K1679" s="98"/>
      <c r="L1679" s="98"/>
      <c r="M1679" s="98"/>
      <c r="N1679" s="98"/>
      <c r="O1679" s="98"/>
      <c r="P1679" s="98"/>
      <c r="Q1679" s="98"/>
      <c r="R1679" s="99"/>
    </row>
    <row r="1680" spans="1:18" x14ac:dyDescent="0.35">
      <c r="A1680" s="88">
        <f t="shared" si="52"/>
        <v>0</v>
      </c>
      <c r="B1680" s="89"/>
      <c r="C1680" s="90">
        <f t="shared" si="53"/>
        <v>0</v>
      </c>
      <c r="D1680" s="97"/>
      <c r="E1680" s="98"/>
      <c r="F1680" s="98"/>
      <c r="G1680" s="98"/>
      <c r="H1680" s="98"/>
      <c r="I1680" s="98"/>
      <c r="J1680" s="98"/>
      <c r="K1680" s="98"/>
      <c r="L1680" s="98"/>
      <c r="M1680" s="98"/>
      <c r="N1680" s="98"/>
      <c r="O1680" s="98"/>
      <c r="P1680" s="98"/>
      <c r="Q1680" s="98"/>
      <c r="R1680" s="99"/>
    </row>
    <row r="1681" spans="1:18" x14ac:dyDescent="0.35">
      <c r="A1681" s="88">
        <f t="shared" si="52"/>
        <v>0</v>
      </c>
      <c r="B1681" s="89"/>
      <c r="C1681" s="90">
        <f t="shared" si="53"/>
        <v>0</v>
      </c>
      <c r="D1681" s="97"/>
      <c r="E1681" s="98"/>
      <c r="F1681" s="98"/>
      <c r="G1681" s="98"/>
      <c r="H1681" s="98"/>
      <c r="I1681" s="98"/>
      <c r="J1681" s="98"/>
      <c r="K1681" s="98"/>
      <c r="L1681" s="98"/>
      <c r="M1681" s="98"/>
      <c r="N1681" s="98"/>
      <c r="O1681" s="98"/>
      <c r="P1681" s="98"/>
      <c r="Q1681" s="98"/>
      <c r="R1681" s="99"/>
    </row>
    <row r="1682" spans="1:18" x14ac:dyDescent="0.35">
      <c r="A1682" s="88">
        <f t="shared" si="52"/>
        <v>0</v>
      </c>
      <c r="B1682" s="89"/>
      <c r="C1682" s="90">
        <f t="shared" si="53"/>
        <v>0</v>
      </c>
      <c r="D1682" s="97"/>
      <c r="E1682" s="98"/>
      <c r="F1682" s="98"/>
      <c r="G1682" s="98"/>
      <c r="H1682" s="98"/>
      <c r="I1682" s="98"/>
      <c r="J1682" s="98"/>
      <c r="K1682" s="98"/>
      <c r="L1682" s="98"/>
      <c r="M1682" s="98"/>
      <c r="N1682" s="98"/>
      <c r="O1682" s="98"/>
      <c r="P1682" s="98"/>
      <c r="Q1682" s="98"/>
      <c r="R1682" s="99"/>
    </row>
    <row r="1683" spans="1:18" x14ac:dyDescent="0.35">
      <c r="A1683" s="88">
        <f t="shared" si="52"/>
        <v>0</v>
      </c>
      <c r="B1683" s="89"/>
      <c r="C1683" s="90">
        <f t="shared" si="53"/>
        <v>0</v>
      </c>
      <c r="D1683" s="97"/>
      <c r="E1683" s="98"/>
      <c r="F1683" s="98"/>
      <c r="G1683" s="98"/>
      <c r="H1683" s="98"/>
      <c r="I1683" s="98"/>
      <c r="J1683" s="98"/>
      <c r="K1683" s="98"/>
      <c r="L1683" s="98"/>
      <c r="M1683" s="98"/>
      <c r="N1683" s="98"/>
      <c r="O1683" s="98"/>
      <c r="P1683" s="98"/>
      <c r="Q1683" s="98"/>
      <c r="R1683" s="99"/>
    </row>
    <row r="1684" spans="1:18" x14ac:dyDescent="0.35">
      <c r="A1684" s="88">
        <f t="shared" si="52"/>
        <v>0</v>
      </c>
      <c r="B1684" s="89"/>
      <c r="C1684" s="90">
        <f t="shared" si="53"/>
        <v>0</v>
      </c>
      <c r="D1684" s="97"/>
      <c r="E1684" s="98"/>
      <c r="F1684" s="98"/>
      <c r="G1684" s="98"/>
      <c r="H1684" s="98"/>
      <c r="I1684" s="98"/>
      <c r="J1684" s="98"/>
      <c r="K1684" s="98"/>
      <c r="L1684" s="98"/>
      <c r="M1684" s="98"/>
      <c r="N1684" s="98"/>
      <c r="O1684" s="98"/>
      <c r="P1684" s="98"/>
      <c r="Q1684" s="98"/>
      <c r="R1684" s="99"/>
    </row>
    <row r="1685" spans="1:18" x14ac:dyDescent="0.35">
      <c r="A1685" s="88">
        <f t="shared" si="52"/>
        <v>0</v>
      </c>
      <c r="B1685" s="89"/>
      <c r="C1685" s="90">
        <f t="shared" si="53"/>
        <v>0</v>
      </c>
      <c r="D1685" s="97"/>
      <c r="E1685" s="98"/>
      <c r="F1685" s="98"/>
      <c r="G1685" s="98"/>
      <c r="H1685" s="98"/>
      <c r="I1685" s="98"/>
      <c r="J1685" s="98"/>
      <c r="K1685" s="98"/>
      <c r="L1685" s="98"/>
      <c r="M1685" s="98"/>
      <c r="N1685" s="98"/>
      <c r="O1685" s="98"/>
      <c r="P1685" s="98"/>
      <c r="Q1685" s="98"/>
      <c r="R1685" s="99"/>
    </row>
    <row r="1686" spans="1:18" x14ac:dyDescent="0.35">
      <c r="A1686" s="88">
        <f t="shared" si="52"/>
        <v>0</v>
      </c>
      <c r="B1686" s="89"/>
      <c r="C1686" s="90">
        <f t="shared" si="53"/>
        <v>0</v>
      </c>
      <c r="D1686" s="97"/>
      <c r="E1686" s="98"/>
      <c r="F1686" s="98"/>
      <c r="G1686" s="98"/>
      <c r="H1686" s="98"/>
      <c r="I1686" s="98"/>
      <c r="J1686" s="98"/>
      <c r="K1686" s="98"/>
      <c r="L1686" s="98"/>
      <c r="M1686" s="98"/>
      <c r="N1686" s="98"/>
      <c r="O1686" s="98"/>
      <c r="P1686" s="98"/>
      <c r="Q1686" s="98"/>
      <c r="R1686" s="99"/>
    </row>
    <row r="1687" spans="1:18" x14ac:dyDescent="0.35">
      <c r="A1687" s="88">
        <f t="shared" si="52"/>
        <v>0</v>
      </c>
      <c r="B1687" s="89"/>
      <c r="C1687" s="90">
        <f t="shared" si="53"/>
        <v>0</v>
      </c>
      <c r="D1687" s="97"/>
      <c r="E1687" s="98"/>
      <c r="F1687" s="98"/>
      <c r="G1687" s="98"/>
      <c r="H1687" s="98"/>
      <c r="I1687" s="98"/>
      <c r="J1687" s="98"/>
      <c r="K1687" s="98"/>
      <c r="L1687" s="98"/>
      <c r="M1687" s="98"/>
      <c r="N1687" s="98"/>
      <c r="O1687" s="98"/>
      <c r="P1687" s="98"/>
      <c r="Q1687" s="98"/>
      <c r="R1687" s="99"/>
    </row>
    <row r="1688" spans="1:18" x14ac:dyDescent="0.35">
      <c r="A1688" s="88">
        <f t="shared" si="52"/>
        <v>0</v>
      </c>
      <c r="B1688" s="89"/>
      <c r="C1688" s="90">
        <f t="shared" si="53"/>
        <v>0</v>
      </c>
      <c r="D1688" s="97"/>
      <c r="E1688" s="98"/>
      <c r="F1688" s="98"/>
      <c r="G1688" s="98"/>
      <c r="H1688" s="98"/>
      <c r="I1688" s="98"/>
      <c r="J1688" s="98"/>
      <c r="K1688" s="98"/>
      <c r="L1688" s="98"/>
      <c r="M1688" s="98"/>
      <c r="N1688" s="98"/>
      <c r="O1688" s="98"/>
      <c r="P1688" s="98"/>
      <c r="Q1688" s="98"/>
      <c r="R1688" s="99"/>
    </row>
    <row r="1689" spans="1:18" x14ac:dyDescent="0.35">
      <c r="A1689" s="88">
        <f t="shared" si="52"/>
        <v>0</v>
      </c>
      <c r="B1689" s="89"/>
      <c r="C1689" s="90">
        <f t="shared" si="53"/>
        <v>0</v>
      </c>
      <c r="D1689" s="97"/>
      <c r="E1689" s="98"/>
      <c r="F1689" s="98"/>
      <c r="G1689" s="98"/>
      <c r="H1689" s="98"/>
      <c r="I1689" s="98"/>
      <c r="J1689" s="98"/>
      <c r="K1689" s="98"/>
      <c r="L1689" s="98"/>
      <c r="M1689" s="98"/>
      <c r="N1689" s="98"/>
      <c r="O1689" s="98"/>
      <c r="P1689" s="98"/>
      <c r="Q1689" s="98"/>
      <c r="R1689" s="99"/>
    </row>
    <row r="1690" spans="1:18" x14ac:dyDescent="0.35">
      <c r="A1690" s="88">
        <f t="shared" si="52"/>
        <v>0</v>
      </c>
      <c r="B1690" s="89"/>
      <c r="C1690" s="90">
        <f t="shared" si="53"/>
        <v>0</v>
      </c>
      <c r="D1690" s="97"/>
      <c r="E1690" s="98"/>
      <c r="F1690" s="98"/>
      <c r="G1690" s="98"/>
      <c r="H1690" s="98"/>
      <c r="I1690" s="98"/>
      <c r="J1690" s="98"/>
      <c r="K1690" s="98"/>
      <c r="L1690" s="98"/>
      <c r="M1690" s="98"/>
      <c r="N1690" s="98"/>
      <c r="O1690" s="98"/>
      <c r="P1690" s="98"/>
      <c r="Q1690" s="98"/>
      <c r="R1690" s="99"/>
    </row>
    <row r="1691" spans="1:18" x14ac:dyDescent="0.35">
      <c r="A1691" s="88">
        <f t="shared" si="52"/>
        <v>0</v>
      </c>
      <c r="B1691" s="89"/>
      <c r="C1691" s="90">
        <f t="shared" si="53"/>
        <v>0</v>
      </c>
      <c r="D1691" s="97"/>
      <c r="E1691" s="98"/>
      <c r="F1691" s="98"/>
      <c r="G1691" s="98"/>
      <c r="H1691" s="98"/>
      <c r="I1691" s="98"/>
      <c r="J1691" s="98"/>
      <c r="K1691" s="98"/>
      <c r="L1691" s="98"/>
      <c r="M1691" s="98"/>
      <c r="N1691" s="98"/>
      <c r="O1691" s="98"/>
      <c r="P1691" s="98"/>
      <c r="Q1691" s="98"/>
      <c r="R1691" s="99"/>
    </row>
    <row r="1692" spans="1:18" x14ac:dyDescent="0.35">
      <c r="A1692" s="88">
        <f t="shared" si="52"/>
        <v>0</v>
      </c>
      <c r="B1692" s="89"/>
      <c r="C1692" s="90">
        <f t="shared" si="53"/>
        <v>0</v>
      </c>
      <c r="D1692" s="97"/>
      <c r="E1692" s="98"/>
      <c r="F1692" s="98"/>
      <c r="G1692" s="98"/>
      <c r="H1692" s="98"/>
      <c r="I1692" s="98"/>
      <c r="J1692" s="98"/>
      <c r="K1692" s="98"/>
      <c r="L1692" s="98"/>
      <c r="M1692" s="98"/>
      <c r="N1692" s="98"/>
      <c r="O1692" s="98"/>
      <c r="P1692" s="98"/>
      <c r="Q1692" s="98"/>
      <c r="R1692" s="99"/>
    </row>
    <row r="1693" spans="1:18" x14ac:dyDescent="0.35">
      <c r="A1693" s="88">
        <f t="shared" si="52"/>
        <v>0</v>
      </c>
      <c r="B1693" s="89"/>
      <c r="C1693" s="90">
        <f t="shared" si="53"/>
        <v>0</v>
      </c>
      <c r="D1693" s="97"/>
      <c r="E1693" s="98"/>
      <c r="F1693" s="98"/>
      <c r="G1693" s="98"/>
      <c r="H1693" s="98"/>
      <c r="I1693" s="98"/>
      <c r="J1693" s="98"/>
      <c r="K1693" s="98"/>
      <c r="L1693" s="98"/>
      <c r="M1693" s="98"/>
      <c r="N1693" s="98"/>
      <c r="O1693" s="98"/>
      <c r="P1693" s="98"/>
      <c r="Q1693" s="98"/>
      <c r="R1693" s="99"/>
    </row>
    <row r="1694" spans="1:18" x14ac:dyDescent="0.35">
      <c r="A1694" s="88">
        <f t="shared" si="52"/>
        <v>0</v>
      </c>
      <c r="B1694" s="89"/>
      <c r="C1694" s="90">
        <f t="shared" si="53"/>
        <v>0</v>
      </c>
      <c r="D1694" s="97"/>
      <c r="E1694" s="98"/>
      <c r="F1694" s="98"/>
      <c r="G1694" s="98"/>
      <c r="H1694" s="98"/>
      <c r="I1694" s="98"/>
      <c r="J1694" s="98"/>
      <c r="K1694" s="98"/>
      <c r="L1694" s="98"/>
      <c r="M1694" s="98"/>
      <c r="N1694" s="98"/>
      <c r="O1694" s="98"/>
      <c r="P1694" s="98"/>
      <c r="Q1694" s="98"/>
      <c r="R1694" s="99"/>
    </row>
    <row r="1695" spans="1:18" x14ac:dyDescent="0.35">
      <c r="A1695" s="88">
        <f t="shared" si="52"/>
        <v>0</v>
      </c>
      <c r="B1695" s="89"/>
      <c r="C1695" s="90">
        <f t="shared" si="53"/>
        <v>0</v>
      </c>
      <c r="D1695" s="97"/>
      <c r="E1695" s="98"/>
      <c r="F1695" s="98"/>
      <c r="G1695" s="98"/>
      <c r="H1695" s="98"/>
      <c r="I1695" s="98"/>
      <c r="J1695" s="98"/>
      <c r="K1695" s="98"/>
      <c r="L1695" s="98"/>
      <c r="M1695" s="98"/>
      <c r="N1695" s="98"/>
      <c r="O1695" s="98"/>
      <c r="P1695" s="98"/>
      <c r="Q1695" s="98"/>
      <c r="R1695" s="99"/>
    </row>
    <row r="1696" spans="1:18" x14ac:dyDescent="0.35">
      <c r="A1696" s="88">
        <f t="shared" si="52"/>
        <v>0</v>
      </c>
      <c r="B1696" s="89"/>
      <c r="C1696" s="90">
        <f t="shared" si="53"/>
        <v>0</v>
      </c>
      <c r="D1696" s="97"/>
      <c r="E1696" s="98"/>
      <c r="F1696" s="98"/>
      <c r="G1696" s="98"/>
      <c r="H1696" s="98"/>
      <c r="I1696" s="98"/>
      <c r="J1696" s="98"/>
      <c r="K1696" s="98"/>
      <c r="L1696" s="98"/>
      <c r="M1696" s="98"/>
      <c r="N1696" s="98"/>
      <c r="O1696" s="98"/>
      <c r="P1696" s="98"/>
      <c r="Q1696" s="98"/>
      <c r="R1696" s="99"/>
    </row>
    <row r="1697" spans="1:18" x14ac:dyDescent="0.35">
      <c r="A1697" s="88">
        <f t="shared" si="52"/>
        <v>0</v>
      </c>
      <c r="B1697" s="89"/>
      <c r="C1697" s="90">
        <f t="shared" si="53"/>
        <v>0</v>
      </c>
      <c r="D1697" s="97"/>
      <c r="E1697" s="98"/>
      <c r="F1697" s="98"/>
      <c r="G1697" s="98"/>
      <c r="H1697" s="98"/>
      <c r="I1697" s="98"/>
      <c r="J1697" s="98"/>
      <c r="K1697" s="98"/>
      <c r="L1697" s="98"/>
      <c r="M1697" s="98"/>
      <c r="N1697" s="98"/>
      <c r="O1697" s="98"/>
      <c r="P1697" s="98"/>
      <c r="Q1697" s="98"/>
      <c r="R1697" s="99"/>
    </row>
    <row r="1698" spans="1:18" x14ac:dyDescent="0.35">
      <c r="A1698" s="88">
        <f t="shared" si="52"/>
        <v>0</v>
      </c>
      <c r="B1698" s="89"/>
      <c r="C1698" s="90">
        <f t="shared" si="53"/>
        <v>0</v>
      </c>
      <c r="D1698" s="97"/>
      <c r="E1698" s="98"/>
      <c r="F1698" s="98"/>
      <c r="G1698" s="98"/>
      <c r="H1698" s="98"/>
      <c r="I1698" s="98"/>
      <c r="J1698" s="98"/>
      <c r="K1698" s="98"/>
      <c r="L1698" s="98"/>
      <c r="M1698" s="98"/>
      <c r="N1698" s="98"/>
      <c r="O1698" s="98"/>
      <c r="P1698" s="98"/>
      <c r="Q1698" s="98"/>
      <c r="R1698" s="99"/>
    </row>
    <row r="1699" spans="1:18" x14ac:dyDescent="0.35">
      <c r="A1699" s="88">
        <f t="shared" si="52"/>
        <v>0</v>
      </c>
      <c r="B1699" s="89"/>
      <c r="C1699" s="90">
        <f t="shared" si="53"/>
        <v>0</v>
      </c>
      <c r="D1699" s="97"/>
      <c r="E1699" s="98"/>
      <c r="F1699" s="98"/>
      <c r="G1699" s="98"/>
      <c r="H1699" s="98"/>
      <c r="I1699" s="98"/>
      <c r="J1699" s="98"/>
      <c r="K1699" s="98"/>
      <c r="L1699" s="98"/>
      <c r="M1699" s="98"/>
      <c r="N1699" s="98"/>
      <c r="O1699" s="98"/>
      <c r="P1699" s="98"/>
      <c r="Q1699" s="98"/>
      <c r="R1699" s="99"/>
    </row>
    <row r="1700" spans="1:18" x14ac:dyDescent="0.35">
      <c r="A1700" s="88">
        <f t="shared" si="52"/>
        <v>0</v>
      </c>
      <c r="B1700" s="89"/>
      <c r="C1700" s="90">
        <f t="shared" si="53"/>
        <v>0</v>
      </c>
      <c r="D1700" s="97"/>
      <c r="E1700" s="98"/>
      <c r="F1700" s="98"/>
      <c r="G1700" s="98"/>
      <c r="H1700" s="98"/>
      <c r="I1700" s="98"/>
      <c r="J1700" s="98"/>
      <c r="K1700" s="98"/>
      <c r="L1700" s="98"/>
      <c r="M1700" s="98"/>
      <c r="N1700" s="98"/>
      <c r="O1700" s="98"/>
      <c r="P1700" s="98"/>
      <c r="Q1700" s="98"/>
      <c r="R1700" s="99"/>
    </row>
    <row r="1701" spans="1:18" x14ac:dyDescent="0.35">
      <c r="A1701" s="88">
        <f t="shared" si="52"/>
        <v>0</v>
      </c>
      <c r="B1701" s="89"/>
      <c r="C1701" s="90">
        <f t="shared" si="53"/>
        <v>0</v>
      </c>
      <c r="D1701" s="97"/>
      <c r="E1701" s="98"/>
      <c r="F1701" s="98"/>
      <c r="G1701" s="98"/>
      <c r="H1701" s="98"/>
      <c r="I1701" s="98"/>
      <c r="J1701" s="98"/>
      <c r="K1701" s="98"/>
      <c r="L1701" s="98"/>
      <c r="M1701" s="98"/>
      <c r="N1701" s="98"/>
      <c r="O1701" s="98"/>
      <c r="P1701" s="98"/>
      <c r="Q1701" s="98"/>
      <c r="R1701" s="99"/>
    </row>
    <row r="1702" spans="1:18" x14ac:dyDescent="0.35">
      <c r="A1702" s="88">
        <f t="shared" si="52"/>
        <v>0</v>
      </c>
      <c r="B1702" s="89"/>
      <c r="C1702" s="90">
        <f t="shared" si="53"/>
        <v>0</v>
      </c>
      <c r="D1702" s="97"/>
      <c r="E1702" s="98"/>
      <c r="F1702" s="98"/>
      <c r="G1702" s="98"/>
      <c r="H1702" s="98"/>
      <c r="I1702" s="98"/>
      <c r="J1702" s="98"/>
      <c r="K1702" s="98"/>
      <c r="L1702" s="98"/>
      <c r="M1702" s="98"/>
      <c r="N1702" s="98"/>
      <c r="O1702" s="98"/>
      <c r="P1702" s="98"/>
      <c r="Q1702" s="98"/>
      <c r="R1702" s="99"/>
    </row>
    <row r="1703" spans="1:18" x14ac:dyDescent="0.35">
      <c r="A1703" s="88">
        <f t="shared" si="52"/>
        <v>0</v>
      </c>
      <c r="B1703" s="89"/>
      <c r="C1703" s="90">
        <f t="shared" si="53"/>
        <v>0</v>
      </c>
      <c r="D1703" s="97"/>
      <c r="E1703" s="98"/>
      <c r="F1703" s="98"/>
      <c r="G1703" s="98"/>
      <c r="H1703" s="98"/>
      <c r="I1703" s="98"/>
      <c r="J1703" s="98"/>
      <c r="K1703" s="98"/>
      <c r="L1703" s="98"/>
      <c r="M1703" s="98"/>
      <c r="N1703" s="98"/>
      <c r="O1703" s="98"/>
      <c r="P1703" s="98"/>
      <c r="Q1703" s="98"/>
      <c r="R1703" s="99"/>
    </row>
    <row r="1704" spans="1:18" x14ac:dyDescent="0.35">
      <c r="A1704" s="88">
        <f t="shared" si="52"/>
        <v>0</v>
      </c>
      <c r="B1704" s="89"/>
      <c r="C1704" s="90">
        <f t="shared" si="53"/>
        <v>0</v>
      </c>
      <c r="D1704" s="97"/>
      <c r="E1704" s="98"/>
      <c r="F1704" s="98"/>
      <c r="G1704" s="98"/>
      <c r="H1704" s="98"/>
      <c r="I1704" s="98"/>
      <c r="J1704" s="98"/>
      <c r="K1704" s="98"/>
      <c r="L1704" s="98"/>
      <c r="M1704" s="98"/>
      <c r="N1704" s="98"/>
      <c r="O1704" s="98"/>
      <c r="P1704" s="98"/>
      <c r="Q1704" s="98"/>
      <c r="R1704" s="99"/>
    </row>
    <row r="1705" spans="1:18" x14ac:dyDescent="0.35">
      <c r="A1705" s="88">
        <f t="shared" si="52"/>
        <v>0</v>
      </c>
      <c r="B1705" s="89"/>
      <c r="C1705" s="90">
        <f t="shared" si="53"/>
        <v>0</v>
      </c>
      <c r="D1705" s="97"/>
      <c r="E1705" s="98"/>
      <c r="F1705" s="98"/>
      <c r="G1705" s="98"/>
      <c r="H1705" s="98"/>
      <c r="I1705" s="98"/>
      <c r="J1705" s="98"/>
      <c r="K1705" s="98"/>
      <c r="L1705" s="98"/>
      <c r="M1705" s="98"/>
      <c r="N1705" s="98"/>
      <c r="O1705" s="98"/>
      <c r="P1705" s="98"/>
      <c r="Q1705" s="98"/>
      <c r="R1705" s="99"/>
    </row>
    <row r="1706" spans="1:18" x14ac:dyDescent="0.35">
      <c r="A1706" s="88">
        <f t="shared" si="52"/>
        <v>0</v>
      </c>
      <c r="B1706" s="89"/>
      <c r="C1706" s="90">
        <f t="shared" si="53"/>
        <v>0</v>
      </c>
      <c r="D1706" s="97"/>
      <c r="E1706" s="98"/>
      <c r="F1706" s="98"/>
      <c r="G1706" s="98"/>
      <c r="H1706" s="98"/>
      <c r="I1706" s="98"/>
      <c r="J1706" s="98"/>
      <c r="K1706" s="98"/>
      <c r="L1706" s="98"/>
      <c r="M1706" s="98"/>
      <c r="N1706" s="98"/>
      <c r="O1706" s="98"/>
      <c r="P1706" s="98"/>
      <c r="Q1706" s="98"/>
      <c r="R1706" s="99"/>
    </row>
    <row r="1707" spans="1:18" x14ac:dyDescent="0.35">
      <c r="A1707" s="88">
        <f t="shared" si="52"/>
        <v>0</v>
      </c>
      <c r="B1707" s="89"/>
      <c r="C1707" s="90">
        <f t="shared" si="53"/>
        <v>0</v>
      </c>
      <c r="D1707" s="97"/>
      <c r="E1707" s="98"/>
      <c r="F1707" s="98"/>
      <c r="G1707" s="98"/>
      <c r="H1707" s="98"/>
      <c r="I1707" s="98"/>
      <c r="J1707" s="98"/>
      <c r="K1707" s="98"/>
      <c r="L1707" s="98"/>
      <c r="M1707" s="98"/>
      <c r="N1707" s="98"/>
      <c r="O1707" s="98"/>
      <c r="P1707" s="98"/>
      <c r="Q1707" s="98"/>
      <c r="R1707" s="99"/>
    </row>
    <row r="1708" spans="1:18" x14ac:dyDescent="0.35">
      <c r="A1708" s="88">
        <f t="shared" si="52"/>
        <v>0</v>
      </c>
      <c r="B1708" s="89"/>
      <c r="C1708" s="90">
        <f t="shared" si="53"/>
        <v>0</v>
      </c>
      <c r="D1708" s="97"/>
      <c r="E1708" s="98"/>
      <c r="F1708" s="98"/>
      <c r="G1708" s="98"/>
      <c r="H1708" s="98"/>
      <c r="I1708" s="98"/>
      <c r="J1708" s="98"/>
      <c r="K1708" s="98"/>
      <c r="L1708" s="98"/>
      <c r="M1708" s="98"/>
      <c r="N1708" s="98"/>
      <c r="O1708" s="98"/>
      <c r="P1708" s="98"/>
      <c r="Q1708" s="98"/>
      <c r="R1708" s="99"/>
    </row>
    <row r="1709" spans="1:18" x14ac:dyDescent="0.35">
      <c r="A1709" s="88">
        <f t="shared" si="52"/>
        <v>0</v>
      </c>
      <c r="B1709" s="89"/>
      <c r="C1709" s="90">
        <f t="shared" si="53"/>
        <v>0</v>
      </c>
      <c r="D1709" s="97"/>
      <c r="E1709" s="98"/>
      <c r="F1709" s="98"/>
      <c r="G1709" s="98"/>
      <c r="H1709" s="98"/>
      <c r="I1709" s="98"/>
      <c r="J1709" s="98"/>
      <c r="K1709" s="98"/>
      <c r="L1709" s="98"/>
      <c r="M1709" s="98"/>
      <c r="N1709" s="98"/>
      <c r="O1709" s="98"/>
      <c r="P1709" s="98"/>
      <c r="Q1709" s="98"/>
      <c r="R1709" s="99"/>
    </row>
    <row r="1710" spans="1:18" x14ac:dyDescent="0.35">
      <c r="A1710" s="88">
        <f t="shared" si="52"/>
        <v>0</v>
      </c>
      <c r="B1710" s="89"/>
      <c r="C1710" s="90">
        <f t="shared" si="53"/>
        <v>0</v>
      </c>
      <c r="D1710" s="97"/>
      <c r="E1710" s="98"/>
      <c r="F1710" s="98"/>
      <c r="G1710" s="98"/>
      <c r="H1710" s="98"/>
      <c r="I1710" s="98"/>
      <c r="J1710" s="98"/>
      <c r="K1710" s="98"/>
      <c r="L1710" s="98"/>
      <c r="M1710" s="98"/>
      <c r="N1710" s="98"/>
      <c r="O1710" s="98"/>
      <c r="P1710" s="98"/>
      <c r="Q1710" s="98"/>
      <c r="R1710" s="99"/>
    </row>
    <row r="1711" spans="1:18" x14ac:dyDescent="0.35">
      <c r="A1711" s="88">
        <f t="shared" si="52"/>
        <v>0</v>
      </c>
      <c r="B1711" s="89"/>
      <c r="C1711" s="90">
        <f t="shared" si="53"/>
        <v>0</v>
      </c>
      <c r="D1711" s="97"/>
      <c r="E1711" s="98"/>
      <c r="F1711" s="98"/>
      <c r="G1711" s="98"/>
      <c r="H1711" s="98"/>
      <c r="I1711" s="98"/>
      <c r="J1711" s="98"/>
      <c r="K1711" s="98"/>
      <c r="L1711" s="98"/>
      <c r="M1711" s="98"/>
      <c r="N1711" s="98"/>
      <c r="O1711" s="98"/>
      <c r="P1711" s="98"/>
      <c r="Q1711" s="98"/>
      <c r="R1711" s="99"/>
    </row>
    <row r="1712" spans="1:18" x14ac:dyDescent="0.35">
      <c r="A1712" s="88">
        <f t="shared" si="52"/>
        <v>0</v>
      </c>
      <c r="B1712" s="89"/>
      <c r="C1712" s="90">
        <f t="shared" si="53"/>
        <v>0</v>
      </c>
      <c r="D1712" s="97"/>
      <c r="E1712" s="98"/>
      <c r="F1712" s="98"/>
      <c r="G1712" s="98"/>
      <c r="H1712" s="98"/>
      <c r="I1712" s="98"/>
      <c r="J1712" s="98"/>
      <c r="K1712" s="98"/>
      <c r="L1712" s="98"/>
      <c r="M1712" s="98"/>
      <c r="N1712" s="98"/>
      <c r="O1712" s="98"/>
      <c r="P1712" s="98"/>
      <c r="Q1712" s="98"/>
      <c r="R1712" s="99"/>
    </row>
    <row r="1713" spans="1:18" x14ac:dyDescent="0.35">
      <c r="A1713" s="88">
        <f t="shared" si="52"/>
        <v>0</v>
      </c>
      <c r="B1713" s="89"/>
      <c r="C1713" s="90">
        <f t="shared" si="53"/>
        <v>0</v>
      </c>
      <c r="D1713" s="97"/>
      <c r="E1713" s="98"/>
      <c r="F1713" s="98"/>
      <c r="G1713" s="98"/>
      <c r="H1713" s="98"/>
      <c r="I1713" s="98"/>
      <c r="J1713" s="98"/>
      <c r="K1713" s="98"/>
      <c r="L1713" s="98"/>
      <c r="M1713" s="98"/>
      <c r="N1713" s="98"/>
      <c r="O1713" s="98"/>
      <c r="P1713" s="98"/>
      <c r="Q1713" s="98"/>
      <c r="R1713" s="99"/>
    </row>
    <row r="1714" spans="1:18" x14ac:dyDescent="0.35">
      <c r="A1714" s="88">
        <f t="shared" si="52"/>
        <v>0</v>
      </c>
      <c r="B1714" s="89"/>
      <c r="C1714" s="90">
        <f t="shared" si="53"/>
        <v>0</v>
      </c>
      <c r="D1714" s="97"/>
      <c r="E1714" s="98"/>
      <c r="F1714" s="98"/>
      <c r="G1714" s="98"/>
      <c r="H1714" s="98"/>
      <c r="I1714" s="98"/>
      <c r="J1714" s="98"/>
      <c r="K1714" s="98"/>
      <c r="L1714" s="98"/>
      <c r="M1714" s="98"/>
      <c r="N1714" s="98"/>
      <c r="O1714" s="98"/>
      <c r="P1714" s="98"/>
      <c r="Q1714" s="98"/>
      <c r="R1714" s="99"/>
    </row>
    <row r="1715" spans="1:18" x14ac:dyDescent="0.35">
      <c r="A1715" s="88">
        <f t="shared" si="52"/>
        <v>0</v>
      </c>
      <c r="B1715" s="89"/>
      <c r="C1715" s="90">
        <f t="shared" si="53"/>
        <v>0</v>
      </c>
      <c r="D1715" s="97"/>
      <c r="E1715" s="98"/>
      <c r="F1715" s="98"/>
      <c r="G1715" s="98"/>
      <c r="H1715" s="98"/>
      <c r="I1715" s="98"/>
      <c r="J1715" s="98"/>
      <c r="K1715" s="98"/>
      <c r="L1715" s="98"/>
      <c r="M1715" s="98"/>
      <c r="N1715" s="98"/>
      <c r="O1715" s="98"/>
      <c r="P1715" s="98"/>
      <c r="Q1715" s="98"/>
      <c r="R1715" s="99"/>
    </row>
    <row r="1716" spans="1:18" x14ac:dyDescent="0.35">
      <c r="A1716" s="88">
        <f t="shared" si="52"/>
        <v>0</v>
      </c>
      <c r="B1716" s="89"/>
      <c r="C1716" s="90">
        <f t="shared" si="53"/>
        <v>0</v>
      </c>
      <c r="D1716" s="97"/>
      <c r="E1716" s="98"/>
      <c r="F1716" s="98"/>
      <c r="G1716" s="98"/>
      <c r="H1716" s="98"/>
      <c r="I1716" s="98"/>
      <c r="J1716" s="98"/>
      <c r="K1716" s="98"/>
      <c r="L1716" s="98"/>
      <c r="M1716" s="98"/>
      <c r="N1716" s="98"/>
      <c r="O1716" s="98"/>
      <c r="P1716" s="98"/>
      <c r="Q1716" s="98"/>
      <c r="R1716" s="99"/>
    </row>
    <row r="1717" spans="1:18" x14ac:dyDescent="0.35">
      <c r="A1717" s="88">
        <f t="shared" si="52"/>
        <v>0</v>
      </c>
      <c r="B1717" s="89"/>
      <c r="C1717" s="90">
        <f t="shared" si="53"/>
        <v>0</v>
      </c>
      <c r="D1717" s="97"/>
      <c r="E1717" s="98"/>
      <c r="F1717" s="98"/>
      <c r="G1717" s="98"/>
      <c r="H1717" s="98"/>
      <c r="I1717" s="98"/>
      <c r="J1717" s="98"/>
      <c r="K1717" s="98"/>
      <c r="L1717" s="98"/>
      <c r="M1717" s="98"/>
      <c r="N1717" s="98"/>
      <c r="O1717" s="98"/>
      <c r="P1717" s="98"/>
      <c r="Q1717" s="98"/>
      <c r="R1717" s="99"/>
    </row>
    <row r="1718" spans="1:18" x14ac:dyDescent="0.35">
      <c r="A1718" s="88">
        <f t="shared" si="52"/>
        <v>0</v>
      </c>
      <c r="B1718" s="89"/>
      <c r="C1718" s="90">
        <f t="shared" si="53"/>
        <v>0</v>
      </c>
      <c r="D1718" s="97"/>
      <c r="E1718" s="98"/>
      <c r="F1718" s="98"/>
      <c r="G1718" s="98"/>
      <c r="H1718" s="98"/>
      <c r="I1718" s="98"/>
      <c r="J1718" s="98"/>
      <c r="K1718" s="98"/>
      <c r="L1718" s="98"/>
      <c r="M1718" s="98"/>
      <c r="N1718" s="98"/>
      <c r="O1718" s="98"/>
      <c r="P1718" s="98"/>
      <c r="Q1718" s="98"/>
      <c r="R1718" s="99"/>
    </row>
    <row r="1719" spans="1:18" x14ac:dyDescent="0.35">
      <c r="A1719" s="88">
        <f t="shared" si="52"/>
        <v>0</v>
      </c>
      <c r="B1719" s="89"/>
      <c r="C1719" s="90">
        <f t="shared" si="53"/>
        <v>0</v>
      </c>
      <c r="D1719" s="97"/>
      <c r="E1719" s="98"/>
      <c r="F1719" s="98"/>
      <c r="G1719" s="98"/>
      <c r="H1719" s="98"/>
      <c r="I1719" s="98"/>
      <c r="J1719" s="98"/>
      <c r="K1719" s="98"/>
      <c r="L1719" s="98"/>
      <c r="M1719" s="98"/>
      <c r="N1719" s="98"/>
      <c r="O1719" s="98"/>
      <c r="P1719" s="98"/>
      <c r="Q1719" s="98"/>
      <c r="R1719" s="99"/>
    </row>
    <row r="1720" spans="1:18" x14ac:dyDescent="0.35">
      <c r="A1720" s="88">
        <f t="shared" si="52"/>
        <v>0</v>
      </c>
      <c r="B1720" s="89"/>
      <c r="C1720" s="90">
        <f t="shared" si="53"/>
        <v>0</v>
      </c>
      <c r="D1720" s="97"/>
      <c r="E1720" s="98"/>
      <c r="F1720" s="98"/>
      <c r="G1720" s="98"/>
      <c r="H1720" s="98"/>
      <c r="I1720" s="98"/>
      <c r="J1720" s="98"/>
      <c r="K1720" s="98"/>
      <c r="L1720" s="98"/>
      <c r="M1720" s="98"/>
      <c r="N1720" s="98"/>
      <c r="O1720" s="98"/>
      <c r="P1720" s="98"/>
      <c r="Q1720" s="98"/>
      <c r="R1720" s="99"/>
    </row>
    <row r="1721" spans="1:18" x14ac:dyDescent="0.35">
      <c r="A1721" s="88">
        <f t="shared" si="52"/>
        <v>0</v>
      </c>
      <c r="B1721" s="89"/>
      <c r="C1721" s="90">
        <f t="shared" si="53"/>
        <v>0</v>
      </c>
      <c r="D1721" s="97"/>
      <c r="E1721" s="98"/>
      <c r="F1721" s="98"/>
      <c r="G1721" s="98"/>
      <c r="H1721" s="98"/>
      <c r="I1721" s="98"/>
      <c r="J1721" s="98"/>
      <c r="K1721" s="98"/>
      <c r="L1721" s="98"/>
      <c r="M1721" s="98"/>
      <c r="N1721" s="98"/>
      <c r="O1721" s="98"/>
      <c r="P1721" s="98"/>
      <c r="Q1721" s="98"/>
      <c r="R1721" s="99"/>
    </row>
    <row r="1722" spans="1:18" x14ac:dyDescent="0.35">
      <c r="A1722" s="88">
        <f t="shared" si="52"/>
        <v>0</v>
      </c>
      <c r="B1722" s="89"/>
      <c r="C1722" s="90">
        <f t="shared" si="53"/>
        <v>0</v>
      </c>
      <c r="D1722" s="97"/>
      <c r="E1722" s="98"/>
      <c r="F1722" s="98"/>
      <c r="G1722" s="98"/>
      <c r="H1722" s="98"/>
      <c r="I1722" s="98"/>
      <c r="J1722" s="98"/>
      <c r="K1722" s="98"/>
      <c r="L1722" s="98"/>
      <c r="M1722" s="98"/>
      <c r="N1722" s="98"/>
      <c r="O1722" s="98"/>
      <c r="P1722" s="98"/>
      <c r="Q1722" s="98"/>
      <c r="R1722" s="99"/>
    </row>
    <row r="1723" spans="1:18" x14ac:dyDescent="0.35">
      <c r="A1723" s="88">
        <f t="shared" si="52"/>
        <v>0</v>
      </c>
      <c r="B1723" s="89"/>
      <c r="C1723" s="90">
        <f t="shared" si="53"/>
        <v>0</v>
      </c>
      <c r="D1723" s="97"/>
      <c r="E1723" s="98"/>
      <c r="F1723" s="98"/>
      <c r="G1723" s="98"/>
      <c r="H1723" s="98"/>
      <c r="I1723" s="98"/>
      <c r="J1723" s="98"/>
      <c r="K1723" s="98"/>
      <c r="L1723" s="98"/>
      <c r="M1723" s="98"/>
      <c r="N1723" s="98"/>
      <c r="O1723" s="98"/>
      <c r="P1723" s="98"/>
      <c r="Q1723" s="98"/>
      <c r="R1723" s="99"/>
    </row>
    <row r="1724" spans="1:18" x14ac:dyDescent="0.35">
      <c r="A1724" s="88">
        <f t="shared" si="52"/>
        <v>0</v>
      </c>
      <c r="B1724" s="89"/>
      <c r="C1724" s="90">
        <f t="shared" si="53"/>
        <v>0</v>
      </c>
      <c r="D1724" s="97"/>
      <c r="E1724" s="98"/>
      <c r="F1724" s="98"/>
      <c r="G1724" s="98"/>
      <c r="H1724" s="98"/>
      <c r="I1724" s="98"/>
      <c r="J1724" s="98"/>
      <c r="K1724" s="98"/>
      <c r="L1724" s="98"/>
      <c r="M1724" s="98"/>
      <c r="N1724" s="98"/>
      <c r="O1724" s="98"/>
      <c r="P1724" s="98"/>
      <c r="Q1724" s="98"/>
      <c r="R1724" s="99"/>
    </row>
    <row r="1725" spans="1:18" x14ac:dyDescent="0.35">
      <c r="A1725" s="88">
        <f t="shared" si="52"/>
        <v>0</v>
      </c>
      <c r="B1725" s="89"/>
      <c r="C1725" s="90">
        <f t="shared" si="53"/>
        <v>0</v>
      </c>
      <c r="D1725" s="97"/>
      <c r="E1725" s="98"/>
      <c r="F1725" s="98"/>
      <c r="G1725" s="98"/>
      <c r="H1725" s="98"/>
      <c r="I1725" s="98"/>
      <c r="J1725" s="98"/>
      <c r="K1725" s="98"/>
      <c r="L1725" s="98"/>
      <c r="M1725" s="98"/>
      <c r="N1725" s="98"/>
      <c r="O1725" s="98"/>
      <c r="P1725" s="98"/>
      <c r="Q1725" s="98"/>
      <c r="R1725" s="99"/>
    </row>
    <row r="1726" spans="1:18" x14ac:dyDescent="0.35">
      <c r="A1726" s="88">
        <f t="shared" si="52"/>
        <v>0</v>
      </c>
      <c r="B1726" s="89"/>
      <c r="C1726" s="90">
        <f t="shared" si="53"/>
        <v>0</v>
      </c>
      <c r="D1726" s="97"/>
      <c r="E1726" s="98"/>
      <c r="F1726" s="98"/>
      <c r="G1726" s="98"/>
      <c r="H1726" s="98"/>
      <c r="I1726" s="98"/>
      <c r="J1726" s="98"/>
      <c r="K1726" s="98"/>
      <c r="L1726" s="98"/>
      <c r="M1726" s="98"/>
      <c r="N1726" s="98"/>
      <c r="O1726" s="98"/>
      <c r="P1726" s="98"/>
      <c r="Q1726" s="98"/>
      <c r="R1726" s="99"/>
    </row>
    <row r="1727" spans="1:18" x14ac:dyDescent="0.35">
      <c r="A1727" s="88">
        <f t="shared" si="52"/>
        <v>0</v>
      </c>
      <c r="B1727" s="89"/>
      <c r="C1727" s="90">
        <f t="shared" si="53"/>
        <v>0</v>
      </c>
      <c r="D1727" s="97"/>
      <c r="E1727" s="98"/>
      <c r="F1727" s="98"/>
      <c r="G1727" s="98"/>
      <c r="H1727" s="98"/>
      <c r="I1727" s="98"/>
      <c r="J1727" s="98"/>
      <c r="K1727" s="98"/>
      <c r="L1727" s="98"/>
      <c r="M1727" s="98"/>
      <c r="N1727" s="98"/>
      <c r="O1727" s="98"/>
      <c r="P1727" s="98"/>
      <c r="Q1727" s="98"/>
      <c r="R1727" s="99"/>
    </row>
    <row r="1728" spans="1:18" x14ac:dyDescent="0.35">
      <c r="A1728" s="88">
        <f t="shared" si="52"/>
        <v>0</v>
      </c>
      <c r="B1728" s="89"/>
      <c r="C1728" s="90">
        <f t="shared" si="53"/>
        <v>0</v>
      </c>
      <c r="D1728" s="97"/>
      <c r="E1728" s="98"/>
      <c r="F1728" s="98"/>
      <c r="G1728" s="98"/>
      <c r="H1728" s="98"/>
      <c r="I1728" s="98"/>
      <c r="J1728" s="98"/>
      <c r="K1728" s="98"/>
      <c r="L1728" s="98"/>
      <c r="M1728" s="98"/>
      <c r="N1728" s="98"/>
      <c r="O1728" s="98"/>
      <c r="P1728" s="98"/>
      <c r="Q1728" s="98"/>
      <c r="R1728" s="99"/>
    </row>
    <row r="1729" spans="1:18" x14ac:dyDescent="0.35">
      <c r="A1729" s="88">
        <f t="shared" si="52"/>
        <v>0</v>
      </c>
      <c r="B1729" s="89"/>
      <c r="C1729" s="90">
        <f t="shared" si="53"/>
        <v>0</v>
      </c>
      <c r="D1729" s="97"/>
      <c r="E1729" s="98"/>
      <c r="F1729" s="98"/>
      <c r="G1729" s="98"/>
      <c r="H1729" s="98"/>
      <c r="I1729" s="98"/>
      <c r="J1729" s="98"/>
      <c r="K1729" s="98"/>
      <c r="L1729" s="98"/>
      <c r="M1729" s="98"/>
      <c r="N1729" s="98"/>
      <c r="O1729" s="98"/>
      <c r="P1729" s="98"/>
      <c r="Q1729" s="98"/>
      <c r="R1729" s="99"/>
    </row>
    <row r="1730" spans="1:18" x14ac:dyDescent="0.35">
      <c r="A1730" s="88">
        <f t="shared" si="52"/>
        <v>0</v>
      </c>
      <c r="B1730" s="89"/>
      <c r="C1730" s="90">
        <f t="shared" si="53"/>
        <v>0</v>
      </c>
      <c r="D1730" s="97"/>
      <c r="E1730" s="98"/>
      <c r="F1730" s="98"/>
      <c r="G1730" s="98"/>
      <c r="H1730" s="98"/>
      <c r="I1730" s="98"/>
      <c r="J1730" s="98"/>
      <c r="K1730" s="98"/>
      <c r="L1730" s="98"/>
      <c r="M1730" s="98"/>
      <c r="N1730" s="98"/>
      <c r="O1730" s="98"/>
      <c r="P1730" s="98"/>
      <c r="Q1730" s="98"/>
      <c r="R1730" s="99"/>
    </row>
    <row r="1731" spans="1:18" x14ac:dyDescent="0.35">
      <c r="A1731" s="88">
        <f t="shared" si="52"/>
        <v>0</v>
      </c>
      <c r="B1731" s="89"/>
      <c r="C1731" s="90">
        <f t="shared" si="53"/>
        <v>0</v>
      </c>
      <c r="D1731" s="97"/>
      <c r="E1731" s="98"/>
      <c r="F1731" s="98"/>
      <c r="G1731" s="98"/>
      <c r="H1731" s="98"/>
      <c r="I1731" s="98"/>
      <c r="J1731" s="98"/>
      <c r="K1731" s="98"/>
      <c r="L1731" s="98"/>
      <c r="M1731" s="98"/>
      <c r="N1731" s="98"/>
      <c r="O1731" s="98"/>
      <c r="P1731" s="98"/>
      <c r="Q1731" s="98"/>
      <c r="R1731" s="99"/>
    </row>
    <row r="1732" spans="1:18" x14ac:dyDescent="0.35">
      <c r="A1732" s="88">
        <f t="shared" ref="A1732:A1795" si="54">F1732</f>
        <v>0</v>
      </c>
      <c r="B1732" s="89"/>
      <c r="C1732" s="90">
        <f t="shared" ref="C1732:C1795" si="55">F1732</f>
        <v>0</v>
      </c>
      <c r="D1732" s="97"/>
      <c r="E1732" s="98"/>
      <c r="F1732" s="98"/>
      <c r="G1732" s="98"/>
      <c r="H1732" s="98"/>
      <c r="I1732" s="98"/>
      <c r="J1732" s="98"/>
      <c r="K1732" s="98"/>
      <c r="L1732" s="98"/>
      <c r="M1732" s="98"/>
      <c r="N1732" s="98"/>
      <c r="O1732" s="98"/>
      <c r="P1732" s="98"/>
      <c r="Q1732" s="98"/>
      <c r="R1732" s="99"/>
    </row>
    <row r="1733" spans="1:18" x14ac:dyDescent="0.35">
      <c r="A1733" s="88">
        <f t="shared" si="54"/>
        <v>0</v>
      </c>
      <c r="B1733" s="89"/>
      <c r="C1733" s="90">
        <f t="shared" si="55"/>
        <v>0</v>
      </c>
      <c r="D1733" s="97"/>
      <c r="E1733" s="98"/>
      <c r="F1733" s="98"/>
      <c r="G1733" s="98"/>
      <c r="H1733" s="98"/>
      <c r="I1733" s="98"/>
      <c r="J1733" s="98"/>
      <c r="K1733" s="98"/>
      <c r="L1733" s="98"/>
      <c r="M1733" s="98"/>
      <c r="N1733" s="98"/>
      <c r="O1733" s="98"/>
      <c r="P1733" s="98"/>
      <c r="Q1733" s="98"/>
      <c r="R1733" s="99"/>
    </row>
    <row r="1734" spans="1:18" x14ac:dyDescent="0.35">
      <c r="A1734" s="88">
        <f t="shared" si="54"/>
        <v>0</v>
      </c>
      <c r="B1734" s="89"/>
      <c r="C1734" s="90">
        <f t="shared" si="55"/>
        <v>0</v>
      </c>
      <c r="D1734" s="97"/>
      <c r="E1734" s="98"/>
      <c r="F1734" s="98"/>
      <c r="G1734" s="98"/>
      <c r="H1734" s="98"/>
      <c r="I1734" s="98"/>
      <c r="J1734" s="98"/>
      <c r="K1734" s="98"/>
      <c r="L1734" s="98"/>
      <c r="M1734" s="98"/>
      <c r="N1734" s="98"/>
      <c r="O1734" s="98"/>
      <c r="P1734" s="98"/>
      <c r="Q1734" s="98"/>
      <c r="R1734" s="99"/>
    </row>
    <row r="1735" spans="1:18" x14ac:dyDescent="0.35">
      <c r="A1735" s="88">
        <f t="shared" si="54"/>
        <v>0</v>
      </c>
      <c r="B1735" s="89"/>
      <c r="C1735" s="90">
        <f t="shared" si="55"/>
        <v>0</v>
      </c>
      <c r="D1735" s="97"/>
      <c r="E1735" s="98"/>
      <c r="F1735" s="98"/>
      <c r="G1735" s="98"/>
      <c r="H1735" s="98"/>
      <c r="I1735" s="98"/>
      <c r="J1735" s="98"/>
      <c r="K1735" s="98"/>
      <c r="L1735" s="98"/>
      <c r="M1735" s="98"/>
      <c r="N1735" s="98"/>
      <c r="O1735" s="98"/>
      <c r="P1735" s="98"/>
      <c r="Q1735" s="98"/>
      <c r="R1735" s="99"/>
    </row>
    <row r="1736" spans="1:18" x14ac:dyDescent="0.35">
      <c r="A1736" s="88">
        <f t="shared" si="54"/>
        <v>0</v>
      </c>
      <c r="B1736" s="89"/>
      <c r="C1736" s="90">
        <f t="shared" si="55"/>
        <v>0</v>
      </c>
      <c r="D1736" s="97"/>
      <c r="E1736" s="98"/>
      <c r="F1736" s="98"/>
      <c r="G1736" s="98"/>
      <c r="H1736" s="98"/>
      <c r="I1736" s="98"/>
      <c r="J1736" s="98"/>
      <c r="K1736" s="98"/>
      <c r="L1736" s="98"/>
      <c r="M1736" s="98"/>
      <c r="N1736" s="98"/>
      <c r="O1736" s="98"/>
      <c r="P1736" s="98"/>
      <c r="Q1736" s="98"/>
      <c r="R1736" s="99"/>
    </row>
    <row r="1737" spans="1:18" x14ac:dyDescent="0.35">
      <c r="A1737" s="88">
        <f t="shared" si="54"/>
        <v>0</v>
      </c>
      <c r="B1737" s="89"/>
      <c r="C1737" s="90">
        <f t="shared" si="55"/>
        <v>0</v>
      </c>
      <c r="D1737" s="97"/>
      <c r="E1737" s="98"/>
      <c r="F1737" s="98"/>
      <c r="G1737" s="98"/>
      <c r="H1737" s="98"/>
      <c r="I1737" s="98"/>
      <c r="J1737" s="98"/>
      <c r="K1737" s="98"/>
      <c r="L1737" s="98"/>
      <c r="M1737" s="98"/>
      <c r="N1737" s="98"/>
      <c r="O1737" s="98"/>
      <c r="P1737" s="98"/>
      <c r="Q1737" s="98"/>
      <c r="R1737" s="99"/>
    </row>
    <row r="1738" spans="1:18" x14ac:dyDescent="0.35">
      <c r="A1738" s="88">
        <f t="shared" si="54"/>
        <v>0</v>
      </c>
      <c r="B1738" s="89"/>
      <c r="C1738" s="90">
        <f t="shared" si="55"/>
        <v>0</v>
      </c>
      <c r="D1738" s="97"/>
      <c r="E1738" s="98"/>
      <c r="F1738" s="98"/>
      <c r="G1738" s="98"/>
      <c r="H1738" s="98"/>
      <c r="I1738" s="98"/>
      <c r="J1738" s="98"/>
      <c r="K1738" s="98"/>
      <c r="L1738" s="98"/>
      <c r="M1738" s="98"/>
      <c r="N1738" s="98"/>
      <c r="O1738" s="98"/>
      <c r="P1738" s="98"/>
      <c r="Q1738" s="98"/>
      <c r="R1738" s="99"/>
    </row>
    <row r="1739" spans="1:18" x14ac:dyDescent="0.35">
      <c r="A1739" s="88">
        <f t="shared" si="54"/>
        <v>0</v>
      </c>
      <c r="B1739" s="89"/>
      <c r="C1739" s="90">
        <f t="shared" si="55"/>
        <v>0</v>
      </c>
      <c r="D1739" s="97"/>
      <c r="E1739" s="98"/>
      <c r="F1739" s="98"/>
      <c r="G1739" s="98"/>
      <c r="H1739" s="98"/>
      <c r="I1739" s="98"/>
      <c r="J1739" s="98"/>
      <c r="K1739" s="98"/>
      <c r="L1739" s="98"/>
      <c r="M1739" s="98"/>
      <c r="N1739" s="98"/>
      <c r="O1739" s="98"/>
      <c r="P1739" s="98"/>
      <c r="Q1739" s="98"/>
      <c r="R1739" s="99"/>
    </row>
    <row r="1740" spans="1:18" x14ac:dyDescent="0.35">
      <c r="A1740" s="88">
        <f t="shared" si="54"/>
        <v>0</v>
      </c>
      <c r="B1740" s="89"/>
      <c r="C1740" s="90">
        <f t="shared" si="55"/>
        <v>0</v>
      </c>
      <c r="D1740" s="97"/>
      <c r="E1740" s="98"/>
      <c r="F1740" s="98"/>
      <c r="G1740" s="98"/>
      <c r="H1740" s="98"/>
      <c r="I1740" s="98"/>
      <c r="J1740" s="98"/>
      <c r="K1740" s="98"/>
      <c r="L1740" s="98"/>
      <c r="M1740" s="98"/>
      <c r="N1740" s="98"/>
      <c r="O1740" s="98"/>
      <c r="P1740" s="98"/>
      <c r="Q1740" s="98"/>
      <c r="R1740" s="99"/>
    </row>
    <row r="1741" spans="1:18" x14ac:dyDescent="0.35">
      <c r="A1741" s="88">
        <f t="shared" si="54"/>
        <v>0</v>
      </c>
      <c r="B1741" s="89"/>
      <c r="C1741" s="90">
        <f t="shared" si="55"/>
        <v>0</v>
      </c>
      <c r="D1741" s="97"/>
      <c r="E1741" s="98"/>
      <c r="F1741" s="98"/>
      <c r="G1741" s="98"/>
      <c r="H1741" s="98"/>
      <c r="I1741" s="98"/>
      <c r="J1741" s="98"/>
      <c r="K1741" s="98"/>
      <c r="L1741" s="98"/>
      <c r="M1741" s="98"/>
      <c r="N1741" s="98"/>
      <c r="O1741" s="98"/>
      <c r="P1741" s="98"/>
      <c r="Q1741" s="98"/>
      <c r="R1741" s="99"/>
    </row>
    <row r="1742" spans="1:18" x14ac:dyDescent="0.35">
      <c r="A1742" s="88">
        <f t="shared" si="54"/>
        <v>0</v>
      </c>
      <c r="B1742" s="89"/>
      <c r="C1742" s="90">
        <f t="shared" si="55"/>
        <v>0</v>
      </c>
      <c r="D1742" s="97"/>
      <c r="E1742" s="98"/>
      <c r="F1742" s="98"/>
      <c r="G1742" s="98"/>
      <c r="H1742" s="98"/>
      <c r="I1742" s="98"/>
      <c r="J1742" s="98"/>
      <c r="K1742" s="98"/>
      <c r="L1742" s="98"/>
      <c r="M1742" s="98"/>
      <c r="N1742" s="98"/>
      <c r="O1742" s="98"/>
      <c r="P1742" s="98"/>
      <c r="Q1742" s="98"/>
      <c r="R1742" s="99"/>
    </row>
    <row r="1743" spans="1:18" x14ac:dyDescent="0.35">
      <c r="A1743" s="88">
        <f t="shared" si="54"/>
        <v>0</v>
      </c>
      <c r="B1743" s="89"/>
      <c r="C1743" s="90">
        <f t="shared" si="55"/>
        <v>0</v>
      </c>
      <c r="D1743" s="97"/>
      <c r="E1743" s="98"/>
      <c r="F1743" s="98"/>
      <c r="G1743" s="98"/>
      <c r="H1743" s="98"/>
      <c r="I1743" s="98"/>
      <c r="J1743" s="98"/>
      <c r="K1743" s="98"/>
      <c r="L1743" s="98"/>
      <c r="M1743" s="98"/>
      <c r="N1743" s="98"/>
      <c r="O1743" s="98"/>
      <c r="P1743" s="98"/>
      <c r="Q1743" s="98"/>
      <c r="R1743" s="99"/>
    </row>
    <row r="1744" spans="1:18" x14ac:dyDescent="0.35">
      <c r="A1744" s="88">
        <f t="shared" si="54"/>
        <v>0</v>
      </c>
      <c r="B1744" s="89"/>
      <c r="C1744" s="90">
        <f t="shared" si="55"/>
        <v>0</v>
      </c>
      <c r="D1744" s="97"/>
      <c r="E1744" s="98"/>
      <c r="F1744" s="98"/>
      <c r="G1744" s="98"/>
      <c r="H1744" s="98"/>
      <c r="I1744" s="98"/>
      <c r="J1744" s="98"/>
      <c r="K1744" s="98"/>
      <c r="L1744" s="98"/>
      <c r="M1744" s="98"/>
      <c r="N1744" s="98"/>
      <c r="O1744" s="98"/>
      <c r="P1744" s="98"/>
      <c r="Q1744" s="98"/>
      <c r="R1744" s="99"/>
    </row>
    <row r="1745" spans="1:18" x14ac:dyDescent="0.35">
      <c r="A1745" s="88">
        <f t="shared" si="54"/>
        <v>0</v>
      </c>
      <c r="B1745" s="89"/>
      <c r="C1745" s="90">
        <f t="shared" si="55"/>
        <v>0</v>
      </c>
      <c r="D1745" s="97"/>
      <c r="E1745" s="98"/>
      <c r="F1745" s="98"/>
      <c r="G1745" s="98"/>
      <c r="H1745" s="98"/>
      <c r="I1745" s="98"/>
      <c r="J1745" s="98"/>
      <c r="K1745" s="98"/>
      <c r="L1745" s="98"/>
      <c r="M1745" s="98"/>
      <c r="N1745" s="98"/>
      <c r="O1745" s="98"/>
      <c r="P1745" s="98"/>
      <c r="Q1745" s="98"/>
      <c r="R1745" s="99"/>
    </row>
    <row r="1746" spans="1:18" x14ac:dyDescent="0.35">
      <c r="A1746" s="88">
        <f t="shared" si="54"/>
        <v>0</v>
      </c>
      <c r="B1746" s="89"/>
      <c r="C1746" s="90">
        <f t="shared" si="55"/>
        <v>0</v>
      </c>
      <c r="D1746" s="97"/>
      <c r="E1746" s="98"/>
      <c r="F1746" s="98"/>
      <c r="G1746" s="98"/>
      <c r="H1746" s="98"/>
      <c r="I1746" s="98"/>
      <c r="J1746" s="98"/>
      <c r="K1746" s="98"/>
      <c r="L1746" s="98"/>
      <c r="M1746" s="98"/>
      <c r="N1746" s="98"/>
      <c r="O1746" s="98"/>
      <c r="P1746" s="98"/>
      <c r="Q1746" s="98"/>
      <c r="R1746" s="99"/>
    </row>
    <row r="1747" spans="1:18" x14ac:dyDescent="0.35">
      <c r="A1747" s="88">
        <f t="shared" si="54"/>
        <v>0</v>
      </c>
      <c r="B1747" s="89"/>
      <c r="C1747" s="90">
        <f t="shared" si="55"/>
        <v>0</v>
      </c>
      <c r="D1747" s="97"/>
      <c r="E1747" s="98"/>
      <c r="F1747" s="98"/>
      <c r="G1747" s="98"/>
      <c r="H1747" s="98"/>
      <c r="I1747" s="98"/>
      <c r="J1747" s="98"/>
      <c r="K1747" s="98"/>
      <c r="L1747" s="98"/>
      <c r="M1747" s="98"/>
      <c r="N1747" s="98"/>
      <c r="O1747" s="98"/>
      <c r="P1747" s="98"/>
      <c r="Q1747" s="98"/>
      <c r="R1747" s="99"/>
    </row>
    <row r="1748" spans="1:18" x14ac:dyDescent="0.35">
      <c r="A1748" s="88">
        <f t="shared" si="54"/>
        <v>0</v>
      </c>
      <c r="B1748" s="89"/>
      <c r="C1748" s="90">
        <f t="shared" si="55"/>
        <v>0</v>
      </c>
      <c r="D1748" s="97"/>
      <c r="E1748" s="98"/>
      <c r="F1748" s="98"/>
      <c r="G1748" s="98"/>
      <c r="H1748" s="98"/>
      <c r="I1748" s="98"/>
      <c r="J1748" s="98"/>
      <c r="K1748" s="98"/>
      <c r="L1748" s="98"/>
      <c r="M1748" s="98"/>
      <c r="N1748" s="98"/>
      <c r="O1748" s="98"/>
      <c r="P1748" s="98"/>
      <c r="Q1748" s="98"/>
      <c r="R1748" s="99"/>
    </row>
    <row r="1749" spans="1:18" x14ac:dyDescent="0.35">
      <c r="A1749" s="88">
        <f t="shared" si="54"/>
        <v>0</v>
      </c>
      <c r="B1749" s="89"/>
      <c r="C1749" s="90">
        <f t="shared" si="55"/>
        <v>0</v>
      </c>
      <c r="D1749" s="97"/>
      <c r="E1749" s="98"/>
      <c r="F1749" s="98"/>
      <c r="G1749" s="98"/>
      <c r="H1749" s="98"/>
      <c r="I1749" s="98"/>
      <c r="J1749" s="98"/>
      <c r="K1749" s="98"/>
      <c r="L1749" s="98"/>
      <c r="M1749" s="98"/>
      <c r="N1749" s="98"/>
      <c r="O1749" s="98"/>
      <c r="P1749" s="98"/>
      <c r="Q1749" s="98"/>
      <c r="R1749" s="99"/>
    </row>
    <row r="1750" spans="1:18" x14ac:dyDescent="0.35">
      <c r="A1750" s="88">
        <f t="shared" si="54"/>
        <v>0</v>
      </c>
      <c r="B1750" s="89"/>
      <c r="C1750" s="90">
        <f t="shared" si="55"/>
        <v>0</v>
      </c>
      <c r="D1750" s="97"/>
      <c r="E1750" s="98"/>
      <c r="F1750" s="98"/>
      <c r="G1750" s="98"/>
      <c r="H1750" s="98"/>
      <c r="I1750" s="98"/>
      <c r="J1750" s="98"/>
      <c r="K1750" s="98"/>
      <c r="L1750" s="98"/>
      <c r="M1750" s="98"/>
      <c r="N1750" s="98"/>
      <c r="O1750" s="98"/>
      <c r="P1750" s="98"/>
      <c r="Q1750" s="98"/>
      <c r="R1750" s="99"/>
    </row>
    <row r="1751" spans="1:18" x14ac:dyDescent="0.35">
      <c r="A1751" s="88">
        <f t="shared" si="54"/>
        <v>0</v>
      </c>
      <c r="B1751" s="89"/>
      <c r="C1751" s="90">
        <f t="shared" si="55"/>
        <v>0</v>
      </c>
      <c r="D1751" s="97"/>
      <c r="E1751" s="98"/>
      <c r="F1751" s="98"/>
      <c r="G1751" s="98"/>
      <c r="H1751" s="98"/>
      <c r="I1751" s="98"/>
      <c r="J1751" s="98"/>
      <c r="K1751" s="98"/>
      <c r="L1751" s="98"/>
      <c r="M1751" s="98"/>
      <c r="N1751" s="98"/>
      <c r="O1751" s="98"/>
      <c r="P1751" s="98"/>
      <c r="Q1751" s="98"/>
      <c r="R1751" s="99"/>
    </row>
    <row r="1752" spans="1:18" x14ac:dyDescent="0.35">
      <c r="A1752" s="88">
        <f t="shared" si="54"/>
        <v>0</v>
      </c>
      <c r="B1752" s="89"/>
      <c r="C1752" s="90">
        <f t="shared" si="55"/>
        <v>0</v>
      </c>
      <c r="D1752" s="97"/>
      <c r="E1752" s="98"/>
      <c r="F1752" s="98"/>
      <c r="G1752" s="98"/>
      <c r="H1752" s="98"/>
      <c r="I1752" s="98"/>
      <c r="J1752" s="98"/>
      <c r="K1752" s="98"/>
      <c r="L1752" s="98"/>
      <c r="M1752" s="98"/>
      <c r="N1752" s="98"/>
      <c r="O1752" s="98"/>
      <c r="P1752" s="98"/>
      <c r="Q1752" s="98"/>
      <c r="R1752" s="99"/>
    </row>
    <row r="1753" spans="1:18" x14ac:dyDescent="0.35">
      <c r="A1753" s="88">
        <f t="shared" si="54"/>
        <v>0</v>
      </c>
      <c r="B1753" s="89"/>
      <c r="C1753" s="90">
        <f t="shared" si="55"/>
        <v>0</v>
      </c>
      <c r="D1753" s="97"/>
      <c r="E1753" s="98"/>
      <c r="F1753" s="98"/>
      <c r="G1753" s="98"/>
      <c r="H1753" s="98"/>
      <c r="I1753" s="98"/>
      <c r="J1753" s="98"/>
      <c r="K1753" s="98"/>
      <c r="L1753" s="98"/>
      <c r="M1753" s="98"/>
      <c r="N1753" s="98"/>
      <c r="O1753" s="98"/>
      <c r="P1753" s="98"/>
      <c r="Q1753" s="98"/>
      <c r="R1753" s="99"/>
    </row>
    <row r="1754" spans="1:18" x14ac:dyDescent="0.35">
      <c r="A1754" s="88">
        <f t="shared" si="54"/>
        <v>0</v>
      </c>
      <c r="B1754" s="89"/>
      <c r="C1754" s="90">
        <f t="shared" si="55"/>
        <v>0</v>
      </c>
      <c r="D1754" s="97"/>
      <c r="E1754" s="98"/>
      <c r="F1754" s="98"/>
      <c r="G1754" s="98"/>
      <c r="H1754" s="98"/>
      <c r="I1754" s="98"/>
      <c r="J1754" s="98"/>
      <c r="K1754" s="98"/>
      <c r="L1754" s="98"/>
      <c r="M1754" s="98"/>
      <c r="N1754" s="98"/>
      <c r="O1754" s="98"/>
      <c r="P1754" s="98"/>
      <c r="Q1754" s="98"/>
      <c r="R1754" s="99"/>
    </row>
    <row r="1755" spans="1:18" x14ac:dyDescent="0.35">
      <c r="A1755" s="88">
        <f t="shared" si="54"/>
        <v>0</v>
      </c>
      <c r="B1755" s="89"/>
      <c r="C1755" s="90">
        <f t="shared" si="55"/>
        <v>0</v>
      </c>
      <c r="D1755" s="97"/>
      <c r="E1755" s="98"/>
      <c r="F1755" s="98"/>
      <c r="G1755" s="98"/>
      <c r="H1755" s="98"/>
      <c r="I1755" s="98"/>
      <c r="J1755" s="98"/>
      <c r="K1755" s="98"/>
      <c r="L1755" s="98"/>
      <c r="M1755" s="98"/>
      <c r="N1755" s="98"/>
      <c r="O1755" s="98"/>
      <c r="P1755" s="98"/>
      <c r="Q1755" s="98"/>
      <c r="R1755" s="99"/>
    </row>
    <row r="1756" spans="1:18" x14ac:dyDescent="0.35">
      <c r="A1756" s="88">
        <f t="shared" si="54"/>
        <v>0</v>
      </c>
      <c r="B1756" s="89"/>
      <c r="C1756" s="90">
        <f t="shared" si="55"/>
        <v>0</v>
      </c>
      <c r="D1756" s="97"/>
      <c r="E1756" s="98"/>
      <c r="F1756" s="98"/>
      <c r="G1756" s="98"/>
      <c r="H1756" s="98"/>
      <c r="I1756" s="98"/>
      <c r="J1756" s="98"/>
      <c r="K1756" s="98"/>
      <c r="L1756" s="98"/>
      <c r="M1756" s="98"/>
      <c r="N1756" s="98"/>
      <c r="O1756" s="98"/>
      <c r="P1756" s="98"/>
      <c r="Q1756" s="98"/>
      <c r="R1756" s="99"/>
    </row>
    <row r="1757" spans="1:18" x14ac:dyDescent="0.35">
      <c r="A1757" s="88">
        <f t="shared" si="54"/>
        <v>0</v>
      </c>
      <c r="B1757" s="89"/>
      <c r="C1757" s="90">
        <f t="shared" si="55"/>
        <v>0</v>
      </c>
      <c r="D1757" s="97"/>
      <c r="E1757" s="98"/>
      <c r="F1757" s="98"/>
      <c r="G1757" s="98"/>
      <c r="H1757" s="98"/>
      <c r="I1757" s="98"/>
      <c r="J1757" s="98"/>
      <c r="K1757" s="98"/>
      <c r="L1757" s="98"/>
      <c r="M1757" s="98"/>
      <c r="N1757" s="98"/>
      <c r="O1757" s="98"/>
      <c r="P1757" s="98"/>
      <c r="Q1757" s="98"/>
      <c r="R1757" s="99"/>
    </row>
    <row r="1758" spans="1:18" x14ac:dyDescent="0.35">
      <c r="A1758" s="88">
        <f t="shared" si="54"/>
        <v>0</v>
      </c>
      <c r="B1758" s="89"/>
      <c r="C1758" s="90">
        <f t="shared" si="55"/>
        <v>0</v>
      </c>
      <c r="D1758" s="97"/>
      <c r="E1758" s="98"/>
      <c r="F1758" s="98"/>
      <c r="G1758" s="98"/>
      <c r="H1758" s="98"/>
      <c r="I1758" s="98"/>
      <c r="J1758" s="98"/>
      <c r="K1758" s="98"/>
      <c r="L1758" s="98"/>
      <c r="M1758" s="98"/>
      <c r="N1758" s="98"/>
      <c r="O1758" s="98"/>
      <c r="P1758" s="98"/>
      <c r="Q1758" s="98"/>
      <c r="R1758" s="99"/>
    </row>
    <row r="1759" spans="1:18" x14ac:dyDescent="0.35">
      <c r="A1759" s="88">
        <f t="shared" si="54"/>
        <v>0</v>
      </c>
      <c r="B1759" s="89"/>
      <c r="C1759" s="90">
        <f t="shared" si="55"/>
        <v>0</v>
      </c>
      <c r="D1759" s="97"/>
      <c r="E1759" s="98"/>
      <c r="F1759" s="98"/>
      <c r="G1759" s="98"/>
      <c r="H1759" s="98"/>
      <c r="I1759" s="98"/>
      <c r="J1759" s="98"/>
      <c r="K1759" s="98"/>
      <c r="L1759" s="98"/>
      <c r="M1759" s="98"/>
      <c r="N1759" s="98"/>
      <c r="O1759" s="98"/>
      <c r="P1759" s="98"/>
      <c r="Q1759" s="98"/>
      <c r="R1759" s="99"/>
    </row>
    <row r="1760" spans="1:18" x14ac:dyDescent="0.35">
      <c r="A1760" s="88">
        <f t="shared" si="54"/>
        <v>0</v>
      </c>
      <c r="B1760" s="89"/>
      <c r="C1760" s="90">
        <f t="shared" si="55"/>
        <v>0</v>
      </c>
      <c r="D1760" s="97"/>
      <c r="E1760" s="98"/>
      <c r="F1760" s="98"/>
      <c r="G1760" s="98"/>
      <c r="H1760" s="98"/>
      <c r="I1760" s="98"/>
      <c r="J1760" s="98"/>
      <c r="K1760" s="98"/>
      <c r="L1760" s="98"/>
      <c r="M1760" s="98"/>
      <c r="N1760" s="98"/>
      <c r="O1760" s="98"/>
      <c r="P1760" s="98"/>
      <c r="Q1760" s="98"/>
      <c r="R1760" s="99"/>
    </row>
    <row r="1761" spans="1:18" x14ac:dyDescent="0.35">
      <c r="A1761" s="88">
        <f t="shared" si="54"/>
        <v>0</v>
      </c>
      <c r="B1761" s="89"/>
      <c r="C1761" s="90">
        <f t="shared" si="55"/>
        <v>0</v>
      </c>
      <c r="D1761" s="97"/>
      <c r="E1761" s="98"/>
      <c r="F1761" s="98"/>
      <c r="G1761" s="98"/>
      <c r="H1761" s="98"/>
      <c r="I1761" s="98"/>
      <c r="J1761" s="98"/>
      <c r="K1761" s="98"/>
      <c r="L1761" s="98"/>
      <c r="M1761" s="98"/>
      <c r="N1761" s="98"/>
      <c r="O1761" s="98"/>
      <c r="P1761" s="98"/>
      <c r="Q1761" s="98"/>
      <c r="R1761" s="99"/>
    </row>
    <row r="1762" spans="1:18" x14ac:dyDescent="0.35">
      <c r="A1762" s="88">
        <f t="shared" si="54"/>
        <v>0</v>
      </c>
      <c r="B1762" s="89"/>
      <c r="C1762" s="90">
        <f t="shared" si="55"/>
        <v>0</v>
      </c>
      <c r="D1762" s="97"/>
      <c r="E1762" s="98"/>
      <c r="F1762" s="98"/>
      <c r="G1762" s="98"/>
      <c r="H1762" s="98"/>
      <c r="I1762" s="98"/>
      <c r="J1762" s="98"/>
      <c r="K1762" s="98"/>
      <c r="L1762" s="98"/>
      <c r="M1762" s="98"/>
      <c r="N1762" s="98"/>
      <c r="O1762" s="98"/>
      <c r="P1762" s="98"/>
      <c r="Q1762" s="98"/>
      <c r="R1762" s="99"/>
    </row>
    <row r="1763" spans="1:18" x14ac:dyDescent="0.35">
      <c r="A1763" s="88">
        <f t="shared" si="54"/>
        <v>0</v>
      </c>
      <c r="B1763" s="89"/>
      <c r="C1763" s="90">
        <f t="shared" si="55"/>
        <v>0</v>
      </c>
      <c r="D1763" s="97"/>
      <c r="E1763" s="98"/>
      <c r="F1763" s="98"/>
      <c r="G1763" s="98"/>
      <c r="H1763" s="98"/>
      <c r="I1763" s="98"/>
      <c r="J1763" s="98"/>
      <c r="K1763" s="98"/>
      <c r="L1763" s="98"/>
      <c r="M1763" s="98"/>
      <c r="N1763" s="98"/>
      <c r="O1763" s="98"/>
      <c r="P1763" s="98"/>
      <c r="Q1763" s="98"/>
      <c r="R1763" s="99"/>
    </row>
    <row r="1764" spans="1:18" x14ac:dyDescent="0.35">
      <c r="A1764" s="88">
        <f t="shared" si="54"/>
        <v>0</v>
      </c>
      <c r="B1764" s="89"/>
      <c r="C1764" s="90">
        <f t="shared" si="55"/>
        <v>0</v>
      </c>
      <c r="D1764" s="97"/>
      <c r="E1764" s="98"/>
      <c r="F1764" s="98"/>
      <c r="G1764" s="98"/>
      <c r="H1764" s="98"/>
      <c r="I1764" s="98"/>
      <c r="J1764" s="98"/>
      <c r="K1764" s="98"/>
      <c r="L1764" s="98"/>
      <c r="M1764" s="98"/>
      <c r="N1764" s="98"/>
      <c r="O1764" s="98"/>
      <c r="P1764" s="98"/>
      <c r="Q1764" s="98"/>
      <c r="R1764" s="99"/>
    </row>
    <row r="1765" spans="1:18" x14ac:dyDescent="0.35">
      <c r="A1765" s="88">
        <f t="shared" si="54"/>
        <v>0</v>
      </c>
      <c r="B1765" s="89"/>
      <c r="C1765" s="90">
        <f t="shared" si="55"/>
        <v>0</v>
      </c>
      <c r="D1765" s="97"/>
      <c r="E1765" s="98"/>
      <c r="F1765" s="98"/>
      <c r="G1765" s="98"/>
      <c r="H1765" s="98"/>
      <c r="I1765" s="98"/>
      <c r="J1765" s="98"/>
      <c r="K1765" s="98"/>
      <c r="L1765" s="98"/>
      <c r="M1765" s="98"/>
      <c r="N1765" s="98"/>
      <c r="O1765" s="98"/>
      <c r="P1765" s="98"/>
      <c r="Q1765" s="98"/>
      <c r="R1765" s="99"/>
    </row>
    <row r="1766" spans="1:18" x14ac:dyDescent="0.35">
      <c r="A1766" s="88">
        <f t="shared" si="54"/>
        <v>0</v>
      </c>
      <c r="B1766" s="89"/>
      <c r="C1766" s="90">
        <f t="shared" si="55"/>
        <v>0</v>
      </c>
      <c r="D1766" s="97"/>
      <c r="E1766" s="98"/>
      <c r="F1766" s="98"/>
      <c r="G1766" s="98"/>
      <c r="H1766" s="98"/>
      <c r="I1766" s="98"/>
      <c r="J1766" s="98"/>
      <c r="K1766" s="98"/>
      <c r="L1766" s="98"/>
      <c r="M1766" s="98"/>
      <c r="N1766" s="98"/>
      <c r="O1766" s="98"/>
      <c r="P1766" s="98"/>
      <c r="Q1766" s="98"/>
      <c r="R1766" s="99"/>
    </row>
    <row r="1767" spans="1:18" x14ac:dyDescent="0.35">
      <c r="A1767" s="88">
        <f t="shared" si="54"/>
        <v>0</v>
      </c>
      <c r="B1767" s="89"/>
      <c r="C1767" s="90">
        <f t="shared" si="55"/>
        <v>0</v>
      </c>
      <c r="D1767" s="97"/>
      <c r="E1767" s="98"/>
      <c r="F1767" s="98"/>
      <c r="G1767" s="98"/>
      <c r="H1767" s="98"/>
      <c r="I1767" s="98"/>
      <c r="J1767" s="98"/>
      <c r="K1767" s="98"/>
      <c r="L1767" s="98"/>
      <c r="M1767" s="98"/>
      <c r="N1767" s="98"/>
      <c r="O1767" s="98"/>
      <c r="P1767" s="98"/>
      <c r="Q1767" s="98"/>
      <c r="R1767" s="99"/>
    </row>
    <row r="1768" spans="1:18" x14ac:dyDescent="0.35">
      <c r="A1768" s="88">
        <f t="shared" si="54"/>
        <v>0</v>
      </c>
      <c r="B1768" s="89"/>
      <c r="C1768" s="90">
        <f t="shared" si="55"/>
        <v>0</v>
      </c>
      <c r="D1768" s="97"/>
      <c r="E1768" s="98"/>
      <c r="F1768" s="98"/>
      <c r="G1768" s="98"/>
      <c r="H1768" s="98"/>
      <c r="I1768" s="98"/>
      <c r="J1768" s="98"/>
      <c r="K1768" s="98"/>
      <c r="L1768" s="98"/>
      <c r="M1768" s="98"/>
      <c r="N1768" s="98"/>
      <c r="O1768" s="98"/>
      <c r="P1768" s="98"/>
      <c r="Q1768" s="98"/>
      <c r="R1768" s="99"/>
    </row>
    <row r="1769" spans="1:18" x14ac:dyDescent="0.35">
      <c r="A1769" s="88">
        <f t="shared" si="54"/>
        <v>0</v>
      </c>
      <c r="B1769" s="89"/>
      <c r="C1769" s="90">
        <f t="shared" si="55"/>
        <v>0</v>
      </c>
      <c r="D1769" s="97"/>
      <c r="E1769" s="98"/>
      <c r="F1769" s="98"/>
      <c r="G1769" s="98"/>
      <c r="H1769" s="98"/>
      <c r="I1769" s="98"/>
      <c r="J1769" s="98"/>
      <c r="K1769" s="98"/>
      <c r="L1769" s="98"/>
      <c r="M1769" s="98"/>
      <c r="N1769" s="98"/>
      <c r="O1769" s="98"/>
      <c r="P1769" s="98"/>
      <c r="Q1769" s="98"/>
      <c r="R1769" s="99"/>
    </row>
    <row r="1770" spans="1:18" x14ac:dyDescent="0.35">
      <c r="A1770" s="88">
        <f t="shared" si="54"/>
        <v>0</v>
      </c>
      <c r="B1770" s="89"/>
      <c r="C1770" s="90">
        <f t="shared" si="55"/>
        <v>0</v>
      </c>
      <c r="D1770" s="97"/>
      <c r="E1770" s="98"/>
      <c r="F1770" s="98"/>
      <c r="G1770" s="98"/>
      <c r="H1770" s="98"/>
      <c r="I1770" s="98"/>
      <c r="J1770" s="98"/>
      <c r="K1770" s="98"/>
      <c r="L1770" s="98"/>
      <c r="M1770" s="98"/>
      <c r="N1770" s="98"/>
      <c r="O1770" s="98"/>
      <c r="P1770" s="98"/>
      <c r="Q1770" s="98"/>
      <c r="R1770" s="99"/>
    </row>
    <row r="1771" spans="1:18" x14ac:dyDescent="0.35">
      <c r="A1771" s="88">
        <f t="shared" si="54"/>
        <v>0</v>
      </c>
      <c r="B1771" s="89"/>
      <c r="C1771" s="90">
        <f t="shared" si="55"/>
        <v>0</v>
      </c>
      <c r="D1771" s="97"/>
      <c r="E1771" s="98"/>
      <c r="F1771" s="98"/>
      <c r="G1771" s="98"/>
      <c r="H1771" s="98"/>
      <c r="I1771" s="98"/>
      <c r="J1771" s="98"/>
      <c r="K1771" s="98"/>
      <c r="L1771" s="98"/>
      <c r="M1771" s="98"/>
      <c r="N1771" s="98"/>
      <c r="O1771" s="98"/>
      <c r="P1771" s="98"/>
      <c r="Q1771" s="98"/>
      <c r="R1771" s="99"/>
    </row>
    <row r="1772" spans="1:18" x14ac:dyDescent="0.35">
      <c r="A1772" s="88">
        <f t="shared" si="54"/>
        <v>0</v>
      </c>
      <c r="B1772" s="89"/>
      <c r="C1772" s="90">
        <f t="shared" si="55"/>
        <v>0</v>
      </c>
      <c r="D1772" s="97"/>
      <c r="E1772" s="98"/>
      <c r="F1772" s="98"/>
      <c r="G1772" s="98"/>
      <c r="H1772" s="98"/>
      <c r="I1772" s="98"/>
      <c r="J1772" s="98"/>
      <c r="K1772" s="98"/>
      <c r="L1772" s="98"/>
      <c r="M1772" s="98"/>
      <c r="N1772" s="98"/>
      <c r="O1772" s="98"/>
      <c r="P1772" s="98"/>
      <c r="Q1772" s="98"/>
      <c r="R1772" s="99"/>
    </row>
    <row r="1773" spans="1:18" x14ac:dyDescent="0.35">
      <c r="A1773" s="88">
        <f t="shared" si="54"/>
        <v>0</v>
      </c>
      <c r="B1773" s="89"/>
      <c r="C1773" s="90">
        <f t="shared" si="55"/>
        <v>0</v>
      </c>
      <c r="D1773" s="97"/>
      <c r="E1773" s="98"/>
      <c r="F1773" s="98"/>
      <c r="G1773" s="98"/>
      <c r="H1773" s="98"/>
      <c r="I1773" s="98"/>
      <c r="J1773" s="98"/>
      <c r="K1773" s="98"/>
      <c r="L1773" s="98"/>
      <c r="M1773" s="98"/>
      <c r="N1773" s="98"/>
      <c r="O1773" s="98"/>
      <c r="P1773" s="98"/>
      <c r="Q1773" s="98"/>
      <c r="R1773" s="99"/>
    </row>
    <row r="1774" spans="1:18" x14ac:dyDescent="0.35">
      <c r="A1774" s="88">
        <f t="shared" si="54"/>
        <v>0</v>
      </c>
      <c r="B1774" s="89"/>
      <c r="C1774" s="90">
        <f t="shared" si="55"/>
        <v>0</v>
      </c>
      <c r="D1774" s="97"/>
      <c r="E1774" s="98"/>
      <c r="F1774" s="98"/>
      <c r="G1774" s="98"/>
      <c r="H1774" s="98"/>
      <c r="I1774" s="98"/>
      <c r="J1774" s="98"/>
      <c r="K1774" s="98"/>
      <c r="L1774" s="98"/>
      <c r="M1774" s="98"/>
      <c r="N1774" s="98"/>
      <c r="O1774" s="98"/>
      <c r="P1774" s="98"/>
      <c r="Q1774" s="98"/>
      <c r="R1774" s="99"/>
    </row>
    <row r="1775" spans="1:18" x14ac:dyDescent="0.35">
      <c r="A1775" s="88">
        <f t="shared" si="54"/>
        <v>0</v>
      </c>
      <c r="B1775" s="89"/>
      <c r="C1775" s="90">
        <f t="shared" si="55"/>
        <v>0</v>
      </c>
      <c r="D1775" s="97"/>
      <c r="E1775" s="98"/>
      <c r="F1775" s="98"/>
      <c r="G1775" s="98"/>
      <c r="H1775" s="98"/>
      <c r="I1775" s="98"/>
      <c r="J1775" s="98"/>
      <c r="K1775" s="98"/>
      <c r="L1775" s="98"/>
      <c r="M1775" s="98"/>
      <c r="N1775" s="98"/>
      <c r="O1775" s="98"/>
      <c r="P1775" s="98"/>
      <c r="Q1775" s="98"/>
      <c r="R1775" s="99"/>
    </row>
    <row r="1776" spans="1:18" x14ac:dyDescent="0.35">
      <c r="A1776" s="88">
        <f t="shared" si="54"/>
        <v>0</v>
      </c>
      <c r="B1776" s="89"/>
      <c r="C1776" s="90">
        <f t="shared" si="55"/>
        <v>0</v>
      </c>
      <c r="D1776" s="97"/>
      <c r="E1776" s="98"/>
      <c r="F1776" s="98"/>
      <c r="G1776" s="98"/>
      <c r="H1776" s="98"/>
      <c r="I1776" s="98"/>
      <c r="J1776" s="98"/>
      <c r="K1776" s="98"/>
      <c r="L1776" s="98"/>
      <c r="M1776" s="98"/>
      <c r="N1776" s="98"/>
      <c r="O1776" s="98"/>
      <c r="P1776" s="98"/>
      <c r="Q1776" s="98"/>
      <c r="R1776" s="99"/>
    </row>
    <row r="1777" spans="1:18" x14ac:dyDescent="0.35">
      <c r="A1777" s="88">
        <f t="shared" si="54"/>
        <v>0</v>
      </c>
      <c r="B1777" s="89"/>
      <c r="C1777" s="90">
        <f t="shared" si="55"/>
        <v>0</v>
      </c>
      <c r="D1777" s="97"/>
      <c r="E1777" s="98"/>
      <c r="F1777" s="98"/>
      <c r="G1777" s="98"/>
      <c r="H1777" s="98"/>
      <c r="I1777" s="98"/>
      <c r="J1777" s="98"/>
      <c r="K1777" s="98"/>
      <c r="L1777" s="98"/>
      <c r="M1777" s="98"/>
      <c r="N1777" s="98"/>
      <c r="O1777" s="98"/>
      <c r="P1777" s="98"/>
      <c r="Q1777" s="98"/>
      <c r="R1777" s="99"/>
    </row>
    <row r="1778" spans="1:18" x14ac:dyDescent="0.35">
      <c r="A1778" s="88">
        <f t="shared" si="54"/>
        <v>0</v>
      </c>
      <c r="B1778" s="89"/>
      <c r="C1778" s="90">
        <f t="shared" si="55"/>
        <v>0</v>
      </c>
      <c r="D1778" s="97"/>
      <c r="E1778" s="98"/>
      <c r="F1778" s="98"/>
      <c r="G1778" s="98"/>
      <c r="H1778" s="98"/>
      <c r="I1778" s="98"/>
      <c r="J1778" s="98"/>
      <c r="K1778" s="98"/>
      <c r="L1778" s="98"/>
      <c r="M1778" s="98"/>
      <c r="N1778" s="98"/>
      <c r="O1778" s="98"/>
      <c r="P1778" s="98"/>
      <c r="Q1778" s="98"/>
      <c r="R1778" s="99"/>
    </row>
    <row r="1779" spans="1:18" x14ac:dyDescent="0.35">
      <c r="A1779" s="88">
        <f t="shared" si="54"/>
        <v>0</v>
      </c>
      <c r="B1779" s="89"/>
      <c r="C1779" s="90">
        <f t="shared" si="55"/>
        <v>0</v>
      </c>
      <c r="D1779" s="97"/>
      <c r="E1779" s="98"/>
      <c r="F1779" s="98"/>
      <c r="G1779" s="98"/>
      <c r="H1779" s="98"/>
      <c r="I1779" s="98"/>
      <c r="J1779" s="98"/>
      <c r="K1779" s="98"/>
      <c r="L1779" s="98"/>
      <c r="M1779" s="98"/>
      <c r="N1779" s="98"/>
      <c r="O1779" s="98"/>
      <c r="P1779" s="98"/>
      <c r="Q1779" s="98"/>
      <c r="R1779" s="99"/>
    </row>
    <row r="1780" spans="1:18" x14ac:dyDescent="0.35">
      <c r="A1780" s="88">
        <f t="shared" si="54"/>
        <v>0</v>
      </c>
      <c r="B1780" s="89"/>
      <c r="C1780" s="90">
        <f t="shared" si="55"/>
        <v>0</v>
      </c>
      <c r="D1780" s="97"/>
      <c r="E1780" s="98"/>
      <c r="F1780" s="98"/>
      <c r="G1780" s="98"/>
      <c r="H1780" s="98"/>
      <c r="I1780" s="98"/>
      <c r="J1780" s="98"/>
      <c r="K1780" s="98"/>
      <c r="L1780" s="98"/>
      <c r="M1780" s="98"/>
      <c r="N1780" s="98"/>
      <c r="O1780" s="98"/>
      <c r="P1780" s="98"/>
      <c r="Q1780" s="98"/>
      <c r="R1780" s="99"/>
    </row>
    <row r="1781" spans="1:18" x14ac:dyDescent="0.35">
      <c r="A1781" s="88">
        <f t="shared" si="54"/>
        <v>0</v>
      </c>
      <c r="B1781" s="89"/>
      <c r="C1781" s="90">
        <f t="shared" si="55"/>
        <v>0</v>
      </c>
      <c r="D1781" s="97"/>
      <c r="E1781" s="98"/>
      <c r="F1781" s="98"/>
      <c r="G1781" s="98"/>
      <c r="H1781" s="98"/>
      <c r="I1781" s="98"/>
      <c r="J1781" s="98"/>
      <c r="K1781" s="98"/>
      <c r="L1781" s="98"/>
      <c r="M1781" s="98"/>
      <c r="N1781" s="98"/>
      <c r="O1781" s="98"/>
      <c r="P1781" s="98"/>
      <c r="Q1781" s="98"/>
      <c r="R1781" s="99"/>
    </row>
    <row r="1782" spans="1:18" x14ac:dyDescent="0.35">
      <c r="A1782" s="88">
        <f t="shared" si="54"/>
        <v>0</v>
      </c>
      <c r="B1782" s="89"/>
      <c r="C1782" s="90">
        <f t="shared" si="55"/>
        <v>0</v>
      </c>
      <c r="D1782" s="97"/>
      <c r="E1782" s="98"/>
      <c r="F1782" s="98"/>
      <c r="G1782" s="98"/>
      <c r="H1782" s="98"/>
      <c r="I1782" s="98"/>
      <c r="J1782" s="98"/>
      <c r="K1782" s="98"/>
      <c r="L1782" s="98"/>
      <c r="M1782" s="98"/>
      <c r="N1782" s="98"/>
      <c r="O1782" s="98"/>
      <c r="P1782" s="98"/>
      <c r="Q1782" s="98"/>
      <c r="R1782" s="99"/>
    </row>
    <row r="1783" spans="1:18" x14ac:dyDescent="0.35">
      <c r="A1783" s="88">
        <f t="shared" si="54"/>
        <v>0</v>
      </c>
      <c r="B1783" s="89"/>
      <c r="C1783" s="90">
        <f t="shared" si="55"/>
        <v>0</v>
      </c>
      <c r="D1783" s="97"/>
      <c r="E1783" s="98"/>
      <c r="F1783" s="98"/>
      <c r="G1783" s="98"/>
      <c r="H1783" s="98"/>
      <c r="I1783" s="98"/>
      <c r="J1783" s="98"/>
      <c r="K1783" s="98"/>
      <c r="L1783" s="98"/>
      <c r="M1783" s="98"/>
      <c r="N1783" s="98"/>
      <c r="O1783" s="98"/>
      <c r="P1783" s="98"/>
      <c r="Q1783" s="98"/>
      <c r="R1783" s="99"/>
    </row>
    <row r="1784" spans="1:18" x14ac:dyDescent="0.35">
      <c r="A1784" s="88">
        <f t="shared" si="54"/>
        <v>0</v>
      </c>
      <c r="B1784" s="89"/>
      <c r="C1784" s="90">
        <f t="shared" si="55"/>
        <v>0</v>
      </c>
      <c r="D1784" s="97"/>
      <c r="E1784" s="98"/>
      <c r="F1784" s="98"/>
      <c r="G1784" s="98"/>
      <c r="H1784" s="98"/>
      <c r="I1784" s="98"/>
      <c r="J1784" s="98"/>
      <c r="K1784" s="98"/>
      <c r="L1784" s="98"/>
      <c r="M1784" s="98"/>
      <c r="N1784" s="98"/>
      <c r="O1784" s="98"/>
      <c r="P1784" s="98"/>
      <c r="Q1784" s="98"/>
      <c r="R1784" s="99"/>
    </row>
    <row r="1785" spans="1:18" x14ac:dyDescent="0.35">
      <c r="A1785" s="88">
        <f t="shared" si="54"/>
        <v>0</v>
      </c>
      <c r="B1785" s="89"/>
      <c r="C1785" s="90">
        <f t="shared" si="55"/>
        <v>0</v>
      </c>
      <c r="D1785" s="97"/>
      <c r="E1785" s="98"/>
      <c r="F1785" s="98"/>
      <c r="G1785" s="98"/>
      <c r="H1785" s="98"/>
      <c r="I1785" s="98"/>
      <c r="J1785" s="98"/>
      <c r="K1785" s="98"/>
      <c r="L1785" s="98"/>
      <c r="M1785" s="98"/>
      <c r="N1785" s="98"/>
      <c r="O1785" s="98"/>
      <c r="P1785" s="98"/>
      <c r="Q1785" s="98"/>
      <c r="R1785" s="99"/>
    </row>
    <row r="1786" spans="1:18" x14ac:dyDescent="0.35">
      <c r="A1786" s="88">
        <f t="shared" si="54"/>
        <v>0</v>
      </c>
      <c r="B1786" s="89"/>
      <c r="C1786" s="90">
        <f t="shared" si="55"/>
        <v>0</v>
      </c>
      <c r="D1786" s="97"/>
      <c r="E1786" s="98"/>
      <c r="F1786" s="98"/>
      <c r="G1786" s="98"/>
      <c r="H1786" s="98"/>
      <c r="I1786" s="98"/>
      <c r="J1786" s="98"/>
      <c r="K1786" s="98"/>
      <c r="L1786" s="98"/>
      <c r="M1786" s="98"/>
      <c r="N1786" s="98"/>
      <c r="O1786" s="98"/>
      <c r="P1786" s="98"/>
      <c r="Q1786" s="98"/>
      <c r="R1786" s="99"/>
    </row>
    <row r="1787" spans="1:18" x14ac:dyDescent="0.35">
      <c r="A1787" s="88">
        <f t="shared" si="54"/>
        <v>0</v>
      </c>
      <c r="B1787" s="89"/>
      <c r="C1787" s="90">
        <f t="shared" si="55"/>
        <v>0</v>
      </c>
      <c r="D1787" s="97"/>
      <c r="E1787" s="98"/>
      <c r="F1787" s="98"/>
      <c r="G1787" s="98"/>
      <c r="H1787" s="98"/>
      <c r="I1787" s="98"/>
      <c r="J1787" s="98"/>
      <c r="K1787" s="98"/>
      <c r="L1787" s="98"/>
      <c r="M1787" s="98"/>
      <c r="N1787" s="98"/>
      <c r="O1787" s="98"/>
      <c r="P1787" s="98"/>
      <c r="Q1787" s="98"/>
      <c r="R1787" s="99"/>
    </row>
    <row r="1788" spans="1:18" x14ac:dyDescent="0.35">
      <c r="A1788" s="88">
        <f t="shared" si="54"/>
        <v>0</v>
      </c>
      <c r="B1788" s="89"/>
      <c r="C1788" s="90">
        <f t="shared" si="55"/>
        <v>0</v>
      </c>
      <c r="D1788" s="97"/>
      <c r="E1788" s="98"/>
      <c r="F1788" s="98"/>
      <c r="G1788" s="98"/>
      <c r="H1788" s="98"/>
      <c r="I1788" s="98"/>
      <c r="J1788" s="98"/>
      <c r="K1788" s="98"/>
      <c r="L1788" s="98"/>
      <c r="M1788" s="98"/>
      <c r="N1788" s="98"/>
      <c r="O1788" s="98"/>
      <c r="P1788" s="98"/>
      <c r="Q1788" s="98"/>
      <c r="R1788" s="99"/>
    </row>
    <row r="1789" spans="1:18" x14ac:dyDescent="0.35">
      <c r="A1789" s="88">
        <f t="shared" si="54"/>
        <v>0</v>
      </c>
      <c r="B1789" s="89"/>
      <c r="C1789" s="90">
        <f t="shared" si="55"/>
        <v>0</v>
      </c>
      <c r="D1789" s="97"/>
      <c r="E1789" s="98"/>
      <c r="F1789" s="98"/>
      <c r="G1789" s="98"/>
      <c r="H1789" s="98"/>
      <c r="I1789" s="98"/>
      <c r="J1789" s="98"/>
      <c r="K1789" s="98"/>
      <c r="L1789" s="98"/>
      <c r="M1789" s="98"/>
      <c r="N1789" s="98"/>
      <c r="O1789" s="98"/>
      <c r="P1789" s="98"/>
      <c r="Q1789" s="98"/>
      <c r="R1789" s="99"/>
    </row>
    <row r="1790" spans="1:18" x14ac:dyDescent="0.35">
      <c r="A1790" s="88">
        <f t="shared" si="54"/>
        <v>0</v>
      </c>
      <c r="B1790" s="89"/>
      <c r="C1790" s="90">
        <f t="shared" si="55"/>
        <v>0</v>
      </c>
      <c r="D1790" s="97"/>
      <c r="E1790" s="98"/>
      <c r="F1790" s="98"/>
      <c r="G1790" s="98"/>
      <c r="H1790" s="98"/>
      <c r="I1790" s="98"/>
      <c r="J1790" s="98"/>
      <c r="K1790" s="98"/>
      <c r="L1790" s="98"/>
      <c r="M1790" s="98"/>
      <c r="N1790" s="98"/>
      <c r="O1790" s="98"/>
      <c r="P1790" s="98"/>
      <c r="Q1790" s="98"/>
      <c r="R1790" s="99"/>
    </row>
    <row r="1791" spans="1:18" x14ac:dyDescent="0.35">
      <c r="A1791" s="88">
        <f t="shared" si="54"/>
        <v>0</v>
      </c>
      <c r="B1791" s="89"/>
      <c r="C1791" s="90">
        <f t="shared" si="55"/>
        <v>0</v>
      </c>
      <c r="D1791" s="97"/>
      <c r="E1791" s="98"/>
      <c r="F1791" s="98"/>
      <c r="G1791" s="98"/>
      <c r="H1791" s="98"/>
      <c r="I1791" s="98"/>
      <c r="J1791" s="98"/>
      <c r="K1791" s="98"/>
      <c r="L1791" s="98"/>
      <c r="M1791" s="98"/>
      <c r="N1791" s="98"/>
      <c r="O1791" s="98"/>
      <c r="P1791" s="98"/>
      <c r="Q1791" s="98"/>
      <c r="R1791" s="99"/>
    </row>
    <row r="1792" spans="1:18" x14ac:dyDescent="0.35">
      <c r="A1792" s="88">
        <f t="shared" si="54"/>
        <v>0</v>
      </c>
      <c r="B1792" s="89"/>
      <c r="C1792" s="90">
        <f t="shared" si="55"/>
        <v>0</v>
      </c>
      <c r="D1792" s="97"/>
      <c r="E1792" s="98"/>
      <c r="F1792" s="98"/>
      <c r="G1792" s="98"/>
      <c r="H1792" s="98"/>
      <c r="I1792" s="98"/>
      <c r="J1792" s="98"/>
      <c r="K1792" s="98"/>
      <c r="L1792" s="98"/>
      <c r="M1792" s="98"/>
      <c r="N1792" s="98"/>
      <c r="O1792" s="98"/>
      <c r="P1792" s="98"/>
      <c r="Q1792" s="98"/>
      <c r="R1792" s="99"/>
    </row>
    <row r="1793" spans="1:18" x14ac:dyDescent="0.35">
      <c r="A1793" s="88">
        <f t="shared" si="54"/>
        <v>0</v>
      </c>
      <c r="B1793" s="89"/>
      <c r="C1793" s="90">
        <f t="shared" si="55"/>
        <v>0</v>
      </c>
      <c r="D1793" s="97"/>
      <c r="E1793" s="98"/>
      <c r="F1793" s="98"/>
      <c r="G1793" s="98"/>
      <c r="H1793" s="98"/>
      <c r="I1793" s="98"/>
      <c r="J1793" s="98"/>
      <c r="K1793" s="98"/>
      <c r="L1793" s="98"/>
      <c r="M1793" s="98"/>
      <c r="N1793" s="98"/>
      <c r="O1793" s="98"/>
      <c r="P1793" s="98"/>
      <c r="Q1793" s="98"/>
      <c r="R1793" s="99"/>
    </row>
    <row r="1794" spans="1:18" x14ac:dyDescent="0.35">
      <c r="A1794" s="88">
        <f t="shared" si="54"/>
        <v>0</v>
      </c>
      <c r="B1794" s="89"/>
      <c r="C1794" s="90">
        <f t="shared" si="55"/>
        <v>0</v>
      </c>
      <c r="D1794" s="97"/>
      <c r="E1794" s="98"/>
      <c r="F1794" s="98"/>
      <c r="G1794" s="98"/>
      <c r="H1794" s="98"/>
      <c r="I1794" s="98"/>
      <c r="J1794" s="98"/>
      <c r="K1794" s="98"/>
      <c r="L1794" s="98"/>
      <c r="M1794" s="98"/>
      <c r="N1794" s="98"/>
      <c r="O1794" s="98"/>
      <c r="P1794" s="98"/>
      <c r="Q1794" s="98"/>
      <c r="R1794" s="99"/>
    </row>
    <row r="1795" spans="1:18" x14ac:dyDescent="0.35">
      <c r="A1795" s="88">
        <f t="shared" si="54"/>
        <v>0</v>
      </c>
      <c r="B1795" s="89"/>
      <c r="C1795" s="90">
        <f t="shared" si="55"/>
        <v>0</v>
      </c>
      <c r="D1795" s="97"/>
      <c r="E1795" s="98"/>
      <c r="F1795" s="98"/>
      <c r="G1795" s="98"/>
      <c r="H1795" s="98"/>
      <c r="I1795" s="98"/>
      <c r="J1795" s="98"/>
      <c r="K1795" s="98"/>
      <c r="L1795" s="98"/>
      <c r="M1795" s="98"/>
      <c r="N1795" s="98"/>
      <c r="O1795" s="98"/>
      <c r="P1795" s="98"/>
      <c r="Q1795" s="98"/>
      <c r="R1795" s="99"/>
    </row>
    <row r="1796" spans="1:18" x14ac:dyDescent="0.35">
      <c r="A1796" s="88">
        <f t="shared" ref="A1796:A1859" si="56">F1796</f>
        <v>0</v>
      </c>
      <c r="B1796" s="89"/>
      <c r="C1796" s="90">
        <f t="shared" ref="C1796:C1859" si="57">F1796</f>
        <v>0</v>
      </c>
      <c r="D1796" s="97"/>
      <c r="E1796" s="98"/>
      <c r="F1796" s="98"/>
      <c r="G1796" s="98"/>
      <c r="H1796" s="98"/>
      <c r="I1796" s="98"/>
      <c r="J1796" s="98"/>
      <c r="K1796" s="98"/>
      <c r="L1796" s="98"/>
      <c r="M1796" s="98"/>
      <c r="N1796" s="98"/>
      <c r="O1796" s="98"/>
      <c r="P1796" s="98"/>
      <c r="Q1796" s="98"/>
      <c r="R1796" s="99"/>
    </row>
    <row r="1797" spans="1:18" x14ac:dyDescent="0.35">
      <c r="A1797" s="88">
        <f t="shared" si="56"/>
        <v>0</v>
      </c>
      <c r="B1797" s="89"/>
      <c r="C1797" s="90">
        <f t="shared" si="57"/>
        <v>0</v>
      </c>
      <c r="D1797" s="97"/>
      <c r="E1797" s="98"/>
      <c r="F1797" s="98"/>
      <c r="G1797" s="98"/>
      <c r="H1797" s="98"/>
      <c r="I1797" s="98"/>
      <c r="J1797" s="98"/>
      <c r="K1797" s="98"/>
      <c r="L1797" s="98"/>
      <c r="M1797" s="98"/>
      <c r="N1797" s="98"/>
      <c r="O1797" s="98"/>
      <c r="P1797" s="98"/>
      <c r="Q1797" s="98"/>
      <c r="R1797" s="99"/>
    </row>
    <row r="1798" spans="1:18" x14ac:dyDescent="0.35">
      <c r="A1798" s="88">
        <f t="shared" si="56"/>
        <v>0</v>
      </c>
      <c r="B1798" s="89"/>
      <c r="C1798" s="90">
        <f t="shared" si="57"/>
        <v>0</v>
      </c>
      <c r="D1798" s="97"/>
      <c r="E1798" s="98"/>
      <c r="F1798" s="98"/>
      <c r="G1798" s="98"/>
      <c r="H1798" s="98"/>
      <c r="I1798" s="98"/>
      <c r="J1798" s="98"/>
      <c r="K1798" s="98"/>
      <c r="L1798" s="98"/>
      <c r="M1798" s="98"/>
      <c r="N1798" s="98"/>
      <c r="O1798" s="98"/>
      <c r="P1798" s="98"/>
      <c r="Q1798" s="98"/>
      <c r="R1798" s="99"/>
    </row>
    <row r="1799" spans="1:18" x14ac:dyDescent="0.35">
      <c r="A1799" s="88">
        <f t="shared" si="56"/>
        <v>0</v>
      </c>
      <c r="B1799" s="89"/>
      <c r="C1799" s="90">
        <f t="shared" si="57"/>
        <v>0</v>
      </c>
      <c r="D1799" s="97"/>
      <c r="E1799" s="98"/>
      <c r="F1799" s="98"/>
      <c r="G1799" s="98"/>
      <c r="H1799" s="98"/>
      <c r="I1799" s="98"/>
      <c r="J1799" s="98"/>
      <c r="K1799" s="98"/>
      <c r="L1799" s="98"/>
      <c r="M1799" s="98"/>
      <c r="N1799" s="98"/>
      <c r="O1799" s="98"/>
      <c r="P1799" s="98"/>
      <c r="Q1799" s="98"/>
      <c r="R1799" s="99"/>
    </row>
    <row r="1800" spans="1:18" x14ac:dyDescent="0.35">
      <c r="A1800" s="88">
        <f t="shared" si="56"/>
        <v>0</v>
      </c>
      <c r="B1800" s="89"/>
      <c r="C1800" s="90">
        <f t="shared" si="57"/>
        <v>0</v>
      </c>
      <c r="D1800" s="97"/>
      <c r="E1800" s="98"/>
      <c r="F1800" s="98"/>
      <c r="G1800" s="98"/>
      <c r="H1800" s="98"/>
      <c r="I1800" s="98"/>
      <c r="J1800" s="98"/>
      <c r="K1800" s="98"/>
      <c r="L1800" s="98"/>
      <c r="M1800" s="98"/>
      <c r="N1800" s="98"/>
      <c r="O1800" s="98"/>
      <c r="P1800" s="98"/>
      <c r="Q1800" s="98"/>
      <c r="R1800" s="99"/>
    </row>
    <row r="1801" spans="1:18" x14ac:dyDescent="0.35">
      <c r="A1801" s="88">
        <f t="shared" si="56"/>
        <v>0</v>
      </c>
      <c r="B1801" s="89"/>
      <c r="C1801" s="90">
        <f t="shared" si="57"/>
        <v>0</v>
      </c>
      <c r="D1801" s="97"/>
      <c r="E1801" s="98"/>
      <c r="F1801" s="98"/>
      <c r="G1801" s="98"/>
      <c r="H1801" s="98"/>
      <c r="I1801" s="98"/>
      <c r="J1801" s="98"/>
      <c r="K1801" s="98"/>
      <c r="L1801" s="98"/>
      <c r="M1801" s="98"/>
      <c r="N1801" s="98"/>
      <c r="O1801" s="98"/>
      <c r="P1801" s="98"/>
      <c r="Q1801" s="98"/>
      <c r="R1801" s="99"/>
    </row>
    <row r="1802" spans="1:18" x14ac:dyDescent="0.35">
      <c r="A1802" s="88">
        <f t="shared" si="56"/>
        <v>0</v>
      </c>
      <c r="B1802" s="89"/>
      <c r="C1802" s="90">
        <f t="shared" si="57"/>
        <v>0</v>
      </c>
      <c r="D1802" s="97"/>
      <c r="E1802" s="98"/>
      <c r="F1802" s="98"/>
      <c r="G1802" s="98"/>
      <c r="H1802" s="98"/>
      <c r="I1802" s="98"/>
      <c r="J1802" s="98"/>
      <c r="K1802" s="98"/>
      <c r="L1802" s="98"/>
      <c r="M1802" s="98"/>
      <c r="N1802" s="98"/>
      <c r="O1802" s="98"/>
      <c r="P1802" s="98"/>
      <c r="Q1802" s="98"/>
      <c r="R1802" s="99"/>
    </row>
    <row r="1803" spans="1:18" x14ac:dyDescent="0.35">
      <c r="A1803" s="88">
        <f t="shared" si="56"/>
        <v>0</v>
      </c>
      <c r="B1803" s="89"/>
      <c r="C1803" s="90">
        <f t="shared" si="57"/>
        <v>0</v>
      </c>
      <c r="D1803" s="97"/>
      <c r="E1803" s="98"/>
      <c r="F1803" s="98"/>
      <c r="G1803" s="98"/>
      <c r="H1803" s="98"/>
      <c r="I1803" s="98"/>
      <c r="J1803" s="98"/>
      <c r="K1803" s="98"/>
      <c r="L1803" s="98"/>
      <c r="M1803" s="98"/>
      <c r="N1803" s="98"/>
      <c r="O1803" s="98"/>
      <c r="P1803" s="98"/>
      <c r="Q1803" s="98"/>
      <c r="R1803" s="99"/>
    </row>
    <row r="1804" spans="1:18" x14ac:dyDescent="0.35">
      <c r="A1804" s="88">
        <f t="shared" si="56"/>
        <v>0</v>
      </c>
      <c r="B1804" s="89"/>
      <c r="C1804" s="90">
        <f t="shared" si="57"/>
        <v>0</v>
      </c>
      <c r="D1804" s="97"/>
      <c r="E1804" s="98"/>
      <c r="F1804" s="98"/>
      <c r="G1804" s="98"/>
      <c r="H1804" s="98"/>
      <c r="I1804" s="98"/>
      <c r="J1804" s="98"/>
      <c r="K1804" s="98"/>
      <c r="L1804" s="98"/>
      <c r="M1804" s="98"/>
      <c r="N1804" s="98"/>
      <c r="O1804" s="98"/>
      <c r="P1804" s="98"/>
      <c r="Q1804" s="98"/>
      <c r="R1804" s="99"/>
    </row>
    <row r="1805" spans="1:18" x14ac:dyDescent="0.35">
      <c r="A1805" s="88">
        <f t="shared" si="56"/>
        <v>0</v>
      </c>
      <c r="B1805" s="89"/>
      <c r="C1805" s="90">
        <f t="shared" si="57"/>
        <v>0</v>
      </c>
      <c r="D1805" s="97"/>
      <c r="E1805" s="98"/>
      <c r="F1805" s="98"/>
      <c r="G1805" s="98"/>
      <c r="H1805" s="98"/>
      <c r="I1805" s="98"/>
      <c r="J1805" s="98"/>
      <c r="K1805" s="98"/>
      <c r="L1805" s="98"/>
      <c r="M1805" s="98"/>
      <c r="N1805" s="98"/>
      <c r="O1805" s="98"/>
      <c r="P1805" s="98"/>
      <c r="Q1805" s="98"/>
      <c r="R1805" s="99"/>
    </row>
    <row r="1806" spans="1:18" x14ac:dyDescent="0.35">
      <c r="A1806" s="88">
        <f t="shared" si="56"/>
        <v>0</v>
      </c>
      <c r="B1806" s="89"/>
      <c r="C1806" s="90">
        <f t="shared" si="57"/>
        <v>0</v>
      </c>
      <c r="D1806" s="97"/>
      <c r="E1806" s="98"/>
      <c r="F1806" s="98"/>
      <c r="G1806" s="98"/>
      <c r="H1806" s="98"/>
      <c r="I1806" s="98"/>
      <c r="J1806" s="98"/>
      <c r="K1806" s="98"/>
      <c r="L1806" s="98"/>
      <c r="M1806" s="98"/>
      <c r="N1806" s="98"/>
      <c r="O1806" s="98"/>
      <c r="P1806" s="98"/>
      <c r="Q1806" s="98"/>
      <c r="R1806" s="99"/>
    </row>
    <row r="1807" spans="1:18" x14ac:dyDescent="0.35">
      <c r="A1807" s="88">
        <f t="shared" si="56"/>
        <v>0</v>
      </c>
      <c r="B1807" s="89"/>
      <c r="C1807" s="90">
        <f t="shared" si="57"/>
        <v>0</v>
      </c>
      <c r="D1807" s="97"/>
      <c r="E1807" s="98"/>
      <c r="F1807" s="98"/>
      <c r="G1807" s="98"/>
      <c r="H1807" s="98"/>
      <c r="I1807" s="98"/>
      <c r="J1807" s="98"/>
      <c r="K1807" s="98"/>
      <c r="L1807" s="98"/>
      <c r="M1807" s="98"/>
      <c r="N1807" s="98"/>
      <c r="O1807" s="98"/>
      <c r="P1807" s="98"/>
      <c r="Q1807" s="98"/>
      <c r="R1807" s="99"/>
    </row>
    <row r="1808" spans="1:18" x14ac:dyDescent="0.35">
      <c r="A1808" s="88">
        <f t="shared" si="56"/>
        <v>0</v>
      </c>
      <c r="B1808" s="89"/>
      <c r="C1808" s="90">
        <f t="shared" si="57"/>
        <v>0</v>
      </c>
      <c r="D1808" s="97"/>
      <c r="E1808" s="98"/>
      <c r="F1808" s="98"/>
      <c r="G1808" s="98"/>
      <c r="H1808" s="98"/>
      <c r="I1808" s="98"/>
      <c r="J1808" s="98"/>
      <c r="K1808" s="98"/>
      <c r="L1808" s="98"/>
      <c r="M1808" s="98"/>
      <c r="N1808" s="98"/>
      <c r="O1808" s="98"/>
      <c r="P1808" s="98"/>
      <c r="Q1808" s="98"/>
      <c r="R1808" s="99"/>
    </row>
    <row r="1809" spans="1:18" x14ac:dyDescent="0.35">
      <c r="A1809" s="88">
        <f t="shared" si="56"/>
        <v>0</v>
      </c>
      <c r="B1809" s="89"/>
      <c r="C1809" s="90">
        <f t="shared" si="57"/>
        <v>0</v>
      </c>
      <c r="D1809" s="97"/>
      <c r="E1809" s="98"/>
      <c r="F1809" s="98"/>
      <c r="G1809" s="98"/>
      <c r="H1809" s="98"/>
      <c r="I1809" s="98"/>
      <c r="J1809" s="98"/>
      <c r="K1809" s="98"/>
      <c r="L1809" s="98"/>
      <c r="M1809" s="98"/>
      <c r="N1809" s="98"/>
      <c r="O1809" s="98"/>
      <c r="P1809" s="98"/>
      <c r="Q1809" s="98"/>
      <c r="R1809" s="99"/>
    </row>
    <row r="1810" spans="1:18" x14ac:dyDescent="0.35">
      <c r="A1810" s="88">
        <f t="shared" si="56"/>
        <v>0</v>
      </c>
      <c r="B1810" s="89"/>
      <c r="C1810" s="90">
        <f t="shared" si="57"/>
        <v>0</v>
      </c>
      <c r="D1810" s="97"/>
      <c r="E1810" s="98"/>
      <c r="F1810" s="98"/>
      <c r="G1810" s="98"/>
      <c r="H1810" s="98"/>
      <c r="I1810" s="98"/>
      <c r="J1810" s="98"/>
      <c r="K1810" s="98"/>
      <c r="L1810" s="98"/>
      <c r="M1810" s="98"/>
      <c r="N1810" s="98"/>
      <c r="O1810" s="98"/>
      <c r="P1810" s="98"/>
      <c r="Q1810" s="98"/>
      <c r="R1810" s="99"/>
    </row>
    <row r="1811" spans="1:18" x14ac:dyDescent="0.35">
      <c r="A1811" s="88">
        <f t="shared" si="56"/>
        <v>0</v>
      </c>
      <c r="B1811" s="89"/>
      <c r="C1811" s="90">
        <f t="shared" si="57"/>
        <v>0</v>
      </c>
      <c r="D1811" s="97"/>
      <c r="E1811" s="98"/>
      <c r="F1811" s="98"/>
      <c r="G1811" s="98"/>
      <c r="H1811" s="98"/>
      <c r="I1811" s="98"/>
      <c r="J1811" s="98"/>
      <c r="K1811" s="98"/>
      <c r="L1811" s="98"/>
      <c r="M1811" s="98"/>
      <c r="N1811" s="98"/>
      <c r="O1811" s="98"/>
      <c r="P1811" s="98"/>
      <c r="Q1811" s="98"/>
      <c r="R1811" s="99"/>
    </row>
    <row r="1812" spans="1:18" x14ac:dyDescent="0.35">
      <c r="A1812" s="88">
        <f t="shared" si="56"/>
        <v>0</v>
      </c>
      <c r="B1812" s="89"/>
      <c r="C1812" s="90">
        <f t="shared" si="57"/>
        <v>0</v>
      </c>
      <c r="D1812" s="97"/>
      <c r="E1812" s="98"/>
      <c r="F1812" s="98"/>
      <c r="G1812" s="98"/>
      <c r="H1812" s="98"/>
      <c r="I1812" s="98"/>
      <c r="J1812" s="98"/>
      <c r="K1812" s="98"/>
      <c r="L1812" s="98"/>
      <c r="M1812" s="98"/>
      <c r="N1812" s="98"/>
      <c r="O1812" s="98"/>
      <c r="P1812" s="98"/>
      <c r="Q1812" s="98"/>
      <c r="R1812" s="99"/>
    </row>
    <row r="1813" spans="1:18" x14ac:dyDescent="0.35">
      <c r="A1813" s="88">
        <f t="shared" si="56"/>
        <v>0</v>
      </c>
      <c r="B1813" s="89"/>
      <c r="C1813" s="90">
        <f t="shared" si="57"/>
        <v>0</v>
      </c>
      <c r="D1813" s="97"/>
      <c r="E1813" s="98"/>
      <c r="F1813" s="98"/>
      <c r="G1813" s="98"/>
      <c r="H1813" s="98"/>
      <c r="I1813" s="98"/>
      <c r="J1813" s="98"/>
      <c r="K1813" s="98"/>
      <c r="L1813" s="98"/>
      <c r="M1813" s="98"/>
      <c r="N1813" s="98"/>
      <c r="O1813" s="98"/>
      <c r="P1813" s="98"/>
      <c r="Q1813" s="98"/>
      <c r="R1813" s="99"/>
    </row>
    <row r="1814" spans="1:18" x14ac:dyDescent="0.35">
      <c r="A1814" s="88">
        <f t="shared" si="56"/>
        <v>0</v>
      </c>
      <c r="B1814" s="89"/>
      <c r="C1814" s="90">
        <f t="shared" si="57"/>
        <v>0</v>
      </c>
      <c r="D1814" s="97"/>
      <c r="E1814" s="98"/>
      <c r="F1814" s="98"/>
      <c r="G1814" s="98"/>
      <c r="H1814" s="98"/>
      <c r="I1814" s="98"/>
      <c r="J1814" s="98"/>
      <c r="K1814" s="98"/>
      <c r="L1814" s="98"/>
      <c r="M1814" s="98"/>
      <c r="N1814" s="98"/>
      <c r="O1814" s="98"/>
      <c r="P1814" s="98"/>
      <c r="Q1814" s="98"/>
      <c r="R1814" s="99"/>
    </row>
    <row r="1815" spans="1:18" x14ac:dyDescent="0.35">
      <c r="A1815" s="88">
        <f t="shared" si="56"/>
        <v>0</v>
      </c>
      <c r="B1815" s="89"/>
      <c r="C1815" s="90">
        <f t="shared" si="57"/>
        <v>0</v>
      </c>
      <c r="D1815" s="97"/>
      <c r="E1815" s="98"/>
      <c r="F1815" s="98"/>
      <c r="G1815" s="98"/>
      <c r="H1815" s="98"/>
      <c r="I1815" s="98"/>
      <c r="J1815" s="98"/>
      <c r="K1815" s="98"/>
      <c r="L1815" s="98"/>
      <c r="M1815" s="98"/>
      <c r="N1815" s="98"/>
      <c r="O1815" s="98"/>
      <c r="P1815" s="98"/>
      <c r="Q1815" s="98"/>
      <c r="R1815" s="99"/>
    </row>
    <row r="1816" spans="1:18" x14ac:dyDescent="0.35">
      <c r="A1816" s="88">
        <f t="shared" si="56"/>
        <v>0</v>
      </c>
      <c r="B1816" s="89"/>
      <c r="C1816" s="90">
        <f t="shared" si="57"/>
        <v>0</v>
      </c>
      <c r="D1816" s="97"/>
      <c r="E1816" s="98"/>
      <c r="F1816" s="98"/>
      <c r="G1816" s="98"/>
      <c r="H1816" s="98"/>
      <c r="I1816" s="98"/>
      <c r="J1816" s="98"/>
      <c r="K1816" s="98"/>
      <c r="L1816" s="98"/>
      <c r="M1816" s="98"/>
      <c r="N1816" s="98"/>
      <c r="O1816" s="98"/>
      <c r="P1816" s="98"/>
      <c r="Q1816" s="98"/>
      <c r="R1816" s="99"/>
    </row>
    <row r="1817" spans="1:18" x14ac:dyDescent="0.35">
      <c r="A1817" s="88">
        <f t="shared" si="56"/>
        <v>0</v>
      </c>
      <c r="B1817" s="89"/>
      <c r="C1817" s="90">
        <f t="shared" si="57"/>
        <v>0</v>
      </c>
      <c r="D1817" s="97"/>
      <c r="E1817" s="98"/>
      <c r="F1817" s="98"/>
      <c r="G1817" s="98"/>
      <c r="H1817" s="98"/>
      <c r="I1817" s="98"/>
      <c r="J1817" s="98"/>
      <c r="K1817" s="98"/>
      <c r="L1817" s="98"/>
      <c r="M1817" s="98"/>
      <c r="N1817" s="98"/>
      <c r="O1817" s="98"/>
      <c r="P1817" s="98"/>
      <c r="Q1817" s="98"/>
      <c r="R1817" s="99"/>
    </row>
    <row r="1818" spans="1:18" x14ac:dyDescent="0.35">
      <c r="A1818" s="88">
        <f t="shared" si="56"/>
        <v>0</v>
      </c>
      <c r="B1818" s="89"/>
      <c r="C1818" s="90">
        <f t="shared" si="57"/>
        <v>0</v>
      </c>
      <c r="D1818" s="97"/>
      <c r="E1818" s="98"/>
      <c r="F1818" s="98"/>
      <c r="G1818" s="98"/>
      <c r="H1818" s="98"/>
      <c r="I1818" s="98"/>
      <c r="J1818" s="98"/>
      <c r="K1818" s="98"/>
      <c r="L1818" s="98"/>
      <c r="M1818" s="98"/>
      <c r="N1818" s="98"/>
      <c r="O1818" s="98"/>
      <c r="P1818" s="98"/>
      <c r="Q1818" s="98"/>
      <c r="R1818" s="99"/>
    </row>
    <row r="1819" spans="1:18" x14ac:dyDescent="0.35">
      <c r="A1819" s="88">
        <f t="shared" si="56"/>
        <v>0</v>
      </c>
      <c r="B1819" s="89"/>
      <c r="C1819" s="90">
        <f t="shared" si="57"/>
        <v>0</v>
      </c>
      <c r="D1819" s="97"/>
      <c r="E1819" s="98"/>
      <c r="F1819" s="98"/>
      <c r="G1819" s="98"/>
      <c r="H1819" s="98"/>
      <c r="I1819" s="98"/>
      <c r="J1819" s="98"/>
      <c r="K1819" s="98"/>
      <c r="L1819" s="98"/>
      <c r="M1819" s="98"/>
      <c r="N1819" s="98"/>
      <c r="O1819" s="98"/>
      <c r="P1819" s="98"/>
      <c r="Q1819" s="98"/>
      <c r="R1819" s="99"/>
    </row>
    <row r="1820" spans="1:18" x14ac:dyDescent="0.35">
      <c r="A1820" s="88">
        <f t="shared" si="56"/>
        <v>0</v>
      </c>
      <c r="B1820" s="89"/>
      <c r="C1820" s="90">
        <f t="shared" si="57"/>
        <v>0</v>
      </c>
      <c r="D1820" s="97"/>
      <c r="E1820" s="98"/>
      <c r="F1820" s="98"/>
      <c r="G1820" s="98"/>
      <c r="H1820" s="98"/>
      <c r="I1820" s="98"/>
      <c r="J1820" s="98"/>
      <c r="K1820" s="98"/>
      <c r="L1820" s="98"/>
      <c r="M1820" s="98"/>
      <c r="N1820" s="98"/>
      <c r="O1820" s="98"/>
      <c r="P1820" s="98"/>
      <c r="Q1820" s="98"/>
      <c r="R1820" s="99"/>
    </row>
    <row r="1821" spans="1:18" x14ac:dyDescent="0.35">
      <c r="A1821" s="88">
        <f t="shared" si="56"/>
        <v>0</v>
      </c>
      <c r="B1821" s="89"/>
      <c r="C1821" s="90">
        <f t="shared" si="57"/>
        <v>0</v>
      </c>
      <c r="D1821" s="97"/>
      <c r="E1821" s="98"/>
      <c r="F1821" s="98"/>
      <c r="G1821" s="98"/>
      <c r="H1821" s="98"/>
      <c r="I1821" s="98"/>
      <c r="J1821" s="98"/>
      <c r="K1821" s="98"/>
      <c r="L1821" s="98"/>
      <c r="M1821" s="98"/>
      <c r="N1821" s="98"/>
      <c r="O1821" s="98"/>
      <c r="P1821" s="98"/>
      <c r="Q1821" s="98"/>
      <c r="R1821" s="99"/>
    </row>
    <row r="1822" spans="1:18" x14ac:dyDescent="0.35">
      <c r="A1822" s="88">
        <f t="shared" si="56"/>
        <v>0</v>
      </c>
      <c r="B1822" s="89"/>
      <c r="C1822" s="90">
        <f t="shared" si="57"/>
        <v>0</v>
      </c>
      <c r="D1822" s="97"/>
      <c r="E1822" s="98"/>
      <c r="F1822" s="98"/>
      <c r="G1822" s="98"/>
      <c r="H1822" s="98"/>
      <c r="I1822" s="98"/>
      <c r="J1822" s="98"/>
      <c r="K1822" s="98"/>
      <c r="L1822" s="98"/>
      <c r="M1822" s="98"/>
      <c r="N1822" s="98"/>
      <c r="O1822" s="98"/>
      <c r="P1822" s="98"/>
      <c r="Q1822" s="98"/>
      <c r="R1822" s="99"/>
    </row>
    <row r="1823" spans="1:18" x14ac:dyDescent="0.35">
      <c r="A1823" s="88">
        <f t="shared" si="56"/>
        <v>0</v>
      </c>
      <c r="B1823" s="89"/>
      <c r="C1823" s="90">
        <f t="shared" si="57"/>
        <v>0</v>
      </c>
      <c r="D1823" s="97"/>
      <c r="E1823" s="98"/>
      <c r="F1823" s="98"/>
      <c r="G1823" s="98"/>
      <c r="H1823" s="98"/>
      <c r="I1823" s="98"/>
      <c r="J1823" s="98"/>
      <c r="K1823" s="98"/>
      <c r="L1823" s="98"/>
      <c r="M1823" s="98"/>
      <c r="N1823" s="98"/>
      <c r="O1823" s="98"/>
      <c r="P1823" s="98"/>
      <c r="Q1823" s="98"/>
      <c r="R1823" s="99"/>
    </row>
    <row r="1824" spans="1:18" x14ac:dyDescent="0.35">
      <c r="A1824" s="88">
        <f t="shared" si="56"/>
        <v>0</v>
      </c>
      <c r="B1824" s="89"/>
      <c r="C1824" s="90">
        <f t="shared" si="57"/>
        <v>0</v>
      </c>
      <c r="D1824" s="97"/>
      <c r="E1824" s="98"/>
      <c r="F1824" s="98"/>
      <c r="G1824" s="98"/>
      <c r="H1824" s="98"/>
      <c r="I1824" s="98"/>
      <c r="J1824" s="98"/>
      <c r="K1824" s="98"/>
      <c r="L1824" s="98"/>
      <c r="M1824" s="98"/>
      <c r="N1824" s="98"/>
      <c r="O1824" s="98"/>
      <c r="P1824" s="98"/>
      <c r="Q1824" s="98"/>
      <c r="R1824" s="99"/>
    </row>
    <row r="1825" spans="1:18" x14ac:dyDescent="0.35">
      <c r="A1825" s="88">
        <f t="shared" si="56"/>
        <v>0</v>
      </c>
      <c r="B1825" s="89"/>
      <c r="C1825" s="90">
        <f t="shared" si="57"/>
        <v>0</v>
      </c>
      <c r="D1825" s="97"/>
      <c r="E1825" s="98"/>
      <c r="F1825" s="98"/>
      <c r="G1825" s="98"/>
      <c r="H1825" s="98"/>
      <c r="I1825" s="98"/>
      <c r="J1825" s="98"/>
      <c r="K1825" s="98"/>
      <c r="L1825" s="98"/>
      <c r="M1825" s="98"/>
      <c r="N1825" s="98"/>
      <c r="O1825" s="98"/>
      <c r="P1825" s="98"/>
      <c r="Q1825" s="98"/>
      <c r="R1825" s="99"/>
    </row>
    <row r="1826" spans="1:18" x14ac:dyDescent="0.35">
      <c r="A1826" s="88">
        <f t="shared" si="56"/>
        <v>0</v>
      </c>
      <c r="B1826" s="89"/>
      <c r="C1826" s="90">
        <f t="shared" si="57"/>
        <v>0</v>
      </c>
      <c r="D1826" s="97"/>
      <c r="E1826" s="98"/>
      <c r="F1826" s="98"/>
      <c r="G1826" s="98"/>
      <c r="H1826" s="98"/>
      <c r="I1826" s="98"/>
      <c r="J1826" s="98"/>
      <c r="K1826" s="98"/>
      <c r="L1826" s="98"/>
      <c r="M1826" s="98"/>
      <c r="N1826" s="98"/>
      <c r="O1826" s="98"/>
      <c r="P1826" s="98"/>
      <c r="Q1826" s="98"/>
      <c r="R1826" s="99"/>
    </row>
    <row r="1827" spans="1:18" x14ac:dyDescent="0.35">
      <c r="A1827" s="88">
        <f t="shared" si="56"/>
        <v>0</v>
      </c>
      <c r="B1827" s="89"/>
      <c r="C1827" s="90">
        <f t="shared" si="57"/>
        <v>0</v>
      </c>
      <c r="D1827" s="97"/>
      <c r="E1827" s="98"/>
      <c r="F1827" s="98"/>
      <c r="G1827" s="98"/>
      <c r="H1827" s="98"/>
      <c r="I1827" s="98"/>
      <c r="J1827" s="98"/>
      <c r="K1827" s="98"/>
      <c r="L1827" s="98"/>
      <c r="M1827" s="98"/>
      <c r="N1827" s="98"/>
      <c r="O1827" s="98"/>
      <c r="P1827" s="98"/>
      <c r="Q1827" s="98"/>
      <c r="R1827" s="99"/>
    </row>
    <row r="1828" spans="1:18" x14ac:dyDescent="0.35">
      <c r="A1828" s="88">
        <f t="shared" si="56"/>
        <v>0</v>
      </c>
      <c r="B1828" s="89"/>
      <c r="C1828" s="90">
        <f t="shared" si="57"/>
        <v>0</v>
      </c>
      <c r="D1828" s="97"/>
      <c r="E1828" s="98"/>
      <c r="F1828" s="98"/>
      <c r="G1828" s="98"/>
      <c r="H1828" s="98"/>
      <c r="I1828" s="98"/>
      <c r="J1828" s="98"/>
      <c r="K1828" s="98"/>
      <c r="L1828" s="98"/>
      <c r="M1828" s="98"/>
      <c r="N1828" s="98"/>
      <c r="O1828" s="98"/>
      <c r="P1828" s="98"/>
      <c r="Q1828" s="98"/>
      <c r="R1828" s="99"/>
    </row>
    <row r="1829" spans="1:18" x14ac:dyDescent="0.35">
      <c r="A1829" s="88">
        <f t="shared" si="56"/>
        <v>0</v>
      </c>
      <c r="B1829" s="89"/>
      <c r="C1829" s="90">
        <f t="shared" si="57"/>
        <v>0</v>
      </c>
      <c r="D1829" s="97"/>
      <c r="E1829" s="98"/>
      <c r="F1829" s="98"/>
      <c r="G1829" s="98"/>
      <c r="H1829" s="98"/>
      <c r="I1829" s="98"/>
      <c r="J1829" s="98"/>
      <c r="K1829" s="98"/>
      <c r="L1829" s="98"/>
      <c r="M1829" s="98"/>
      <c r="N1829" s="98"/>
      <c r="O1829" s="98"/>
      <c r="P1829" s="98"/>
      <c r="Q1829" s="98"/>
      <c r="R1829" s="99"/>
    </row>
    <row r="1830" spans="1:18" x14ac:dyDescent="0.35">
      <c r="A1830" s="88">
        <f t="shared" si="56"/>
        <v>0</v>
      </c>
      <c r="B1830" s="89"/>
      <c r="C1830" s="90">
        <f t="shared" si="57"/>
        <v>0</v>
      </c>
      <c r="D1830" s="97"/>
      <c r="E1830" s="98"/>
      <c r="F1830" s="98"/>
      <c r="G1830" s="98"/>
      <c r="H1830" s="98"/>
      <c r="I1830" s="98"/>
      <c r="J1830" s="98"/>
      <c r="K1830" s="98"/>
      <c r="L1830" s="98"/>
      <c r="M1830" s="98"/>
      <c r="N1830" s="98"/>
      <c r="O1830" s="98"/>
      <c r="P1830" s="98"/>
      <c r="Q1830" s="98"/>
      <c r="R1830" s="99"/>
    </row>
    <row r="1831" spans="1:18" x14ac:dyDescent="0.35">
      <c r="A1831" s="88">
        <f t="shared" si="56"/>
        <v>0</v>
      </c>
      <c r="B1831" s="89"/>
      <c r="C1831" s="90">
        <f t="shared" si="57"/>
        <v>0</v>
      </c>
      <c r="D1831" s="97"/>
      <c r="E1831" s="98"/>
      <c r="F1831" s="98"/>
      <c r="G1831" s="98"/>
      <c r="H1831" s="98"/>
      <c r="I1831" s="98"/>
      <c r="J1831" s="98"/>
      <c r="K1831" s="98"/>
      <c r="L1831" s="98"/>
      <c r="M1831" s="98"/>
      <c r="N1831" s="98"/>
      <c r="O1831" s="98"/>
      <c r="P1831" s="98"/>
      <c r="Q1831" s="98"/>
      <c r="R1831" s="99"/>
    </row>
    <row r="1832" spans="1:18" x14ac:dyDescent="0.35">
      <c r="A1832" s="88">
        <f t="shared" si="56"/>
        <v>0</v>
      </c>
      <c r="B1832" s="89"/>
      <c r="C1832" s="90">
        <f t="shared" si="57"/>
        <v>0</v>
      </c>
      <c r="D1832" s="97"/>
      <c r="E1832" s="98"/>
      <c r="F1832" s="98"/>
      <c r="G1832" s="98"/>
      <c r="H1832" s="98"/>
      <c r="I1832" s="98"/>
      <c r="J1832" s="98"/>
      <c r="K1832" s="98"/>
      <c r="L1832" s="98"/>
      <c r="M1832" s="98"/>
      <c r="N1832" s="98"/>
      <c r="O1832" s="98"/>
      <c r="P1832" s="98"/>
      <c r="Q1832" s="98"/>
      <c r="R1832" s="99"/>
    </row>
    <row r="1833" spans="1:18" x14ac:dyDescent="0.35">
      <c r="A1833" s="88">
        <f t="shared" si="56"/>
        <v>0</v>
      </c>
      <c r="B1833" s="89"/>
      <c r="C1833" s="90">
        <f t="shared" si="57"/>
        <v>0</v>
      </c>
      <c r="D1833" s="97"/>
      <c r="E1833" s="98"/>
      <c r="F1833" s="98"/>
      <c r="G1833" s="98"/>
      <c r="H1833" s="98"/>
      <c r="I1833" s="98"/>
      <c r="J1833" s="98"/>
      <c r="K1833" s="98"/>
      <c r="L1833" s="98"/>
      <c r="M1833" s="98"/>
      <c r="N1833" s="98"/>
      <c r="O1833" s="98"/>
      <c r="P1833" s="98"/>
      <c r="Q1833" s="98"/>
      <c r="R1833" s="99"/>
    </row>
    <row r="1834" spans="1:18" x14ac:dyDescent="0.35">
      <c r="A1834" s="88">
        <f t="shared" si="56"/>
        <v>0</v>
      </c>
      <c r="B1834" s="89"/>
      <c r="C1834" s="90">
        <f t="shared" si="57"/>
        <v>0</v>
      </c>
      <c r="D1834" s="97"/>
      <c r="E1834" s="98"/>
      <c r="F1834" s="98"/>
      <c r="G1834" s="98"/>
      <c r="H1834" s="98"/>
      <c r="I1834" s="98"/>
      <c r="J1834" s="98"/>
      <c r="K1834" s="98"/>
      <c r="L1834" s="98"/>
      <c r="M1834" s="98"/>
      <c r="N1834" s="98"/>
      <c r="O1834" s="98"/>
      <c r="P1834" s="98"/>
      <c r="Q1834" s="98"/>
      <c r="R1834" s="99"/>
    </row>
    <row r="1835" spans="1:18" x14ac:dyDescent="0.35">
      <c r="A1835" s="88">
        <f t="shared" si="56"/>
        <v>0</v>
      </c>
      <c r="B1835" s="89"/>
      <c r="C1835" s="90">
        <f t="shared" si="57"/>
        <v>0</v>
      </c>
      <c r="D1835" s="97"/>
      <c r="E1835" s="98"/>
      <c r="F1835" s="98"/>
      <c r="G1835" s="98"/>
      <c r="H1835" s="98"/>
      <c r="I1835" s="98"/>
      <c r="J1835" s="98"/>
      <c r="K1835" s="98"/>
      <c r="L1835" s="98"/>
      <c r="M1835" s="98"/>
      <c r="N1835" s="98"/>
      <c r="O1835" s="98"/>
      <c r="P1835" s="98"/>
      <c r="Q1835" s="98"/>
      <c r="R1835" s="99"/>
    </row>
    <row r="1836" spans="1:18" x14ac:dyDescent="0.35">
      <c r="A1836" s="88">
        <f t="shared" si="56"/>
        <v>0</v>
      </c>
      <c r="B1836" s="89"/>
      <c r="C1836" s="90">
        <f t="shared" si="57"/>
        <v>0</v>
      </c>
      <c r="D1836" s="97"/>
      <c r="E1836" s="98"/>
      <c r="F1836" s="98"/>
      <c r="G1836" s="98"/>
      <c r="H1836" s="98"/>
      <c r="I1836" s="98"/>
      <c r="J1836" s="98"/>
      <c r="K1836" s="98"/>
      <c r="L1836" s="98"/>
      <c r="M1836" s="98"/>
      <c r="N1836" s="98"/>
      <c r="O1836" s="98"/>
      <c r="P1836" s="98"/>
      <c r="Q1836" s="98"/>
      <c r="R1836" s="99"/>
    </row>
    <row r="1837" spans="1:18" x14ac:dyDescent="0.35">
      <c r="A1837" s="88">
        <f t="shared" si="56"/>
        <v>0</v>
      </c>
      <c r="B1837" s="89"/>
      <c r="C1837" s="90">
        <f t="shared" si="57"/>
        <v>0</v>
      </c>
      <c r="D1837" s="97"/>
      <c r="E1837" s="98"/>
      <c r="F1837" s="98"/>
      <c r="G1837" s="98"/>
      <c r="H1837" s="98"/>
      <c r="I1837" s="98"/>
      <c r="J1837" s="98"/>
      <c r="K1837" s="98"/>
      <c r="L1837" s="98"/>
      <c r="M1837" s="98"/>
      <c r="N1837" s="98"/>
      <c r="O1837" s="98"/>
      <c r="P1837" s="98"/>
      <c r="Q1837" s="98"/>
      <c r="R1837" s="99"/>
    </row>
    <row r="1838" spans="1:18" x14ac:dyDescent="0.35">
      <c r="A1838" s="88">
        <f t="shared" si="56"/>
        <v>0</v>
      </c>
      <c r="B1838" s="89"/>
      <c r="C1838" s="90">
        <f t="shared" si="57"/>
        <v>0</v>
      </c>
      <c r="D1838" s="97"/>
      <c r="E1838" s="98"/>
      <c r="F1838" s="98"/>
      <c r="G1838" s="98"/>
      <c r="H1838" s="98"/>
      <c r="I1838" s="98"/>
      <c r="J1838" s="98"/>
      <c r="K1838" s="98"/>
      <c r="L1838" s="98"/>
      <c r="M1838" s="98"/>
      <c r="N1838" s="98"/>
      <c r="O1838" s="98"/>
      <c r="P1838" s="98"/>
      <c r="Q1838" s="98"/>
      <c r="R1838" s="99"/>
    </row>
    <row r="1839" spans="1:18" x14ac:dyDescent="0.35">
      <c r="A1839" s="88">
        <f t="shared" si="56"/>
        <v>0</v>
      </c>
      <c r="B1839" s="89"/>
      <c r="C1839" s="90">
        <f t="shared" si="57"/>
        <v>0</v>
      </c>
      <c r="D1839" s="97"/>
      <c r="E1839" s="98"/>
      <c r="F1839" s="98"/>
      <c r="G1839" s="98"/>
      <c r="H1839" s="98"/>
      <c r="I1839" s="98"/>
      <c r="J1839" s="98"/>
      <c r="K1839" s="98"/>
      <c r="L1839" s="98"/>
      <c r="M1839" s="98"/>
      <c r="N1839" s="98"/>
      <c r="O1839" s="98"/>
      <c r="P1839" s="98"/>
      <c r="Q1839" s="98"/>
      <c r="R1839" s="99"/>
    </row>
    <row r="1840" spans="1:18" x14ac:dyDescent="0.35">
      <c r="A1840" s="88">
        <f t="shared" si="56"/>
        <v>0</v>
      </c>
      <c r="B1840" s="89"/>
      <c r="C1840" s="90">
        <f t="shared" si="57"/>
        <v>0</v>
      </c>
      <c r="D1840" s="97"/>
      <c r="E1840" s="98"/>
      <c r="F1840" s="98"/>
      <c r="G1840" s="98"/>
      <c r="H1840" s="98"/>
      <c r="I1840" s="98"/>
      <c r="J1840" s="98"/>
      <c r="K1840" s="98"/>
      <c r="L1840" s="98"/>
      <c r="M1840" s="98"/>
      <c r="N1840" s="98"/>
      <c r="O1840" s="98"/>
      <c r="P1840" s="98"/>
      <c r="Q1840" s="98"/>
      <c r="R1840" s="99"/>
    </row>
    <row r="1841" spans="1:18" x14ac:dyDescent="0.35">
      <c r="A1841" s="88">
        <f t="shared" si="56"/>
        <v>0</v>
      </c>
      <c r="B1841" s="89"/>
      <c r="C1841" s="90">
        <f t="shared" si="57"/>
        <v>0</v>
      </c>
      <c r="D1841" s="97"/>
      <c r="E1841" s="98"/>
      <c r="F1841" s="98"/>
      <c r="G1841" s="98"/>
      <c r="H1841" s="98"/>
      <c r="I1841" s="98"/>
      <c r="J1841" s="98"/>
      <c r="K1841" s="98"/>
      <c r="L1841" s="98"/>
      <c r="M1841" s="98"/>
      <c r="N1841" s="98"/>
      <c r="O1841" s="98"/>
      <c r="P1841" s="98"/>
      <c r="Q1841" s="98"/>
      <c r="R1841" s="99"/>
    </row>
    <row r="1842" spans="1:18" x14ac:dyDescent="0.35">
      <c r="A1842" s="88">
        <f t="shared" si="56"/>
        <v>0</v>
      </c>
      <c r="B1842" s="89"/>
      <c r="C1842" s="90">
        <f t="shared" si="57"/>
        <v>0</v>
      </c>
      <c r="D1842" s="97"/>
      <c r="E1842" s="98"/>
      <c r="F1842" s="98"/>
      <c r="G1842" s="98"/>
      <c r="H1842" s="98"/>
      <c r="I1842" s="98"/>
      <c r="J1842" s="98"/>
      <c r="K1842" s="98"/>
      <c r="L1842" s="98"/>
      <c r="M1842" s="98"/>
      <c r="N1842" s="98"/>
      <c r="O1842" s="98"/>
      <c r="P1842" s="98"/>
      <c r="Q1842" s="98"/>
      <c r="R1842" s="99"/>
    </row>
    <row r="1843" spans="1:18" x14ac:dyDescent="0.35">
      <c r="A1843" s="88">
        <f t="shared" si="56"/>
        <v>0</v>
      </c>
      <c r="B1843" s="89"/>
      <c r="C1843" s="90">
        <f t="shared" si="57"/>
        <v>0</v>
      </c>
      <c r="D1843" s="97"/>
      <c r="E1843" s="98"/>
      <c r="F1843" s="98"/>
      <c r="G1843" s="98"/>
      <c r="H1843" s="98"/>
      <c r="I1843" s="98"/>
      <c r="J1843" s="98"/>
      <c r="K1843" s="98"/>
      <c r="L1843" s="98"/>
      <c r="M1843" s="98"/>
      <c r="N1843" s="98"/>
      <c r="O1843" s="98"/>
      <c r="P1843" s="98"/>
      <c r="Q1843" s="98"/>
      <c r="R1843" s="99"/>
    </row>
    <row r="1844" spans="1:18" x14ac:dyDescent="0.35">
      <c r="A1844" s="88">
        <f t="shared" si="56"/>
        <v>0</v>
      </c>
      <c r="B1844" s="89"/>
      <c r="C1844" s="90">
        <f t="shared" si="57"/>
        <v>0</v>
      </c>
      <c r="D1844" s="97"/>
      <c r="E1844" s="98"/>
      <c r="F1844" s="98"/>
      <c r="G1844" s="98"/>
      <c r="H1844" s="98"/>
      <c r="I1844" s="98"/>
      <c r="J1844" s="98"/>
      <c r="K1844" s="98"/>
      <c r="L1844" s="98"/>
      <c r="M1844" s="98"/>
      <c r="N1844" s="98"/>
      <c r="O1844" s="98"/>
      <c r="P1844" s="98"/>
      <c r="Q1844" s="98"/>
      <c r="R1844" s="99"/>
    </row>
    <row r="1845" spans="1:18" x14ac:dyDescent="0.35">
      <c r="A1845" s="88">
        <f t="shared" si="56"/>
        <v>0</v>
      </c>
      <c r="B1845" s="89"/>
      <c r="C1845" s="90">
        <f t="shared" si="57"/>
        <v>0</v>
      </c>
      <c r="D1845" s="97"/>
      <c r="E1845" s="98"/>
      <c r="F1845" s="98"/>
      <c r="G1845" s="98"/>
      <c r="H1845" s="98"/>
      <c r="I1845" s="98"/>
      <c r="J1845" s="98"/>
      <c r="K1845" s="98"/>
      <c r="L1845" s="98"/>
      <c r="M1845" s="98"/>
      <c r="N1845" s="98"/>
      <c r="O1845" s="98"/>
      <c r="P1845" s="98"/>
      <c r="Q1845" s="98"/>
      <c r="R1845" s="99"/>
    </row>
    <row r="1846" spans="1:18" x14ac:dyDescent="0.35">
      <c r="A1846" s="88">
        <f t="shared" si="56"/>
        <v>0</v>
      </c>
      <c r="B1846" s="89"/>
      <c r="C1846" s="90">
        <f t="shared" si="57"/>
        <v>0</v>
      </c>
      <c r="D1846" s="97"/>
      <c r="E1846" s="98"/>
      <c r="F1846" s="98"/>
      <c r="G1846" s="98"/>
      <c r="H1846" s="98"/>
      <c r="I1846" s="98"/>
      <c r="J1846" s="98"/>
      <c r="K1846" s="98"/>
      <c r="L1846" s="98"/>
      <c r="M1846" s="98"/>
      <c r="N1846" s="98"/>
      <c r="O1846" s="98"/>
      <c r="P1846" s="98"/>
      <c r="Q1846" s="98"/>
      <c r="R1846" s="99"/>
    </row>
    <row r="1847" spans="1:18" x14ac:dyDescent="0.35">
      <c r="A1847" s="88">
        <f t="shared" si="56"/>
        <v>0</v>
      </c>
      <c r="B1847" s="89"/>
      <c r="C1847" s="90">
        <f t="shared" si="57"/>
        <v>0</v>
      </c>
      <c r="D1847" s="97"/>
      <c r="E1847" s="98"/>
      <c r="F1847" s="98"/>
      <c r="G1847" s="98"/>
      <c r="H1847" s="98"/>
      <c r="I1847" s="98"/>
      <c r="J1847" s="98"/>
      <c r="K1847" s="98"/>
      <c r="L1847" s="98"/>
      <c r="M1847" s="98"/>
      <c r="N1847" s="98"/>
      <c r="O1847" s="98"/>
      <c r="P1847" s="98"/>
      <c r="Q1847" s="98"/>
      <c r="R1847" s="99"/>
    </row>
    <row r="1848" spans="1:18" x14ac:dyDescent="0.35">
      <c r="A1848" s="88">
        <f t="shared" si="56"/>
        <v>0</v>
      </c>
      <c r="B1848" s="89"/>
      <c r="C1848" s="90">
        <f t="shared" si="57"/>
        <v>0</v>
      </c>
      <c r="D1848" s="97"/>
      <c r="E1848" s="98"/>
      <c r="F1848" s="98"/>
      <c r="G1848" s="98"/>
      <c r="H1848" s="98"/>
      <c r="I1848" s="98"/>
      <c r="J1848" s="98"/>
      <c r="K1848" s="98"/>
      <c r="L1848" s="98"/>
      <c r="M1848" s="98"/>
      <c r="N1848" s="98"/>
      <c r="O1848" s="98"/>
      <c r="P1848" s="98"/>
      <c r="Q1848" s="98"/>
      <c r="R1848" s="99"/>
    </row>
    <row r="1849" spans="1:18" x14ac:dyDescent="0.35">
      <c r="A1849" s="88">
        <f t="shared" si="56"/>
        <v>0</v>
      </c>
      <c r="B1849" s="89"/>
      <c r="C1849" s="90">
        <f t="shared" si="57"/>
        <v>0</v>
      </c>
      <c r="D1849" s="97"/>
      <c r="E1849" s="98"/>
      <c r="F1849" s="98"/>
      <c r="G1849" s="98"/>
      <c r="H1849" s="98"/>
      <c r="I1849" s="98"/>
      <c r="J1849" s="98"/>
      <c r="K1849" s="98"/>
      <c r="L1849" s="98"/>
      <c r="M1849" s="98"/>
      <c r="N1849" s="98"/>
      <c r="O1849" s="98"/>
      <c r="P1849" s="98"/>
      <c r="Q1849" s="98"/>
      <c r="R1849" s="99"/>
    </row>
    <row r="1850" spans="1:18" x14ac:dyDescent="0.35">
      <c r="A1850" s="88">
        <f t="shared" si="56"/>
        <v>0</v>
      </c>
      <c r="B1850" s="89"/>
      <c r="C1850" s="90">
        <f t="shared" si="57"/>
        <v>0</v>
      </c>
      <c r="D1850" s="97"/>
      <c r="E1850" s="98"/>
      <c r="F1850" s="98"/>
      <c r="G1850" s="98"/>
      <c r="H1850" s="98"/>
      <c r="I1850" s="98"/>
      <c r="J1850" s="98"/>
      <c r="K1850" s="98"/>
      <c r="L1850" s="98"/>
      <c r="M1850" s="98"/>
      <c r="N1850" s="98"/>
      <c r="O1850" s="98"/>
      <c r="P1850" s="98"/>
      <c r="Q1850" s="98"/>
      <c r="R1850" s="99"/>
    </row>
    <row r="1851" spans="1:18" x14ac:dyDescent="0.35">
      <c r="A1851" s="88">
        <f t="shared" si="56"/>
        <v>0</v>
      </c>
      <c r="B1851" s="89"/>
      <c r="C1851" s="90">
        <f t="shared" si="57"/>
        <v>0</v>
      </c>
      <c r="D1851" s="97"/>
      <c r="E1851" s="98"/>
      <c r="F1851" s="98"/>
      <c r="G1851" s="98"/>
      <c r="H1851" s="98"/>
      <c r="I1851" s="98"/>
      <c r="J1851" s="98"/>
      <c r="K1851" s="98"/>
      <c r="L1851" s="98"/>
      <c r="M1851" s="98"/>
      <c r="N1851" s="98"/>
      <c r="O1851" s="98"/>
      <c r="P1851" s="98"/>
      <c r="Q1851" s="98"/>
      <c r="R1851" s="99"/>
    </row>
    <row r="1852" spans="1:18" x14ac:dyDescent="0.35">
      <c r="A1852" s="88">
        <f t="shared" si="56"/>
        <v>0</v>
      </c>
      <c r="B1852" s="89"/>
      <c r="C1852" s="90">
        <f t="shared" si="57"/>
        <v>0</v>
      </c>
      <c r="D1852" s="97"/>
      <c r="E1852" s="98"/>
      <c r="F1852" s="98"/>
      <c r="G1852" s="98"/>
      <c r="H1852" s="98"/>
      <c r="I1852" s="98"/>
      <c r="J1852" s="98"/>
      <c r="K1852" s="98"/>
      <c r="L1852" s="98"/>
      <c r="M1852" s="98"/>
      <c r="N1852" s="98"/>
      <c r="O1852" s="98"/>
      <c r="P1852" s="98"/>
      <c r="Q1852" s="98"/>
      <c r="R1852" s="99"/>
    </row>
    <row r="1853" spans="1:18" x14ac:dyDescent="0.35">
      <c r="A1853" s="88">
        <f t="shared" si="56"/>
        <v>0</v>
      </c>
      <c r="B1853" s="89"/>
      <c r="C1853" s="90">
        <f t="shared" si="57"/>
        <v>0</v>
      </c>
      <c r="D1853" s="97"/>
      <c r="E1853" s="98"/>
      <c r="F1853" s="98"/>
      <c r="G1853" s="98"/>
      <c r="H1853" s="98"/>
      <c r="I1853" s="98"/>
      <c r="J1853" s="98"/>
      <c r="K1853" s="98"/>
      <c r="L1853" s="98"/>
      <c r="M1853" s="98"/>
      <c r="N1853" s="98"/>
      <c r="O1853" s="98"/>
      <c r="P1853" s="98"/>
      <c r="Q1853" s="98"/>
      <c r="R1853" s="99"/>
    </row>
    <row r="1854" spans="1:18" x14ac:dyDescent="0.35">
      <c r="A1854" s="88">
        <f t="shared" si="56"/>
        <v>0</v>
      </c>
      <c r="B1854" s="89"/>
      <c r="C1854" s="90">
        <f t="shared" si="57"/>
        <v>0</v>
      </c>
      <c r="D1854" s="97"/>
      <c r="E1854" s="98"/>
      <c r="F1854" s="98"/>
      <c r="G1854" s="98"/>
      <c r="H1854" s="98"/>
      <c r="I1854" s="98"/>
      <c r="J1854" s="98"/>
      <c r="K1854" s="98"/>
      <c r="L1854" s="98"/>
      <c r="M1854" s="98"/>
      <c r="N1854" s="98"/>
      <c r="O1854" s="98"/>
      <c r="P1854" s="98"/>
      <c r="Q1854" s="98"/>
      <c r="R1854" s="99"/>
    </row>
    <row r="1855" spans="1:18" x14ac:dyDescent="0.35">
      <c r="A1855" s="88">
        <f t="shared" si="56"/>
        <v>0</v>
      </c>
      <c r="B1855" s="89"/>
      <c r="C1855" s="90">
        <f t="shared" si="57"/>
        <v>0</v>
      </c>
      <c r="D1855" s="97"/>
      <c r="E1855" s="98"/>
      <c r="F1855" s="98"/>
      <c r="G1855" s="98"/>
      <c r="H1855" s="98"/>
      <c r="I1855" s="98"/>
      <c r="J1855" s="98"/>
      <c r="K1855" s="98"/>
      <c r="L1855" s="98"/>
      <c r="M1855" s="98"/>
      <c r="N1855" s="98"/>
      <c r="O1855" s="98"/>
      <c r="P1855" s="98"/>
      <c r="Q1855" s="98"/>
      <c r="R1855" s="99"/>
    </row>
    <row r="1856" spans="1:18" x14ac:dyDescent="0.35">
      <c r="A1856" s="88">
        <f t="shared" si="56"/>
        <v>0</v>
      </c>
      <c r="B1856" s="89"/>
      <c r="C1856" s="90">
        <f t="shared" si="57"/>
        <v>0</v>
      </c>
      <c r="D1856" s="97"/>
      <c r="E1856" s="98"/>
      <c r="F1856" s="98"/>
      <c r="G1856" s="98"/>
      <c r="H1856" s="98"/>
      <c r="I1856" s="98"/>
      <c r="J1856" s="98"/>
      <c r="K1856" s="98"/>
      <c r="L1856" s="98"/>
      <c r="M1856" s="98"/>
      <c r="N1856" s="98"/>
      <c r="O1856" s="98"/>
      <c r="P1856" s="98"/>
      <c r="Q1856" s="98"/>
      <c r="R1856" s="99"/>
    </row>
    <row r="1857" spans="1:18" x14ac:dyDescent="0.35">
      <c r="A1857" s="88">
        <f t="shared" si="56"/>
        <v>0</v>
      </c>
      <c r="B1857" s="89"/>
      <c r="C1857" s="90">
        <f t="shared" si="57"/>
        <v>0</v>
      </c>
      <c r="D1857" s="97"/>
      <c r="E1857" s="98"/>
      <c r="F1857" s="98"/>
      <c r="G1857" s="98"/>
      <c r="H1857" s="98"/>
      <c r="I1857" s="98"/>
      <c r="J1857" s="98"/>
      <c r="K1857" s="98"/>
      <c r="L1857" s="98"/>
      <c r="M1857" s="98"/>
      <c r="N1857" s="98"/>
      <c r="O1857" s="98"/>
      <c r="P1857" s="98"/>
      <c r="Q1857" s="98"/>
      <c r="R1857" s="99"/>
    </row>
    <row r="1858" spans="1:18" x14ac:dyDescent="0.35">
      <c r="A1858" s="88">
        <f t="shared" si="56"/>
        <v>0</v>
      </c>
      <c r="B1858" s="89"/>
      <c r="C1858" s="90">
        <f t="shared" si="57"/>
        <v>0</v>
      </c>
      <c r="D1858" s="97"/>
      <c r="E1858" s="98"/>
      <c r="F1858" s="98"/>
      <c r="G1858" s="98"/>
      <c r="H1858" s="98"/>
      <c r="I1858" s="98"/>
      <c r="J1858" s="98"/>
      <c r="K1858" s="98"/>
      <c r="L1858" s="98"/>
      <c r="M1858" s="98"/>
      <c r="N1858" s="98"/>
      <c r="O1858" s="98"/>
      <c r="P1858" s="98"/>
      <c r="Q1858" s="98"/>
      <c r="R1858" s="99"/>
    </row>
    <row r="1859" spans="1:18" x14ac:dyDescent="0.35">
      <c r="A1859" s="88">
        <f t="shared" si="56"/>
        <v>0</v>
      </c>
      <c r="B1859" s="89"/>
      <c r="C1859" s="90">
        <f t="shared" si="57"/>
        <v>0</v>
      </c>
      <c r="D1859" s="97"/>
      <c r="E1859" s="98"/>
      <c r="F1859" s="98"/>
      <c r="G1859" s="98"/>
      <c r="H1859" s="98"/>
      <c r="I1859" s="98"/>
      <c r="J1859" s="98"/>
      <c r="K1859" s="98"/>
      <c r="L1859" s="98"/>
      <c r="M1859" s="98"/>
      <c r="N1859" s="98"/>
      <c r="O1859" s="98"/>
      <c r="P1859" s="98"/>
      <c r="Q1859" s="98"/>
      <c r="R1859" s="99"/>
    </row>
    <row r="1860" spans="1:18" x14ac:dyDescent="0.35">
      <c r="A1860" s="88">
        <f t="shared" ref="A1860:A1923" si="58">F1860</f>
        <v>0</v>
      </c>
      <c r="B1860" s="89"/>
      <c r="C1860" s="90">
        <f t="shared" ref="C1860:C1923" si="59">F1860</f>
        <v>0</v>
      </c>
      <c r="D1860" s="97"/>
      <c r="E1860" s="98"/>
      <c r="F1860" s="98"/>
      <c r="G1860" s="98"/>
      <c r="H1860" s="98"/>
      <c r="I1860" s="98"/>
      <c r="J1860" s="98"/>
      <c r="K1860" s="98"/>
      <c r="L1860" s="98"/>
      <c r="M1860" s="98"/>
      <c r="N1860" s="98"/>
      <c r="O1860" s="98"/>
      <c r="P1860" s="98"/>
      <c r="Q1860" s="98"/>
      <c r="R1860" s="99"/>
    </row>
    <row r="1861" spans="1:18" x14ac:dyDescent="0.35">
      <c r="A1861" s="88">
        <f t="shared" si="58"/>
        <v>0</v>
      </c>
      <c r="B1861" s="89"/>
      <c r="C1861" s="90">
        <f t="shared" si="59"/>
        <v>0</v>
      </c>
      <c r="D1861" s="97"/>
      <c r="E1861" s="98"/>
      <c r="F1861" s="98"/>
      <c r="G1861" s="98"/>
      <c r="H1861" s="98"/>
      <c r="I1861" s="98"/>
      <c r="J1861" s="98"/>
      <c r="K1861" s="98"/>
      <c r="L1861" s="98"/>
      <c r="M1861" s="98"/>
      <c r="N1861" s="98"/>
      <c r="O1861" s="98"/>
      <c r="P1861" s="98"/>
      <c r="Q1861" s="98"/>
      <c r="R1861" s="99"/>
    </row>
    <row r="1862" spans="1:18" x14ac:dyDescent="0.35">
      <c r="A1862" s="88">
        <f t="shared" si="58"/>
        <v>0</v>
      </c>
      <c r="B1862" s="89"/>
      <c r="C1862" s="90">
        <f t="shared" si="59"/>
        <v>0</v>
      </c>
      <c r="D1862" s="97"/>
      <c r="E1862" s="98"/>
      <c r="F1862" s="98"/>
      <c r="G1862" s="98"/>
      <c r="H1862" s="98"/>
      <c r="I1862" s="98"/>
      <c r="J1862" s="98"/>
      <c r="K1862" s="98"/>
      <c r="L1862" s="98"/>
      <c r="M1862" s="98"/>
      <c r="N1862" s="98"/>
      <c r="O1862" s="98"/>
      <c r="P1862" s="98"/>
      <c r="Q1862" s="98"/>
      <c r="R1862" s="99"/>
    </row>
    <row r="1863" spans="1:18" x14ac:dyDescent="0.35">
      <c r="A1863" s="88">
        <f t="shared" si="58"/>
        <v>0</v>
      </c>
      <c r="B1863" s="89"/>
      <c r="C1863" s="90">
        <f t="shared" si="59"/>
        <v>0</v>
      </c>
      <c r="D1863" s="97"/>
      <c r="E1863" s="98"/>
      <c r="F1863" s="98"/>
      <c r="G1863" s="98"/>
      <c r="H1863" s="98"/>
      <c r="I1863" s="98"/>
      <c r="J1863" s="98"/>
      <c r="K1863" s="98"/>
      <c r="L1863" s="98"/>
      <c r="M1863" s="98"/>
      <c r="N1863" s="98"/>
      <c r="O1863" s="98"/>
      <c r="P1863" s="98"/>
      <c r="Q1863" s="98"/>
      <c r="R1863" s="99"/>
    </row>
    <row r="1864" spans="1:18" x14ac:dyDescent="0.35">
      <c r="A1864" s="88">
        <f t="shared" si="58"/>
        <v>0</v>
      </c>
      <c r="B1864" s="89"/>
      <c r="C1864" s="90">
        <f t="shared" si="59"/>
        <v>0</v>
      </c>
      <c r="D1864" s="97"/>
      <c r="E1864" s="98"/>
      <c r="F1864" s="98"/>
      <c r="G1864" s="98"/>
      <c r="H1864" s="98"/>
      <c r="I1864" s="98"/>
      <c r="J1864" s="98"/>
      <c r="K1864" s="98"/>
      <c r="L1864" s="98"/>
      <c r="M1864" s="98"/>
      <c r="N1864" s="98"/>
      <c r="O1864" s="98"/>
      <c r="P1864" s="98"/>
      <c r="Q1864" s="98"/>
      <c r="R1864" s="99"/>
    </row>
    <row r="1865" spans="1:18" x14ac:dyDescent="0.35">
      <c r="A1865" s="88">
        <f t="shared" si="58"/>
        <v>0</v>
      </c>
      <c r="B1865" s="89"/>
      <c r="C1865" s="90">
        <f t="shared" si="59"/>
        <v>0</v>
      </c>
      <c r="D1865" s="97"/>
      <c r="E1865" s="98"/>
      <c r="F1865" s="98"/>
      <c r="G1865" s="98"/>
      <c r="H1865" s="98"/>
      <c r="I1865" s="98"/>
      <c r="J1865" s="98"/>
      <c r="K1865" s="98"/>
      <c r="L1865" s="98"/>
      <c r="M1865" s="98"/>
      <c r="N1865" s="98"/>
      <c r="O1865" s="98"/>
      <c r="P1865" s="98"/>
      <c r="Q1865" s="98"/>
      <c r="R1865" s="99"/>
    </row>
    <row r="1866" spans="1:18" x14ac:dyDescent="0.35">
      <c r="A1866" s="88">
        <f t="shared" si="58"/>
        <v>0</v>
      </c>
      <c r="B1866" s="89"/>
      <c r="C1866" s="90">
        <f t="shared" si="59"/>
        <v>0</v>
      </c>
      <c r="D1866" s="97"/>
      <c r="E1866" s="98"/>
      <c r="F1866" s="98"/>
      <c r="G1866" s="98"/>
      <c r="H1866" s="98"/>
      <c r="I1866" s="98"/>
      <c r="J1866" s="98"/>
      <c r="K1866" s="98"/>
      <c r="L1866" s="98"/>
      <c r="M1866" s="98"/>
      <c r="N1866" s="98"/>
      <c r="O1866" s="98"/>
      <c r="P1866" s="98"/>
      <c r="Q1866" s="98"/>
      <c r="R1866" s="99"/>
    </row>
    <row r="1867" spans="1:18" x14ac:dyDescent="0.35">
      <c r="A1867" s="88">
        <f t="shared" si="58"/>
        <v>0</v>
      </c>
      <c r="B1867" s="89"/>
      <c r="C1867" s="90">
        <f t="shared" si="59"/>
        <v>0</v>
      </c>
      <c r="D1867" s="97"/>
      <c r="E1867" s="98"/>
      <c r="F1867" s="98"/>
      <c r="G1867" s="98"/>
      <c r="H1867" s="98"/>
      <c r="I1867" s="98"/>
      <c r="J1867" s="98"/>
      <c r="K1867" s="98"/>
      <c r="L1867" s="98"/>
      <c r="M1867" s="98"/>
      <c r="N1867" s="98"/>
      <c r="O1867" s="98"/>
      <c r="P1867" s="98"/>
      <c r="Q1867" s="98"/>
      <c r="R1867" s="99"/>
    </row>
    <row r="1868" spans="1:18" x14ac:dyDescent="0.35">
      <c r="A1868" s="88">
        <f t="shared" si="58"/>
        <v>0</v>
      </c>
      <c r="B1868" s="89"/>
      <c r="C1868" s="90">
        <f t="shared" si="59"/>
        <v>0</v>
      </c>
      <c r="D1868" s="97"/>
      <c r="E1868" s="98"/>
      <c r="F1868" s="98"/>
      <c r="G1868" s="98"/>
      <c r="H1868" s="98"/>
      <c r="I1868" s="98"/>
      <c r="J1868" s="98"/>
      <c r="K1868" s="98"/>
      <c r="L1868" s="98"/>
      <c r="M1868" s="98"/>
      <c r="N1868" s="98"/>
      <c r="O1868" s="98"/>
      <c r="P1868" s="98"/>
      <c r="Q1868" s="98"/>
      <c r="R1868" s="99"/>
    </row>
    <row r="1869" spans="1:18" x14ac:dyDescent="0.35">
      <c r="A1869" s="88">
        <f t="shared" si="58"/>
        <v>0</v>
      </c>
      <c r="B1869" s="89"/>
      <c r="C1869" s="90">
        <f t="shared" si="59"/>
        <v>0</v>
      </c>
      <c r="D1869" s="97"/>
      <c r="E1869" s="98"/>
      <c r="F1869" s="98"/>
      <c r="G1869" s="98"/>
      <c r="H1869" s="98"/>
      <c r="I1869" s="98"/>
      <c r="J1869" s="98"/>
      <c r="K1869" s="98"/>
      <c r="L1869" s="98"/>
      <c r="M1869" s="98"/>
      <c r="N1869" s="98"/>
      <c r="O1869" s="98"/>
      <c r="P1869" s="98"/>
      <c r="Q1869" s="98"/>
      <c r="R1869" s="99"/>
    </row>
    <row r="1870" spans="1:18" x14ac:dyDescent="0.35">
      <c r="A1870" s="88">
        <f t="shared" si="58"/>
        <v>0</v>
      </c>
      <c r="B1870" s="89"/>
      <c r="C1870" s="90">
        <f t="shared" si="59"/>
        <v>0</v>
      </c>
      <c r="D1870" s="97"/>
      <c r="E1870" s="98"/>
      <c r="F1870" s="98"/>
      <c r="G1870" s="98"/>
      <c r="H1870" s="98"/>
      <c r="I1870" s="98"/>
      <c r="J1870" s="98"/>
      <c r="K1870" s="98"/>
      <c r="L1870" s="98"/>
      <c r="M1870" s="98"/>
      <c r="N1870" s="98"/>
      <c r="O1870" s="98"/>
      <c r="P1870" s="98"/>
      <c r="Q1870" s="98"/>
      <c r="R1870" s="99"/>
    </row>
    <row r="1871" spans="1:18" x14ac:dyDescent="0.35">
      <c r="A1871" s="88">
        <f t="shared" si="58"/>
        <v>0</v>
      </c>
      <c r="B1871" s="89"/>
      <c r="C1871" s="90">
        <f t="shared" si="59"/>
        <v>0</v>
      </c>
      <c r="D1871" s="97"/>
      <c r="E1871" s="98"/>
      <c r="F1871" s="98"/>
      <c r="G1871" s="98"/>
      <c r="H1871" s="98"/>
      <c r="I1871" s="98"/>
      <c r="J1871" s="98"/>
      <c r="K1871" s="98"/>
      <c r="L1871" s="98"/>
      <c r="M1871" s="98"/>
      <c r="N1871" s="98"/>
      <c r="O1871" s="98"/>
      <c r="P1871" s="98"/>
      <c r="Q1871" s="98"/>
      <c r="R1871" s="99"/>
    </row>
    <row r="1872" spans="1:18" x14ac:dyDescent="0.35">
      <c r="A1872" s="88">
        <f t="shared" si="58"/>
        <v>0</v>
      </c>
      <c r="B1872" s="89"/>
      <c r="C1872" s="90">
        <f t="shared" si="59"/>
        <v>0</v>
      </c>
      <c r="D1872" s="97"/>
      <c r="E1872" s="98"/>
      <c r="F1872" s="98"/>
      <c r="G1872" s="98"/>
      <c r="H1872" s="98"/>
      <c r="I1872" s="98"/>
      <c r="J1872" s="98"/>
      <c r="K1872" s="98"/>
      <c r="L1872" s="98"/>
      <c r="M1872" s="98"/>
      <c r="N1872" s="98"/>
      <c r="O1872" s="98"/>
      <c r="P1872" s="98"/>
      <c r="Q1872" s="98"/>
      <c r="R1872" s="99"/>
    </row>
    <row r="1873" spans="1:18" x14ac:dyDescent="0.35">
      <c r="A1873" s="88">
        <f t="shared" si="58"/>
        <v>0</v>
      </c>
      <c r="B1873" s="89"/>
      <c r="C1873" s="90">
        <f t="shared" si="59"/>
        <v>0</v>
      </c>
      <c r="D1873" s="97"/>
      <c r="E1873" s="98"/>
      <c r="F1873" s="98"/>
      <c r="G1873" s="98"/>
      <c r="H1873" s="98"/>
      <c r="I1873" s="98"/>
      <c r="J1873" s="98"/>
      <c r="K1873" s="98"/>
      <c r="L1873" s="98"/>
      <c r="M1873" s="98"/>
      <c r="N1873" s="98"/>
      <c r="O1873" s="98"/>
      <c r="P1873" s="98"/>
      <c r="Q1873" s="98"/>
      <c r="R1873" s="99"/>
    </row>
    <row r="1874" spans="1:18" x14ac:dyDescent="0.35">
      <c r="A1874" s="88">
        <f t="shared" si="58"/>
        <v>0</v>
      </c>
      <c r="B1874" s="89"/>
      <c r="C1874" s="90">
        <f t="shared" si="59"/>
        <v>0</v>
      </c>
      <c r="D1874" s="97"/>
      <c r="E1874" s="98"/>
      <c r="F1874" s="98"/>
      <c r="G1874" s="98"/>
      <c r="H1874" s="98"/>
      <c r="I1874" s="98"/>
      <c r="J1874" s="98"/>
      <c r="K1874" s="98"/>
      <c r="L1874" s="98"/>
      <c r="M1874" s="98"/>
      <c r="N1874" s="98"/>
      <c r="O1874" s="98"/>
      <c r="P1874" s="98"/>
      <c r="Q1874" s="98"/>
      <c r="R1874" s="99"/>
    </row>
    <row r="1875" spans="1:18" x14ac:dyDescent="0.35">
      <c r="A1875" s="88">
        <f t="shared" si="58"/>
        <v>0</v>
      </c>
      <c r="B1875" s="89"/>
      <c r="C1875" s="90">
        <f t="shared" si="59"/>
        <v>0</v>
      </c>
      <c r="D1875" s="97"/>
      <c r="E1875" s="98"/>
      <c r="F1875" s="98"/>
      <c r="G1875" s="98"/>
      <c r="H1875" s="98"/>
      <c r="I1875" s="98"/>
      <c r="J1875" s="98"/>
      <c r="K1875" s="98"/>
      <c r="L1875" s="98"/>
      <c r="M1875" s="98"/>
      <c r="N1875" s="98"/>
      <c r="O1875" s="98"/>
      <c r="P1875" s="98"/>
      <c r="Q1875" s="98"/>
      <c r="R1875" s="99"/>
    </row>
    <row r="1876" spans="1:18" x14ac:dyDescent="0.35">
      <c r="A1876" s="88">
        <f t="shared" si="58"/>
        <v>0</v>
      </c>
      <c r="B1876" s="89"/>
      <c r="C1876" s="90">
        <f t="shared" si="59"/>
        <v>0</v>
      </c>
      <c r="D1876" s="97"/>
      <c r="E1876" s="98"/>
      <c r="F1876" s="98"/>
      <c r="G1876" s="98"/>
      <c r="H1876" s="98"/>
      <c r="I1876" s="98"/>
      <c r="J1876" s="98"/>
      <c r="K1876" s="98"/>
      <c r="L1876" s="98"/>
      <c r="M1876" s="98"/>
      <c r="N1876" s="98"/>
      <c r="O1876" s="98"/>
      <c r="P1876" s="98"/>
      <c r="Q1876" s="98"/>
      <c r="R1876" s="99"/>
    </row>
    <row r="1877" spans="1:18" x14ac:dyDescent="0.35">
      <c r="A1877" s="88">
        <f t="shared" si="58"/>
        <v>0</v>
      </c>
      <c r="B1877" s="89"/>
      <c r="C1877" s="90">
        <f t="shared" si="59"/>
        <v>0</v>
      </c>
      <c r="D1877" s="97"/>
      <c r="E1877" s="98"/>
      <c r="F1877" s="98"/>
      <c r="G1877" s="98"/>
      <c r="H1877" s="98"/>
      <c r="I1877" s="98"/>
      <c r="J1877" s="98"/>
      <c r="K1877" s="98"/>
      <c r="L1877" s="98"/>
      <c r="M1877" s="98"/>
      <c r="N1877" s="98"/>
      <c r="O1877" s="98"/>
      <c r="P1877" s="98"/>
      <c r="Q1877" s="98"/>
      <c r="R1877" s="99"/>
    </row>
    <row r="1878" spans="1:18" x14ac:dyDescent="0.35">
      <c r="A1878" s="88">
        <f t="shared" si="58"/>
        <v>0</v>
      </c>
      <c r="B1878" s="89"/>
      <c r="C1878" s="90">
        <f t="shared" si="59"/>
        <v>0</v>
      </c>
      <c r="D1878" s="97"/>
      <c r="E1878" s="98"/>
      <c r="F1878" s="98"/>
      <c r="G1878" s="98"/>
      <c r="H1878" s="98"/>
      <c r="I1878" s="98"/>
      <c r="J1878" s="98"/>
      <c r="K1878" s="98"/>
      <c r="L1878" s="98"/>
      <c r="M1878" s="98"/>
      <c r="N1878" s="98"/>
      <c r="O1878" s="98"/>
      <c r="P1878" s="98"/>
      <c r="Q1878" s="98"/>
      <c r="R1878" s="99"/>
    </row>
    <row r="1879" spans="1:18" x14ac:dyDescent="0.35">
      <c r="A1879" s="88">
        <f t="shared" si="58"/>
        <v>0</v>
      </c>
      <c r="B1879" s="89"/>
      <c r="C1879" s="90">
        <f t="shared" si="59"/>
        <v>0</v>
      </c>
      <c r="D1879" s="97"/>
      <c r="E1879" s="98"/>
      <c r="F1879" s="98"/>
      <c r="G1879" s="98"/>
      <c r="H1879" s="98"/>
      <c r="I1879" s="98"/>
      <c r="J1879" s="98"/>
      <c r="K1879" s="98"/>
      <c r="L1879" s="98"/>
      <c r="M1879" s="98"/>
      <c r="N1879" s="98"/>
      <c r="O1879" s="98"/>
      <c r="P1879" s="98"/>
      <c r="Q1879" s="98"/>
      <c r="R1879" s="99"/>
    </row>
    <row r="1880" spans="1:18" x14ac:dyDescent="0.35">
      <c r="A1880" s="88">
        <f t="shared" si="58"/>
        <v>0</v>
      </c>
      <c r="B1880" s="89"/>
      <c r="C1880" s="90">
        <f t="shared" si="59"/>
        <v>0</v>
      </c>
      <c r="D1880" s="97"/>
      <c r="E1880" s="98"/>
      <c r="F1880" s="98"/>
      <c r="G1880" s="98"/>
      <c r="H1880" s="98"/>
      <c r="I1880" s="98"/>
      <c r="J1880" s="98"/>
      <c r="K1880" s="98"/>
      <c r="L1880" s="98"/>
      <c r="M1880" s="98"/>
      <c r="N1880" s="98"/>
      <c r="O1880" s="98"/>
      <c r="P1880" s="98"/>
      <c r="Q1880" s="98"/>
      <c r="R1880" s="99"/>
    </row>
    <row r="1881" spans="1:18" x14ac:dyDescent="0.35">
      <c r="A1881" s="88">
        <f t="shared" si="58"/>
        <v>0</v>
      </c>
      <c r="B1881" s="89"/>
      <c r="C1881" s="90">
        <f t="shared" si="59"/>
        <v>0</v>
      </c>
      <c r="D1881" s="97"/>
      <c r="E1881" s="98"/>
      <c r="F1881" s="98"/>
      <c r="G1881" s="98"/>
      <c r="H1881" s="98"/>
      <c r="I1881" s="98"/>
      <c r="J1881" s="98"/>
      <c r="K1881" s="98"/>
      <c r="L1881" s="98"/>
      <c r="M1881" s="98"/>
      <c r="N1881" s="98"/>
      <c r="O1881" s="98"/>
      <c r="P1881" s="98"/>
      <c r="Q1881" s="98"/>
      <c r="R1881" s="99"/>
    </row>
    <row r="1882" spans="1:18" x14ac:dyDescent="0.35">
      <c r="A1882" s="88">
        <f t="shared" si="58"/>
        <v>0</v>
      </c>
      <c r="B1882" s="89"/>
      <c r="C1882" s="90">
        <f t="shared" si="59"/>
        <v>0</v>
      </c>
      <c r="D1882" s="97"/>
      <c r="E1882" s="98"/>
      <c r="F1882" s="98"/>
      <c r="G1882" s="98"/>
      <c r="H1882" s="98"/>
      <c r="I1882" s="98"/>
      <c r="J1882" s="98"/>
      <c r="K1882" s="98"/>
      <c r="L1882" s="98"/>
      <c r="M1882" s="98"/>
      <c r="N1882" s="98"/>
      <c r="O1882" s="98"/>
      <c r="P1882" s="98"/>
      <c r="Q1882" s="98"/>
      <c r="R1882" s="99"/>
    </row>
    <row r="1883" spans="1:18" x14ac:dyDescent="0.35">
      <c r="A1883" s="88">
        <f t="shared" si="58"/>
        <v>0</v>
      </c>
      <c r="B1883" s="89"/>
      <c r="C1883" s="90">
        <f t="shared" si="59"/>
        <v>0</v>
      </c>
      <c r="D1883" s="97"/>
      <c r="E1883" s="98"/>
      <c r="F1883" s="98"/>
      <c r="G1883" s="98"/>
      <c r="H1883" s="98"/>
      <c r="I1883" s="98"/>
      <c r="J1883" s="98"/>
      <c r="K1883" s="98"/>
      <c r="L1883" s="98"/>
      <c r="M1883" s="98"/>
      <c r="N1883" s="98"/>
      <c r="O1883" s="98"/>
      <c r="P1883" s="98"/>
      <c r="Q1883" s="98"/>
      <c r="R1883" s="99"/>
    </row>
    <row r="1884" spans="1:18" x14ac:dyDescent="0.35">
      <c r="A1884" s="88">
        <f t="shared" si="58"/>
        <v>0</v>
      </c>
      <c r="B1884" s="89"/>
      <c r="C1884" s="90">
        <f t="shared" si="59"/>
        <v>0</v>
      </c>
      <c r="D1884" s="97"/>
      <c r="E1884" s="98"/>
      <c r="F1884" s="98"/>
      <c r="G1884" s="98"/>
      <c r="H1884" s="98"/>
      <c r="I1884" s="98"/>
      <c r="J1884" s="98"/>
      <c r="K1884" s="98"/>
      <c r="L1884" s="98"/>
      <c r="M1884" s="98"/>
      <c r="N1884" s="98"/>
      <c r="O1884" s="98"/>
      <c r="P1884" s="98"/>
      <c r="Q1884" s="98"/>
      <c r="R1884" s="99"/>
    </row>
    <row r="1885" spans="1:18" x14ac:dyDescent="0.35">
      <c r="A1885" s="88">
        <f t="shared" si="58"/>
        <v>0</v>
      </c>
      <c r="B1885" s="89"/>
      <c r="C1885" s="90">
        <f t="shared" si="59"/>
        <v>0</v>
      </c>
      <c r="D1885" s="97"/>
      <c r="E1885" s="98"/>
      <c r="F1885" s="98"/>
      <c r="G1885" s="98"/>
      <c r="H1885" s="98"/>
      <c r="I1885" s="98"/>
      <c r="J1885" s="98"/>
      <c r="K1885" s="98"/>
      <c r="L1885" s="98"/>
      <c r="M1885" s="98"/>
      <c r="N1885" s="98"/>
      <c r="O1885" s="98"/>
      <c r="P1885" s="98"/>
      <c r="Q1885" s="98"/>
      <c r="R1885" s="99"/>
    </row>
    <row r="1886" spans="1:18" x14ac:dyDescent="0.35">
      <c r="A1886" s="88">
        <f t="shared" si="58"/>
        <v>0</v>
      </c>
      <c r="B1886" s="89"/>
      <c r="C1886" s="90">
        <f t="shared" si="59"/>
        <v>0</v>
      </c>
      <c r="D1886" s="97"/>
      <c r="E1886" s="98"/>
      <c r="F1886" s="98"/>
      <c r="G1886" s="98"/>
      <c r="H1886" s="98"/>
      <c r="I1886" s="98"/>
      <c r="J1886" s="98"/>
      <c r="K1886" s="98"/>
      <c r="L1886" s="98"/>
      <c r="M1886" s="98"/>
      <c r="N1886" s="98"/>
      <c r="O1886" s="98"/>
      <c r="P1886" s="98"/>
      <c r="Q1886" s="98"/>
      <c r="R1886" s="99"/>
    </row>
    <row r="1887" spans="1:18" x14ac:dyDescent="0.35">
      <c r="A1887" s="88">
        <f t="shared" si="58"/>
        <v>0</v>
      </c>
      <c r="B1887" s="89"/>
      <c r="C1887" s="90">
        <f t="shared" si="59"/>
        <v>0</v>
      </c>
      <c r="D1887" s="97"/>
      <c r="E1887" s="98"/>
      <c r="F1887" s="98"/>
      <c r="G1887" s="98"/>
      <c r="H1887" s="98"/>
      <c r="I1887" s="98"/>
      <c r="J1887" s="98"/>
      <c r="K1887" s="98"/>
      <c r="L1887" s="98"/>
      <c r="M1887" s="98"/>
      <c r="N1887" s="98"/>
      <c r="O1887" s="98"/>
      <c r="P1887" s="98"/>
      <c r="Q1887" s="98"/>
      <c r="R1887" s="99"/>
    </row>
    <row r="1888" spans="1:18" x14ac:dyDescent="0.35">
      <c r="A1888" s="88">
        <f t="shared" si="58"/>
        <v>0</v>
      </c>
      <c r="B1888" s="89"/>
      <c r="C1888" s="90">
        <f t="shared" si="59"/>
        <v>0</v>
      </c>
      <c r="D1888" s="97"/>
      <c r="E1888" s="98"/>
      <c r="F1888" s="98"/>
      <c r="G1888" s="98"/>
      <c r="H1888" s="98"/>
      <c r="I1888" s="98"/>
      <c r="J1888" s="98"/>
      <c r="K1888" s="98"/>
      <c r="L1888" s="98"/>
      <c r="M1888" s="98"/>
      <c r="N1888" s="98"/>
      <c r="O1888" s="98"/>
      <c r="P1888" s="98"/>
      <c r="Q1888" s="98"/>
      <c r="R1888" s="99"/>
    </row>
    <row r="1889" spans="1:18" x14ac:dyDescent="0.35">
      <c r="A1889" s="88">
        <f t="shared" si="58"/>
        <v>0</v>
      </c>
      <c r="B1889" s="89"/>
      <c r="C1889" s="90">
        <f t="shared" si="59"/>
        <v>0</v>
      </c>
      <c r="D1889" s="97"/>
      <c r="E1889" s="98"/>
      <c r="F1889" s="98"/>
      <c r="G1889" s="98"/>
      <c r="H1889" s="98"/>
      <c r="I1889" s="98"/>
      <c r="J1889" s="98"/>
      <c r="K1889" s="98"/>
      <c r="L1889" s="98"/>
      <c r="M1889" s="98"/>
      <c r="N1889" s="98"/>
      <c r="O1889" s="98"/>
      <c r="P1889" s="98"/>
      <c r="Q1889" s="98"/>
      <c r="R1889" s="99"/>
    </row>
    <row r="1890" spans="1:18" x14ac:dyDescent="0.35">
      <c r="A1890" s="88">
        <f t="shared" si="58"/>
        <v>0</v>
      </c>
      <c r="B1890" s="89"/>
      <c r="C1890" s="90">
        <f t="shared" si="59"/>
        <v>0</v>
      </c>
      <c r="D1890" s="97"/>
      <c r="E1890" s="98"/>
      <c r="F1890" s="98"/>
      <c r="G1890" s="98"/>
      <c r="H1890" s="98"/>
      <c r="I1890" s="98"/>
      <c r="J1890" s="98"/>
      <c r="K1890" s="98"/>
      <c r="L1890" s="98"/>
      <c r="M1890" s="98"/>
      <c r="N1890" s="98"/>
      <c r="O1890" s="98"/>
      <c r="P1890" s="98"/>
      <c r="Q1890" s="98"/>
      <c r="R1890" s="99"/>
    </row>
    <row r="1891" spans="1:18" x14ac:dyDescent="0.35">
      <c r="A1891" s="88">
        <f t="shared" si="58"/>
        <v>0</v>
      </c>
      <c r="B1891" s="89"/>
      <c r="C1891" s="90">
        <f t="shared" si="59"/>
        <v>0</v>
      </c>
      <c r="D1891" s="97"/>
      <c r="E1891" s="98"/>
      <c r="F1891" s="98"/>
      <c r="G1891" s="98"/>
      <c r="H1891" s="98"/>
      <c r="I1891" s="98"/>
      <c r="J1891" s="98"/>
      <c r="K1891" s="98"/>
      <c r="L1891" s="98"/>
      <c r="M1891" s="98"/>
      <c r="N1891" s="98"/>
      <c r="O1891" s="98"/>
      <c r="P1891" s="98"/>
      <c r="Q1891" s="98"/>
      <c r="R1891" s="99"/>
    </row>
    <row r="1892" spans="1:18" x14ac:dyDescent="0.35">
      <c r="A1892" s="88">
        <f t="shared" si="58"/>
        <v>0</v>
      </c>
      <c r="B1892" s="89"/>
      <c r="C1892" s="90">
        <f t="shared" si="59"/>
        <v>0</v>
      </c>
      <c r="D1892" s="97"/>
      <c r="E1892" s="98"/>
      <c r="F1892" s="98"/>
      <c r="G1892" s="98"/>
      <c r="H1892" s="98"/>
      <c r="I1892" s="98"/>
      <c r="J1892" s="98"/>
      <c r="K1892" s="98"/>
      <c r="L1892" s="98"/>
      <c r="M1892" s="98"/>
      <c r="N1892" s="98"/>
      <c r="O1892" s="98"/>
      <c r="P1892" s="98"/>
      <c r="Q1892" s="98"/>
      <c r="R1892" s="99"/>
    </row>
    <row r="1893" spans="1:18" x14ac:dyDescent="0.35">
      <c r="A1893" s="88">
        <f t="shared" si="58"/>
        <v>0</v>
      </c>
      <c r="B1893" s="89"/>
      <c r="C1893" s="90">
        <f t="shared" si="59"/>
        <v>0</v>
      </c>
      <c r="D1893" s="97"/>
      <c r="E1893" s="98"/>
      <c r="F1893" s="98"/>
      <c r="G1893" s="98"/>
      <c r="H1893" s="98"/>
      <c r="I1893" s="98"/>
      <c r="J1893" s="98"/>
      <c r="K1893" s="98"/>
      <c r="L1893" s="98"/>
      <c r="M1893" s="98"/>
      <c r="N1893" s="98"/>
      <c r="O1893" s="98"/>
      <c r="P1893" s="98"/>
      <c r="Q1893" s="98"/>
      <c r="R1893" s="99"/>
    </row>
    <row r="1894" spans="1:18" x14ac:dyDescent="0.35">
      <c r="A1894" s="88">
        <f t="shared" si="58"/>
        <v>0</v>
      </c>
      <c r="B1894" s="89"/>
      <c r="C1894" s="90">
        <f t="shared" si="59"/>
        <v>0</v>
      </c>
      <c r="D1894" s="97"/>
      <c r="E1894" s="98"/>
      <c r="F1894" s="98"/>
      <c r="G1894" s="98"/>
      <c r="H1894" s="98"/>
      <c r="I1894" s="98"/>
      <c r="J1894" s="98"/>
      <c r="K1894" s="98"/>
      <c r="L1894" s="98"/>
      <c r="M1894" s="98"/>
      <c r="N1894" s="98"/>
      <c r="O1894" s="98"/>
      <c r="P1894" s="98"/>
      <c r="Q1894" s="98"/>
      <c r="R1894" s="99"/>
    </row>
    <row r="1895" spans="1:18" x14ac:dyDescent="0.35">
      <c r="A1895" s="88">
        <f t="shared" si="58"/>
        <v>0</v>
      </c>
      <c r="B1895" s="89"/>
      <c r="C1895" s="90">
        <f t="shared" si="59"/>
        <v>0</v>
      </c>
      <c r="D1895" s="97"/>
      <c r="E1895" s="98"/>
      <c r="F1895" s="98"/>
      <c r="G1895" s="98"/>
      <c r="H1895" s="98"/>
      <c r="I1895" s="98"/>
      <c r="J1895" s="98"/>
      <c r="K1895" s="98"/>
      <c r="L1895" s="98"/>
      <c r="M1895" s="98"/>
      <c r="N1895" s="98"/>
      <c r="O1895" s="98"/>
      <c r="P1895" s="98"/>
      <c r="Q1895" s="98"/>
      <c r="R1895" s="99"/>
    </row>
    <row r="1896" spans="1:18" x14ac:dyDescent="0.35">
      <c r="A1896" s="88">
        <f t="shared" si="58"/>
        <v>0</v>
      </c>
      <c r="B1896" s="89"/>
      <c r="C1896" s="90">
        <f t="shared" si="59"/>
        <v>0</v>
      </c>
      <c r="D1896" s="97"/>
      <c r="E1896" s="98"/>
      <c r="F1896" s="98"/>
      <c r="G1896" s="98"/>
      <c r="H1896" s="98"/>
      <c r="I1896" s="98"/>
      <c r="J1896" s="98"/>
      <c r="K1896" s="98"/>
      <c r="L1896" s="98"/>
      <c r="M1896" s="98"/>
      <c r="N1896" s="98"/>
      <c r="O1896" s="98"/>
      <c r="P1896" s="98"/>
      <c r="Q1896" s="98"/>
      <c r="R1896" s="99"/>
    </row>
    <row r="1897" spans="1:18" x14ac:dyDescent="0.35">
      <c r="A1897" s="88">
        <f t="shared" si="58"/>
        <v>0</v>
      </c>
      <c r="B1897" s="89"/>
      <c r="C1897" s="90">
        <f t="shared" si="59"/>
        <v>0</v>
      </c>
      <c r="D1897" s="97"/>
      <c r="E1897" s="98"/>
      <c r="F1897" s="98"/>
      <c r="G1897" s="98"/>
      <c r="H1897" s="98"/>
      <c r="I1897" s="98"/>
      <c r="J1897" s="98"/>
      <c r="K1897" s="98"/>
      <c r="L1897" s="98"/>
      <c r="M1897" s="98"/>
      <c r="N1897" s="98"/>
      <c r="O1897" s="98"/>
      <c r="P1897" s="98"/>
      <c r="Q1897" s="98"/>
      <c r="R1897" s="99"/>
    </row>
    <row r="1898" spans="1:18" x14ac:dyDescent="0.35">
      <c r="A1898" s="88">
        <f t="shared" si="58"/>
        <v>0</v>
      </c>
      <c r="B1898" s="89"/>
      <c r="C1898" s="90">
        <f t="shared" si="59"/>
        <v>0</v>
      </c>
      <c r="D1898" s="97"/>
      <c r="E1898" s="98"/>
      <c r="F1898" s="98"/>
      <c r="G1898" s="98"/>
      <c r="H1898" s="98"/>
      <c r="I1898" s="98"/>
      <c r="J1898" s="98"/>
      <c r="K1898" s="98"/>
      <c r="L1898" s="98"/>
      <c r="M1898" s="98"/>
      <c r="N1898" s="98"/>
      <c r="O1898" s="98"/>
      <c r="P1898" s="98"/>
      <c r="Q1898" s="98"/>
      <c r="R1898" s="99"/>
    </row>
    <row r="1899" spans="1:18" x14ac:dyDescent="0.35">
      <c r="A1899" s="88">
        <f t="shared" si="58"/>
        <v>0</v>
      </c>
      <c r="B1899" s="89"/>
      <c r="C1899" s="90">
        <f t="shared" si="59"/>
        <v>0</v>
      </c>
      <c r="D1899" s="97"/>
      <c r="E1899" s="98"/>
      <c r="F1899" s="98"/>
      <c r="G1899" s="98"/>
      <c r="H1899" s="98"/>
      <c r="I1899" s="98"/>
      <c r="J1899" s="98"/>
      <c r="K1899" s="98"/>
      <c r="L1899" s="98"/>
      <c r="M1899" s="98"/>
      <c r="N1899" s="98"/>
      <c r="O1899" s="98"/>
      <c r="P1899" s="98"/>
      <c r="Q1899" s="98"/>
      <c r="R1899" s="99"/>
    </row>
    <row r="1900" spans="1:18" x14ac:dyDescent="0.35">
      <c r="A1900" s="88">
        <f t="shared" si="58"/>
        <v>0</v>
      </c>
      <c r="B1900" s="89"/>
      <c r="C1900" s="90">
        <f t="shared" si="59"/>
        <v>0</v>
      </c>
      <c r="D1900" s="97"/>
      <c r="E1900" s="98"/>
      <c r="F1900" s="98"/>
      <c r="G1900" s="98"/>
      <c r="H1900" s="98"/>
      <c r="I1900" s="98"/>
      <c r="J1900" s="98"/>
      <c r="K1900" s="98"/>
      <c r="L1900" s="98"/>
      <c r="M1900" s="98"/>
      <c r="N1900" s="98"/>
      <c r="O1900" s="98"/>
      <c r="P1900" s="98"/>
      <c r="Q1900" s="98"/>
      <c r="R1900" s="99"/>
    </row>
    <row r="1901" spans="1:18" x14ac:dyDescent="0.35">
      <c r="A1901" s="88">
        <f t="shared" si="58"/>
        <v>0</v>
      </c>
      <c r="B1901" s="89"/>
      <c r="C1901" s="90">
        <f t="shared" si="59"/>
        <v>0</v>
      </c>
      <c r="D1901" s="97"/>
      <c r="E1901" s="98"/>
      <c r="F1901" s="98"/>
      <c r="G1901" s="98"/>
      <c r="H1901" s="98"/>
      <c r="I1901" s="98"/>
      <c r="J1901" s="98"/>
      <c r="K1901" s="98"/>
      <c r="L1901" s="98"/>
      <c r="M1901" s="98"/>
      <c r="N1901" s="98"/>
      <c r="O1901" s="98"/>
      <c r="P1901" s="98"/>
      <c r="Q1901" s="98"/>
      <c r="R1901" s="99"/>
    </row>
    <row r="1902" spans="1:18" x14ac:dyDescent="0.35">
      <c r="A1902" s="88">
        <f t="shared" si="58"/>
        <v>0</v>
      </c>
      <c r="B1902" s="89"/>
      <c r="C1902" s="90">
        <f t="shared" si="59"/>
        <v>0</v>
      </c>
      <c r="D1902" s="97"/>
      <c r="E1902" s="98"/>
      <c r="F1902" s="98"/>
      <c r="G1902" s="98"/>
      <c r="H1902" s="98"/>
      <c r="I1902" s="98"/>
      <c r="J1902" s="98"/>
      <c r="K1902" s="98"/>
      <c r="L1902" s="98"/>
      <c r="M1902" s="98"/>
      <c r="N1902" s="98"/>
      <c r="O1902" s="98"/>
      <c r="P1902" s="98"/>
      <c r="Q1902" s="98"/>
      <c r="R1902" s="99"/>
    </row>
    <row r="1903" spans="1:18" x14ac:dyDescent="0.35">
      <c r="A1903" s="88">
        <f t="shared" si="58"/>
        <v>0</v>
      </c>
      <c r="B1903" s="89"/>
      <c r="C1903" s="90">
        <f t="shared" si="59"/>
        <v>0</v>
      </c>
      <c r="D1903" s="97"/>
      <c r="E1903" s="98"/>
      <c r="F1903" s="98"/>
      <c r="G1903" s="98"/>
      <c r="H1903" s="98"/>
      <c r="I1903" s="98"/>
      <c r="J1903" s="98"/>
      <c r="K1903" s="98"/>
      <c r="L1903" s="98"/>
      <c r="M1903" s="98"/>
      <c r="N1903" s="98"/>
      <c r="O1903" s="98"/>
      <c r="P1903" s="98"/>
      <c r="Q1903" s="98"/>
      <c r="R1903" s="99"/>
    </row>
    <row r="1904" spans="1:18" x14ac:dyDescent="0.35">
      <c r="A1904" s="88">
        <f t="shared" si="58"/>
        <v>0</v>
      </c>
      <c r="B1904" s="89"/>
      <c r="C1904" s="90">
        <f t="shared" si="59"/>
        <v>0</v>
      </c>
      <c r="D1904" s="97"/>
      <c r="E1904" s="98"/>
      <c r="F1904" s="98"/>
      <c r="G1904" s="98"/>
      <c r="H1904" s="98"/>
      <c r="I1904" s="98"/>
      <c r="J1904" s="98"/>
      <c r="K1904" s="98"/>
      <c r="L1904" s="98"/>
      <c r="M1904" s="98"/>
      <c r="N1904" s="98"/>
      <c r="O1904" s="98"/>
      <c r="P1904" s="98"/>
      <c r="Q1904" s="98"/>
      <c r="R1904" s="99"/>
    </row>
    <row r="1905" spans="1:18" x14ac:dyDescent="0.35">
      <c r="A1905" s="88">
        <f t="shared" si="58"/>
        <v>0</v>
      </c>
      <c r="B1905" s="89"/>
      <c r="C1905" s="90">
        <f t="shared" si="59"/>
        <v>0</v>
      </c>
      <c r="D1905" s="97"/>
      <c r="E1905" s="98"/>
      <c r="F1905" s="98"/>
      <c r="G1905" s="98"/>
      <c r="H1905" s="98"/>
      <c r="I1905" s="98"/>
      <c r="J1905" s="98"/>
      <c r="K1905" s="98"/>
      <c r="L1905" s="98"/>
      <c r="M1905" s="98"/>
      <c r="N1905" s="98"/>
      <c r="O1905" s="98"/>
      <c r="P1905" s="98"/>
      <c r="Q1905" s="98"/>
      <c r="R1905" s="99"/>
    </row>
    <row r="1906" spans="1:18" x14ac:dyDescent="0.35">
      <c r="A1906" s="88">
        <f t="shared" si="58"/>
        <v>0</v>
      </c>
      <c r="B1906" s="89"/>
      <c r="C1906" s="90">
        <f t="shared" si="59"/>
        <v>0</v>
      </c>
      <c r="D1906" s="97"/>
      <c r="E1906" s="98"/>
      <c r="F1906" s="98"/>
      <c r="G1906" s="98"/>
      <c r="H1906" s="98"/>
      <c r="I1906" s="98"/>
      <c r="J1906" s="98"/>
      <c r="K1906" s="98"/>
      <c r="L1906" s="98"/>
      <c r="M1906" s="98"/>
      <c r="N1906" s="98"/>
      <c r="O1906" s="98"/>
      <c r="P1906" s="98"/>
      <c r="Q1906" s="98"/>
      <c r="R1906" s="99"/>
    </row>
    <row r="1907" spans="1:18" x14ac:dyDescent="0.35">
      <c r="A1907" s="88">
        <f t="shared" si="58"/>
        <v>0</v>
      </c>
      <c r="B1907" s="89"/>
      <c r="C1907" s="90">
        <f t="shared" si="59"/>
        <v>0</v>
      </c>
      <c r="D1907" s="97"/>
      <c r="E1907" s="98"/>
      <c r="F1907" s="98"/>
      <c r="G1907" s="98"/>
      <c r="H1907" s="98"/>
      <c r="I1907" s="98"/>
      <c r="J1907" s="98"/>
      <c r="K1907" s="98"/>
      <c r="L1907" s="98"/>
      <c r="M1907" s="98"/>
      <c r="N1907" s="98"/>
      <c r="O1907" s="98"/>
      <c r="P1907" s="98"/>
      <c r="Q1907" s="98"/>
      <c r="R1907" s="99"/>
    </row>
    <row r="1908" spans="1:18" x14ac:dyDescent="0.35">
      <c r="A1908" s="88">
        <f t="shared" si="58"/>
        <v>0</v>
      </c>
      <c r="B1908" s="89"/>
      <c r="C1908" s="90">
        <f t="shared" si="59"/>
        <v>0</v>
      </c>
      <c r="D1908" s="97"/>
      <c r="E1908" s="98"/>
      <c r="F1908" s="98"/>
      <c r="G1908" s="98"/>
      <c r="H1908" s="98"/>
      <c r="I1908" s="98"/>
      <c r="J1908" s="98"/>
      <c r="K1908" s="98"/>
      <c r="L1908" s="98"/>
      <c r="M1908" s="98"/>
      <c r="N1908" s="98"/>
      <c r="O1908" s="98"/>
      <c r="P1908" s="98"/>
      <c r="Q1908" s="98"/>
      <c r="R1908" s="99"/>
    </row>
    <row r="1909" spans="1:18" x14ac:dyDescent="0.35">
      <c r="A1909" s="88">
        <f t="shared" si="58"/>
        <v>0</v>
      </c>
      <c r="B1909" s="89"/>
      <c r="C1909" s="90">
        <f t="shared" si="59"/>
        <v>0</v>
      </c>
      <c r="D1909" s="97"/>
      <c r="E1909" s="98"/>
      <c r="F1909" s="98"/>
      <c r="G1909" s="98"/>
      <c r="H1909" s="98"/>
      <c r="I1909" s="98"/>
      <c r="J1909" s="98"/>
      <c r="K1909" s="98"/>
      <c r="L1909" s="98"/>
      <c r="M1909" s="98"/>
      <c r="N1909" s="98"/>
      <c r="O1909" s="98"/>
      <c r="P1909" s="98"/>
      <c r="Q1909" s="98"/>
      <c r="R1909" s="99"/>
    </row>
    <row r="1910" spans="1:18" x14ac:dyDescent="0.35">
      <c r="A1910" s="88">
        <f t="shared" si="58"/>
        <v>0</v>
      </c>
      <c r="B1910" s="89"/>
      <c r="C1910" s="90">
        <f t="shared" si="59"/>
        <v>0</v>
      </c>
      <c r="D1910" s="97"/>
      <c r="E1910" s="98"/>
      <c r="F1910" s="98"/>
      <c r="G1910" s="98"/>
      <c r="H1910" s="98"/>
      <c r="I1910" s="98"/>
      <c r="J1910" s="98"/>
      <c r="K1910" s="98"/>
      <c r="L1910" s="98"/>
      <c r="M1910" s="98"/>
      <c r="N1910" s="98"/>
      <c r="O1910" s="98"/>
      <c r="P1910" s="98"/>
      <c r="Q1910" s="98"/>
      <c r="R1910" s="99"/>
    </row>
    <row r="1911" spans="1:18" x14ac:dyDescent="0.35">
      <c r="A1911" s="88">
        <f t="shared" si="58"/>
        <v>0</v>
      </c>
      <c r="B1911" s="89"/>
      <c r="C1911" s="90">
        <f t="shared" si="59"/>
        <v>0</v>
      </c>
      <c r="D1911" s="97"/>
      <c r="E1911" s="98"/>
      <c r="F1911" s="98"/>
      <c r="G1911" s="98"/>
      <c r="H1911" s="98"/>
      <c r="I1911" s="98"/>
      <c r="J1911" s="98"/>
      <c r="K1911" s="98"/>
      <c r="L1911" s="98"/>
      <c r="M1911" s="98"/>
      <c r="N1911" s="98"/>
      <c r="O1911" s="98"/>
      <c r="P1911" s="98"/>
      <c r="Q1911" s="98"/>
      <c r="R1911" s="99"/>
    </row>
    <row r="1912" spans="1:18" x14ac:dyDescent="0.35">
      <c r="A1912" s="88">
        <f t="shared" si="58"/>
        <v>0</v>
      </c>
      <c r="B1912" s="89"/>
      <c r="C1912" s="90">
        <f t="shared" si="59"/>
        <v>0</v>
      </c>
      <c r="D1912" s="97"/>
      <c r="E1912" s="98"/>
      <c r="F1912" s="98"/>
      <c r="G1912" s="98"/>
      <c r="H1912" s="98"/>
      <c r="I1912" s="98"/>
      <c r="J1912" s="98"/>
      <c r="K1912" s="98"/>
      <c r="L1912" s="98"/>
      <c r="M1912" s="98"/>
      <c r="N1912" s="98"/>
      <c r="O1912" s="98"/>
      <c r="P1912" s="98"/>
      <c r="Q1912" s="98"/>
      <c r="R1912" s="99"/>
    </row>
    <row r="1913" spans="1:18" x14ac:dyDescent="0.35">
      <c r="A1913" s="88">
        <f t="shared" si="58"/>
        <v>0</v>
      </c>
      <c r="B1913" s="89"/>
      <c r="C1913" s="90">
        <f t="shared" si="59"/>
        <v>0</v>
      </c>
      <c r="D1913" s="97"/>
      <c r="E1913" s="98"/>
      <c r="F1913" s="98"/>
      <c r="G1913" s="98"/>
      <c r="H1913" s="98"/>
      <c r="I1913" s="98"/>
      <c r="J1913" s="98"/>
      <c r="K1913" s="98"/>
      <c r="L1913" s="98"/>
      <c r="M1913" s="98"/>
      <c r="N1913" s="98"/>
      <c r="O1913" s="98"/>
      <c r="P1913" s="98"/>
      <c r="Q1913" s="98"/>
      <c r="R1913" s="99"/>
    </row>
    <row r="1914" spans="1:18" x14ac:dyDescent="0.35">
      <c r="A1914" s="88">
        <f t="shared" si="58"/>
        <v>0</v>
      </c>
      <c r="B1914" s="89"/>
      <c r="C1914" s="90">
        <f t="shared" si="59"/>
        <v>0</v>
      </c>
      <c r="D1914" s="97"/>
      <c r="E1914" s="98"/>
      <c r="F1914" s="98"/>
      <c r="G1914" s="98"/>
      <c r="H1914" s="98"/>
      <c r="I1914" s="98"/>
      <c r="J1914" s="98"/>
      <c r="K1914" s="98"/>
      <c r="L1914" s="98"/>
      <c r="M1914" s="98"/>
      <c r="N1914" s="98"/>
      <c r="O1914" s="98"/>
      <c r="P1914" s="98"/>
      <c r="Q1914" s="98"/>
      <c r="R1914" s="99"/>
    </row>
    <row r="1915" spans="1:18" x14ac:dyDescent="0.35">
      <c r="A1915" s="88">
        <f t="shared" si="58"/>
        <v>0</v>
      </c>
      <c r="B1915" s="89"/>
      <c r="C1915" s="90">
        <f t="shared" si="59"/>
        <v>0</v>
      </c>
      <c r="D1915" s="97"/>
      <c r="E1915" s="98"/>
      <c r="F1915" s="98"/>
      <c r="G1915" s="98"/>
      <c r="H1915" s="98"/>
      <c r="I1915" s="98"/>
      <c r="J1915" s="98"/>
      <c r="K1915" s="98"/>
      <c r="L1915" s="98"/>
      <c r="M1915" s="98"/>
      <c r="N1915" s="98"/>
      <c r="O1915" s="98"/>
      <c r="P1915" s="98"/>
      <c r="Q1915" s="98"/>
      <c r="R1915" s="99"/>
    </row>
    <row r="1916" spans="1:18" x14ac:dyDescent="0.35">
      <c r="A1916" s="88">
        <f t="shared" si="58"/>
        <v>0</v>
      </c>
      <c r="B1916" s="89"/>
      <c r="C1916" s="90">
        <f t="shared" si="59"/>
        <v>0</v>
      </c>
      <c r="D1916" s="97"/>
      <c r="E1916" s="98"/>
      <c r="F1916" s="98"/>
      <c r="G1916" s="98"/>
      <c r="H1916" s="98"/>
      <c r="I1916" s="98"/>
      <c r="J1916" s="98"/>
      <c r="K1916" s="98"/>
      <c r="L1916" s="98"/>
      <c r="M1916" s="98"/>
      <c r="N1916" s="98"/>
      <c r="O1916" s="98"/>
      <c r="P1916" s="98"/>
      <c r="Q1916" s="98"/>
      <c r="R1916" s="99"/>
    </row>
    <row r="1917" spans="1:18" x14ac:dyDescent="0.35">
      <c r="A1917" s="88">
        <f t="shared" si="58"/>
        <v>0</v>
      </c>
      <c r="B1917" s="89"/>
      <c r="C1917" s="90">
        <f t="shared" si="59"/>
        <v>0</v>
      </c>
      <c r="D1917" s="97"/>
      <c r="E1917" s="98"/>
      <c r="F1917" s="98"/>
      <c r="G1917" s="98"/>
      <c r="H1917" s="98"/>
      <c r="I1917" s="98"/>
      <c r="J1917" s="98"/>
      <c r="K1917" s="98"/>
      <c r="L1917" s="98"/>
      <c r="M1917" s="98"/>
      <c r="N1917" s="98"/>
      <c r="O1917" s="98"/>
      <c r="P1917" s="98"/>
      <c r="Q1917" s="98"/>
      <c r="R1917" s="99"/>
    </row>
    <row r="1918" spans="1:18" x14ac:dyDescent="0.35">
      <c r="A1918" s="88">
        <f t="shared" si="58"/>
        <v>0</v>
      </c>
      <c r="B1918" s="89"/>
      <c r="C1918" s="90">
        <f t="shared" si="59"/>
        <v>0</v>
      </c>
      <c r="D1918" s="97"/>
      <c r="E1918" s="98"/>
      <c r="F1918" s="98"/>
      <c r="G1918" s="98"/>
      <c r="H1918" s="98"/>
      <c r="I1918" s="98"/>
      <c r="J1918" s="98"/>
      <c r="K1918" s="98"/>
      <c r="L1918" s="98"/>
      <c r="M1918" s="98"/>
      <c r="N1918" s="98"/>
      <c r="O1918" s="98"/>
      <c r="P1918" s="98"/>
      <c r="Q1918" s="98"/>
      <c r="R1918" s="99"/>
    </row>
    <row r="1919" spans="1:18" x14ac:dyDescent="0.35">
      <c r="A1919" s="88">
        <f t="shared" si="58"/>
        <v>0</v>
      </c>
      <c r="B1919" s="89"/>
      <c r="C1919" s="90">
        <f t="shared" si="59"/>
        <v>0</v>
      </c>
      <c r="D1919" s="97"/>
      <c r="E1919" s="98"/>
      <c r="F1919" s="98"/>
      <c r="G1919" s="98"/>
      <c r="H1919" s="98"/>
      <c r="I1919" s="98"/>
      <c r="J1919" s="98"/>
      <c r="K1919" s="98"/>
      <c r="L1919" s="98"/>
      <c r="M1919" s="98"/>
      <c r="N1919" s="98"/>
      <c r="O1919" s="98"/>
      <c r="P1919" s="98"/>
      <c r="Q1919" s="98"/>
      <c r="R1919" s="99"/>
    </row>
    <row r="1920" spans="1:18" x14ac:dyDescent="0.35">
      <c r="A1920" s="88">
        <f t="shared" si="58"/>
        <v>0</v>
      </c>
      <c r="B1920" s="89"/>
      <c r="C1920" s="90">
        <f t="shared" si="59"/>
        <v>0</v>
      </c>
      <c r="D1920" s="97"/>
      <c r="E1920" s="98"/>
      <c r="F1920" s="98"/>
      <c r="G1920" s="98"/>
      <c r="H1920" s="98"/>
      <c r="I1920" s="98"/>
      <c r="J1920" s="98"/>
      <c r="K1920" s="98"/>
      <c r="L1920" s="98"/>
      <c r="M1920" s="98"/>
      <c r="N1920" s="98"/>
      <c r="O1920" s="98"/>
      <c r="P1920" s="98"/>
      <c r="Q1920" s="98"/>
      <c r="R1920" s="99"/>
    </row>
    <row r="1921" spans="1:18" x14ac:dyDescent="0.35">
      <c r="A1921" s="88">
        <f t="shared" si="58"/>
        <v>0</v>
      </c>
      <c r="B1921" s="89"/>
      <c r="C1921" s="90">
        <f t="shared" si="59"/>
        <v>0</v>
      </c>
      <c r="D1921" s="97"/>
      <c r="E1921" s="98"/>
      <c r="F1921" s="98"/>
      <c r="G1921" s="98"/>
      <c r="H1921" s="98"/>
      <c r="I1921" s="98"/>
      <c r="J1921" s="98"/>
      <c r="K1921" s="98"/>
      <c r="L1921" s="98"/>
      <c r="M1921" s="98"/>
      <c r="N1921" s="98"/>
      <c r="O1921" s="98"/>
      <c r="P1921" s="98"/>
      <c r="Q1921" s="98"/>
      <c r="R1921" s="99"/>
    </row>
    <row r="1922" spans="1:18" x14ac:dyDescent="0.35">
      <c r="A1922" s="88">
        <f t="shared" si="58"/>
        <v>0</v>
      </c>
      <c r="B1922" s="89"/>
      <c r="C1922" s="90">
        <f t="shared" si="59"/>
        <v>0</v>
      </c>
      <c r="D1922" s="97"/>
      <c r="E1922" s="98"/>
      <c r="F1922" s="98"/>
      <c r="G1922" s="98"/>
      <c r="H1922" s="98"/>
      <c r="I1922" s="98"/>
      <c r="J1922" s="98"/>
      <c r="K1922" s="98"/>
      <c r="L1922" s="98"/>
      <c r="M1922" s="98"/>
      <c r="N1922" s="98"/>
      <c r="O1922" s="98"/>
      <c r="P1922" s="98"/>
      <c r="Q1922" s="98"/>
      <c r="R1922" s="99"/>
    </row>
    <row r="1923" spans="1:18" x14ac:dyDescent="0.35">
      <c r="A1923" s="88">
        <f t="shared" si="58"/>
        <v>0</v>
      </c>
      <c r="B1923" s="89"/>
      <c r="C1923" s="90">
        <f t="shared" si="59"/>
        <v>0</v>
      </c>
      <c r="D1923" s="97"/>
      <c r="E1923" s="98"/>
      <c r="F1923" s="98"/>
      <c r="G1923" s="98"/>
      <c r="H1923" s="98"/>
      <c r="I1923" s="98"/>
      <c r="J1923" s="98"/>
      <c r="K1923" s="98"/>
      <c r="L1923" s="98"/>
      <c r="M1923" s="98"/>
      <c r="N1923" s="98"/>
      <c r="O1923" s="98"/>
      <c r="P1923" s="98"/>
      <c r="Q1923" s="98"/>
      <c r="R1923" s="99"/>
    </row>
    <row r="1924" spans="1:18" x14ac:dyDescent="0.35">
      <c r="A1924" s="88">
        <f t="shared" ref="A1924:A1987" si="60">F1924</f>
        <v>0</v>
      </c>
      <c r="B1924" s="89"/>
      <c r="C1924" s="90">
        <f t="shared" ref="C1924:C1987" si="61">F1924</f>
        <v>0</v>
      </c>
      <c r="D1924" s="97"/>
      <c r="E1924" s="98"/>
      <c r="F1924" s="98"/>
      <c r="G1924" s="98"/>
      <c r="H1924" s="98"/>
      <c r="I1924" s="98"/>
      <c r="J1924" s="98"/>
      <c r="K1924" s="98"/>
      <c r="L1924" s="98"/>
      <c r="M1924" s="98"/>
      <c r="N1924" s="98"/>
      <c r="O1924" s="98"/>
      <c r="P1924" s="98"/>
      <c r="Q1924" s="98"/>
      <c r="R1924" s="99"/>
    </row>
    <row r="1925" spans="1:18" x14ac:dyDescent="0.35">
      <c r="A1925" s="88">
        <f t="shared" si="60"/>
        <v>0</v>
      </c>
      <c r="B1925" s="89"/>
      <c r="C1925" s="90">
        <f t="shared" si="61"/>
        <v>0</v>
      </c>
      <c r="D1925" s="97"/>
      <c r="E1925" s="98"/>
      <c r="F1925" s="98"/>
      <c r="G1925" s="98"/>
      <c r="H1925" s="98"/>
      <c r="I1925" s="98"/>
      <c r="J1925" s="98"/>
      <c r="K1925" s="98"/>
      <c r="L1925" s="98"/>
      <c r="M1925" s="98"/>
      <c r="N1925" s="98"/>
      <c r="O1925" s="98"/>
      <c r="P1925" s="98"/>
      <c r="Q1925" s="98"/>
      <c r="R1925" s="99"/>
    </row>
    <row r="1926" spans="1:18" x14ac:dyDescent="0.35">
      <c r="A1926" s="88">
        <f t="shared" si="60"/>
        <v>0</v>
      </c>
      <c r="B1926" s="89"/>
      <c r="C1926" s="90">
        <f t="shared" si="61"/>
        <v>0</v>
      </c>
      <c r="D1926" s="97"/>
      <c r="E1926" s="98"/>
      <c r="F1926" s="98"/>
      <c r="G1926" s="98"/>
      <c r="H1926" s="98"/>
      <c r="I1926" s="98"/>
      <c r="J1926" s="98"/>
      <c r="K1926" s="98"/>
      <c r="L1926" s="98"/>
      <c r="M1926" s="98"/>
      <c r="N1926" s="98"/>
      <c r="O1926" s="98"/>
      <c r="P1926" s="98"/>
      <c r="Q1926" s="98"/>
      <c r="R1926" s="99"/>
    </row>
    <row r="1927" spans="1:18" x14ac:dyDescent="0.35">
      <c r="A1927" s="88">
        <f t="shared" si="60"/>
        <v>0</v>
      </c>
      <c r="B1927" s="89"/>
      <c r="C1927" s="90">
        <f t="shared" si="61"/>
        <v>0</v>
      </c>
      <c r="D1927" s="97"/>
      <c r="E1927" s="98"/>
      <c r="F1927" s="98"/>
      <c r="G1927" s="98"/>
      <c r="H1927" s="98"/>
      <c r="I1927" s="98"/>
      <c r="J1927" s="98"/>
      <c r="K1927" s="98"/>
      <c r="L1927" s="98"/>
      <c r="M1927" s="98"/>
      <c r="N1927" s="98"/>
      <c r="O1927" s="98"/>
      <c r="P1927" s="98"/>
      <c r="Q1927" s="98"/>
      <c r="R1927" s="99"/>
    </row>
    <row r="1928" spans="1:18" x14ac:dyDescent="0.35">
      <c r="A1928" s="88">
        <f t="shared" si="60"/>
        <v>0</v>
      </c>
      <c r="B1928" s="89"/>
      <c r="C1928" s="90">
        <f t="shared" si="61"/>
        <v>0</v>
      </c>
      <c r="D1928" s="97"/>
      <c r="E1928" s="98"/>
      <c r="F1928" s="98"/>
      <c r="G1928" s="98"/>
      <c r="H1928" s="98"/>
      <c r="I1928" s="98"/>
      <c r="J1928" s="98"/>
      <c r="K1928" s="98"/>
      <c r="L1928" s="98"/>
      <c r="M1928" s="98"/>
      <c r="N1928" s="98"/>
      <c r="O1928" s="98"/>
      <c r="P1928" s="98"/>
      <c r="Q1928" s="98"/>
      <c r="R1928" s="99"/>
    </row>
    <row r="1929" spans="1:18" x14ac:dyDescent="0.35">
      <c r="A1929" s="88">
        <f t="shared" si="60"/>
        <v>0</v>
      </c>
      <c r="B1929" s="89"/>
      <c r="C1929" s="90">
        <f t="shared" si="61"/>
        <v>0</v>
      </c>
      <c r="D1929" s="97"/>
      <c r="E1929" s="98"/>
      <c r="F1929" s="98"/>
      <c r="G1929" s="98"/>
      <c r="H1929" s="98"/>
      <c r="I1929" s="98"/>
      <c r="J1929" s="98"/>
      <c r="K1929" s="98"/>
      <c r="L1929" s="98"/>
      <c r="M1929" s="98"/>
      <c r="N1929" s="98"/>
      <c r="O1929" s="98"/>
      <c r="P1929" s="98"/>
      <c r="Q1929" s="98"/>
      <c r="R1929" s="99"/>
    </row>
    <row r="1930" spans="1:18" x14ac:dyDescent="0.35">
      <c r="A1930" s="88">
        <f t="shared" si="60"/>
        <v>0</v>
      </c>
      <c r="B1930" s="89"/>
      <c r="C1930" s="90">
        <f t="shared" si="61"/>
        <v>0</v>
      </c>
      <c r="D1930" s="97"/>
      <c r="E1930" s="98"/>
      <c r="F1930" s="98"/>
      <c r="G1930" s="98"/>
      <c r="H1930" s="98"/>
      <c r="I1930" s="98"/>
      <c r="J1930" s="98"/>
      <c r="K1930" s="98"/>
      <c r="L1930" s="98"/>
      <c r="M1930" s="98"/>
      <c r="N1930" s="98"/>
      <c r="O1930" s="98"/>
      <c r="P1930" s="98"/>
      <c r="Q1930" s="98"/>
      <c r="R1930" s="99"/>
    </row>
    <row r="1931" spans="1:18" x14ac:dyDescent="0.35">
      <c r="A1931" s="88">
        <f t="shared" si="60"/>
        <v>0</v>
      </c>
      <c r="B1931" s="89"/>
      <c r="C1931" s="90">
        <f t="shared" si="61"/>
        <v>0</v>
      </c>
      <c r="D1931" s="97"/>
      <c r="E1931" s="98"/>
      <c r="F1931" s="98"/>
      <c r="G1931" s="98"/>
      <c r="H1931" s="98"/>
      <c r="I1931" s="98"/>
      <c r="J1931" s="98"/>
      <c r="K1931" s="98"/>
      <c r="L1931" s="98"/>
      <c r="M1931" s="98"/>
      <c r="N1931" s="98"/>
      <c r="O1931" s="98"/>
      <c r="P1931" s="98"/>
      <c r="Q1931" s="98"/>
      <c r="R1931" s="99"/>
    </row>
    <row r="1932" spans="1:18" x14ac:dyDescent="0.35">
      <c r="A1932" s="88">
        <f t="shared" si="60"/>
        <v>0</v>
      </c>
      <c r="B1932" s="89"/>
      <c r="C1932" s="90">
        <f t="shared" si="61"/>
        <v>0</v>
      </c>
      <c r="D1932" s="97"/>
      <c r="E1932" s="98"/>
      <c r="F1932" s="98"/>
      <c r="G1932" s="98"/>
      <c r="H1932" s="98"/>
      <c r="I1932" s="98"/>
      <c r="J1932" s="98"/>
      <c r="K1932" s="98"/>
      <c r="L1932" s="98"/>
      <c r="M1932" s="98"/>
      <c r="N1932" s="98"/>
      <c r="O1932" s="98"/>
      <c r="P1932" s="98"/>
      <c r="Q1932" s="98"/>
      <c r="R1932" s="99"/>
    </row>
    <row r="1933" spans="1:18" x14ac:dyDescent="0.35">
      <c r="A1933" s="88">
        <f t="shared" si="60"/>
        <v>0</v>
      </c>
      <c r="B1933" s="89"/>
      <c r="C1933" s="90">
        <f t="shared" si="61"/>
        <v>0</v>
      </c>
      <c r="D1933" s="97"/>
      <c r="E1933" s="98"/>
      <c r="F1933" s="98"/>
      <c r="G1933" s="98"/>
      <c r="H1933" s="98"/>
      <c r="I1933" s="98"/>
      <c r="J1933" s="98"/>
      <c r="K1933" s="98"/>
      <c r="L1933" s="98"/>
      <c r="M1933" s="98"/>
      <c r="N1933" s="98"/>
      <c r="O1933" s="98"/>
      <c r="P1933" s="98"/>
      <c r="Q1933" s="98"/>
      <c r="R1933" s="99"/>
    </row>
    <row r="1934" spans="1:18" x14ac:dyDescent="0.35">
      <c r="A1934" s="88">
        <f t="shared" si="60"/>
        <v>0</v>
      </c>
      <c r="B1934" s="89"/>
      <c r="C1934" s="90">
        <f t="shared" si="61"/>
        <v>0</v>
      </c>
      <c r="D1934" s="97"/>
      <c r="E1934" s="98"/>
      <c r="F1934" s="98"/>
      <c r="G1934" s="98"/>
      <c r="H1934" s="98"/>
      <c r="I1934" s="98"/>
      <c r="J1934" s="98"/>
      <c r="K1934" s="98"/>
      <c r="L1934" s="98"/>
      <c r="M1934" s="98"/>
      <c r="N1934" s="98"/>
      <c r="O1934" s="98"/>
      <c r="P1934" s="98"/>
      <c r="Q1934" s="98"/>
      <c r="R1934" s="99"/>
    </row>
    <row r="1935" spans="1:18" x14ac:dyDescent="0.35">
      <c r="A1935" s="88">
        <f t="shared" si="60"/>
        <v>0</v>
      </c>
      <c r="B1935" s="89"/>
      <c r="C1935" s="90">
        <f t="shared" si="61"/>
        <v>0</v>
      </c>
      <c r="D1935" s="97"/>
      <c r="E1935" s="98"/>
      <c r="F1935" s="98"/>
      <c r="G1935" s="98"/>
      <c r="H1935" s="98"/>
      <c r="I1935" s="98"/>
      <c r="J1935" s="98"/>
      <c r="K1935" s="98"/>
      <c r="L1935" s="98"/>
      <c r="M1935" s="98"/>
      <c r="N1935" s="98"/>
      <c r="O1935" s="98"/>
      <c r="P1935" s="98"/>
      <c r="Q1935" s="98"/>
      <c r="R1935" s="99"/>
    </row>
    <row r="1936" spans="1:18" x14ac:dyDescent="0.35">
      <c r="A1936" s="88">
        <f t="shared" si="60"/>
        <v>0</v>
      </c>
      <c r="B1936" s="89"/>
      <c r="C1936" s="90">
        <f t="shared" si="61"/>
        <v>0</v>
      </c>
      <c r="D1936" s="97"/>
      <c r="E1936" s="98"/>
      <c r="F1936" s="98"/>
      <c r="G1936" s="98"/>
      <c r="H1936" s="98"/>
      <c r="I1936" s="98"/>
      <c r="J1936" s="98"/>
      <c r="K1936" s="98"/>
      <c r="L1936" s="98"/>
      <c r="M1936" s="98"/>
      <c r="N1936" s="98"/>
      <c r="O1936" s="98"/>
      <c r="P1936" s="98"/>
      <c r="Q1936" s="98"/>
      <c r="R1936" s="99"/>
    </row>
    <row r="1937" spans="1:18" x14ac:dyDescent="0.35">
      <c r="A1937" s="88">
        <f t="shared" si="60"/>
        <v>0</v>
      </c>
      <c r="B1937" s="89"/>
      <c r="C1937" s="90">
        <f t="shared" si="61"/>
        <v>0</v>
      </c>
      <c r="D1937" s="97"/>
      <c r="E1937" s="98"/>
      <c r="F1937" s="98"/>
      <c r="G1937" s="98"/>
      <c r="H1937" s="98"/>
      <c r="I1937" s="98"/>
      <c r="J1937" s="98"/>
      <c r="K1937" s="98"/>
      <c r="L1937" s="98"/>
      <c r="M1937" s="98"/>
      <c r="N1937" s="98"/>
      <c r="O1937" s="98"/>
      <c r="P1937" s="98"/>
      <c r="Q1937" s="98"/>
      <c r="R1937" s="99"/>
    </row>
    <row r="1938" spans="1:18" x14ac:dyDescent="0.35">
      <c r="A1938" s="88">
        <f t="shared" si="60"/>
        <v>0</v>
      </c>
      <c r="B1938" s="89"/>
      <c r="C1938" s="90">
        <f t="shared" si="61"/>
        <v>0</v>
      </c>
      <c r="D1938" s="97"/>
      <c r="E1938" s="98"/>
      <c r="F1938" s="98"/>
      <c r="G1938" s="98"/>
      <c r="H1938" s="98"/>
      <c r="I1938" s="98"/>
      <c r="J1938" s="98"/>
      <c r="K1938" s="98"/>
      <c r="L1938" s="98"/>
      <c r="M1938" s="98"/>
      <c r="N1938" s="98"/>
      <c r="O1938" s="98"/>
      <c r="P1938" s="98"/>
      <c r="Q1938" s="98"/>
      <c r="R1938" s="99"/>
    </row>
    <row r="1939" spans="1:18" x14ac:dyDescent="0.35">
      <c r="A1939" s="88">
        <f t="shared" si="60"/>
        <v>0</v>
      </c>
      <c r="B1939" s="89"/>
      <c r="C1939" s="90">
        <f t="shared" si="61"/>
        <v>0</v>
      </c>
      <c r="D1939" s="97"/>
      <c r="E1939" s="98"/>
      <c r="F1939" s="98"/>
      <c r="G1939" s="98"/>
      <c r="H1939" s="98"/>
      <c r="I1939" s="98"/>
      <c r="J1939" s="98"/>
      <c r="K1939" s="98"/>
      <c r="L1939" s="98"/>
      <c r="M1939" s="98"/>
      <c r="N1939" s="98"/>
      <c r="O1939" s="98"/>
      <c r="P1939" s="98"/>
      <c r="Q1939" s="98"/>
      <c r="R1939" s="99"/>
    </row>
    <row r="1940" spans="1:18" x14ac:dyDescent="0.35">
      <c r="A1940" s="88">
        <f t="shared" si="60"/>
        <v>0</v>
      </c>
      <c r="B1940" s="89"/>
      <c r="C1940" s="90">
        <f t="shared" si="61"/>
        <v>0</v>
      </c>
      <c r="D1940" s="97"/>
      <c r="E1940" s="98"/>
      <c r="F1940" s="98"/>
      <c r="G1940" s="98"/>
      <c r="H1940" s="98"/>
      <c r="I1940" s="98"/>
      <c r="J1940" s="98"/>
      <c r="K1940" s="98"/>
      <c r="L1940" s="98"/>
      <c r="M1940" s="98"/>
      <c r="N1940" s="98"/>
      <c r="O1940" s="98"/>
      <c r="P1940" s="98"/>
      <c r="Q1940" s="98"/>
      <c r="R1940" s="99"/>
    </row>
    <row r="1941" spans="1:18" x14ac:dyDescent="0.35">
      <c r="A1941" s="88">
        <f t="shared" si="60"/>
        <v>0</v>
      </c>
      <c r="B1941" s="89"/>
      <c r="C1941" s="90">
        <f t="shared" si="61"/>
        <v>0</v>
      </c>
      <c r="D1941" s="97"/>
      <c r="E1941" s="98"/>
      <c r="F1941" s="98"/>
      <c r="G1941" s="98"/>
      <c r="H1941" s="98"/>
      <c r="I1941" s="98"/>
      <c r="J1941" s="98"/>
      <c r="K1941" s="98"/>
      <c r="L1941" s="98"/>
      <c r="M1941" s="98"/>
      <c r="N1941" s="98"/>
      <c r="O1941" s="98"/>
      <c r="P1941" s="98"/>
      <c r="Q1941" s="98"/>
      <c r="R1941" s="99"/>
    </row>
    <row r="1942" spans="1:18" x14ac:dyDescent="0.35">
      <c r="A1942" s="88">
        <f t="shared" si="60"/>
        <v>0</v>
      </c>
      <c r="B1942" s="89"/>
      <c r="C1942" s="90">
        <f t="shared" si="61"/>
        <v>0</v>
      </c>
      <c r="D1942" s="97"/>
      <c r="E1942" s="98"/>
      <c r="F1942" s="98"/>
      <c r="G1942" s="98"/>
      <c r="H1942" s="98"/>
      <c r="I1942" s="98"/>
      <c r="J1942" s="98"/>
      <c r="K1942" s="98"/>
      <c r="L1942" s="98"/>
      <c r="M1942" s="98"/>
      <c r="N1942" s="98"/>
      <c r="O1942" s="98"/>
      <c r="P1942" s="98"/>
      <c r="Q1942" s="98"/>
      <c r="R1942" s="99"/>
    </row>
    <row r="1943" spans="1:18" x14ac:dyDescent="0.35">
      <c r="A1943" s="88">
        <f t="shared" si="60"/>
        <v>0</v>
      </c>
      <c r="B1943" s="89"/>
      <c r="C1943" s="90">
        <f t="shared" si="61"/>
        <v>0</v>
      </c>
      <c r="D1943" s="97"/>
      <c r="E1943" s="98"/>
      <c r="F1943" s="98"/>
      <c r="G1943" s="98"/>
      <c r="H1943" s="98"/>
      <c r="I1943" s="98"/>
      <c r="J1943" s="98"/>
      <c r="K1943" s="98"/>
      <c r="L1943" s="98"/>
      <c r="M1943" s="98"/>
      <c r="N1943" s="98"/>
      <c r="O1943" s="98"/>
      <c r="P1943" s="98"/>
      <c r="Q1943" s="98"/>
      <c r="R1943" s="99"/>
    </row>
    <row r="1944" spans="1:18" x14ac:dyDescent="0.35">
      <c r="A1944" s="88">
        <f t="shared" si="60"/>
        <v>0</v>
      </c>
      <c r="B1944" s="89"/>
      <c r="C1944" s="90">
        <f t="shared" si="61"/>
        <v>0</v>
      </c>
      <c r="D1944" s="97"/>
      <c r="E1944" s="98"/>
      <c r="F1944" s="98"/>
      <c r="G1944" s="98"/>
      <c r="H1944" s="98"/>
      <c r="I1944" s="98"/>
      <c r="J1944" s="98"/>
      <c r="K1944" s="98"/>
      <c r="L1944" s="98"/>
      <c r="M1944" s="98"/>
      <c r="N1944" s="98"/>
      <c r="O1944" s="98"/>
      <c r="P1944" s="98"/>
      <c r="Q1944" s="98"/>
      <c r="R1944" s="99"/>
    </row>
    <row r="1945" spans="1:18" x14ac:dyDescent="0.35">
      <c r="A1945" s="88">
        <f t="shared" si="60"/>
        <v>0</v>
      </c>
      <c r="B1945" s="89"/>
      <c r="C1945" s="90">
        <f t="shared" si="61"/>
        <v>0</v>
      </c>
      <c r="D1945" s="97"/>
      <c r="E1945" s="98"/>
      <c r="F1945" s="98"/>
      <c r="G1945" s="98"/>
      <c r="H1945" s="98"/>
      <c r="I1945" s="98"/>
      <c r="J1945" s="98"/>
      <c r="K1945" s="98"/>
      <c r="L1945" s="98"/>
      <c r="M1945" s="98"/>
      <c r="N1945" s="98"/>
      <c r="O1945" s="98"/>
      <c r="P1945" s="98"/>
      <c r="Q1945" s="98"/>
      <c r="R1945" s="99"/>
    </row>
    <row r="1946" spans="1:18" x14ac:dyDescent="0.35">
      <c r="A1946" s="88">
        <f t="shared" si="60"/>
        <v>0</v>
      </c>
      <c r="B1946" s="89"/>
      <c r="C1946" s="90">
        <f t="shared" si="61"/>
        <v>0</v>
      </c>
      <c r="D1946" s="97"/>
      <c r="E1946" s="98"/>
      <c r="F1946" s="98"/>
      <c r="G1946" s="98"/>
      <c r="H1946" s="98"/>
      <c r="I1946" s="98"/>
      <c r="J1946" s="98"/>
      <c r="K1946" s="98"/>
      <c r="L1946" s="98"/>
      <c r="M1946" s="98"/>
      <c r="N1946" s="98"/>
      <c r="O1946" s="98"/>
      <c r="P1946" s="98"/>
      <c r="Q1946" s="98"/>
      <c r="R1946" s="99"/>
    </row>
    <row r="1947" spans="1:18" x14ac:dyDescent="0.35">
      <c r="A1947" s="88">
        <f t="shared" si="60"/>
        <v>0</v>
      </c>
      <c r="B1947" s="89"/>
      <c r="C1947" s="90">
        <f t="shared" si="61"/>
        <v>0</v>
      </c>
      <c r="D1947" s="97"/>
      <c r="E1947" s="98"/>
      <c r="F1947" s="98"/>
      <c r="G1947" s="98"/>
      <c r="H1947" s="98"/>
      <c r="I1947" s="98"/>
      <c r="J1947" s="98"/>
      <c r="K1947" s="98"/>
      <c r="L1947" s="98"/>
      <c r="M1947" s="98"/>
      <c r="N1947" s="98"/>
      <c r="O1947" s="98"/>
      <c r="P1947" s="98"/>
      <c r="Q1947" s="98"/>
      <c r="R1947" s="99"/>
    </row>
    <row r="1948" spans="1:18" x14ac:dyDescent="0.35">
      <c r="A1948" s="88">
        <f t="shared" si="60"/>
        <v>0</v>
      </c>
      <c r="B1948" s="89"/>
      <c r="C1948" s="90">
        <f t="shared" si="61"/>
        <v>0</v>
      </c>
      <c r="D1948" s="97"/>
      <c r="E1948" s="98"/>
      <c r="F1948" s="98"/>
      <c r="G1948" s="98"/>
      <c r="H1948" s="98"/>
      <c r="I1948" s="98"/>
      <c r="J1948" s="98"/>
      <c r="K1948" s="98"/>
      <c r="L1948" s="98"/>
      <c r="M1948" s="98"/>
      <c r="N1948" s="98"/>
      <c r="O1948" s="98"/>
      <c r="P1948" s="98"/>
      <c r="Q1948" s="98"/>
      <c r="R1948" s="99"/>
    </row>
    <row r="1949" spans="1:18" x14ac:dyDescent="0.35">
      <c r="A1949" s="88">
        <f t="shared" si="60"/>
        <v>0</v>
      </c>
      <c r="B1949" s="89"/>
      <c r="C1949" s="90">
        <f t="shared" si="61"/>
        <v>0</v>
      </c>
      <c r="D1949" s="97"/>
      <c r="E1949" s="98"/>
      <c r="F1949" s="98"/>
      <c r="G1949" s="98"/>
      <c r="H1949" s="98"/>
      <c r="I1949" s="98"/>
      <c r="J1949" s="98"/>
      <c r="K1949" s="98"/>
      <c r="L1949" s="98"/>
      <c r="M1949" s="98"/>
      <c r="N1949" s="98"/>
      <c r="O1949" s="98"/>
      <c r="P1949" s="98"/>
      <c r="Q1949" s="98"/>
      <c r="R1949" s="99"/>
    </row>
    <row r="1950" spans="1:18" x14ac:dyDescent="0.35">
      <c r="A1950" s="88">
        <f t="shared" si="60"/>
        <v>0</v>
      </c>
      <c r="B1950" s="89"/>
      <c r="C1950" s="90">
        <f t="shared" si="61"/>
        <v>0</v>
      </c>
      <c r="D1950" s="97"/>
      <c r="E1950" s="98"/>
      <c r="F1950" s="98"/>
      <c r="G1950" s="98"/>
      <c r="H1950" s="98"/>
      <c r="I1950" s="98"/>
      <c r="J1950" s="98"/>
      <c r="K1950" s="98"/>
      <c r="L1950" s="98"/>
      <c r="M1950" s="98"/>
      <c r="N1950" s="98"/>
      <c r="O1950" s="98"/>
      <c r="P1950" s="98"/>
      <c r="Q1950" s="98"/>
      <c r="R1950" s="99"/>
    </row>
    <row r="1951" spans="1:18" x14ac:dyDescent="0.35">
      <c r="A1951" s="88">
        <f t="shared" si="60"/>
        <v>0</v>
      </c>
      <c r="B1951" s="89"/>
      <c r="C1951" s="90">
        <f t="shared" si="61"/>
        <v>0</v>
      </c>
      <c r="D1951" s="97"/>
      <c r="E1951" s="98"/>
      <c r="F1951" s="98"/>
      <c r="G1951" s="98"/>
      <c r="H1951" s="98"/>
      <c r="I1951" s="98"/>
      <c r="J1951" s="98"/>
      <c r="K1951" s="98"/>
      <c r="L1951" s="98"/>
      <c r="M1951" s="98"/>
      <c r="N1951" s="98"/>
      <c r="O1951" s="98"/>
      <c r="P1951" s="98"/>
      <c r="Q1951" s="98"/>
      <c r="R1951" s="99"/>
    </row>
    <row r="1952" spans="1:18" x14ac:dyDescent="0.35">
      <c r="A1952" s="88">
        <f t="shared" si="60"/>
        <v>0</v>
      </c>
      <c r="B1952" s="89"/>
      <c r="C1952" s="90">
        <f t="shared" si="61"/>
        <v>0</v>
      </c>
      <c r="D1952" s="97"/>
      <c r="E1952" s="98"/>
      <c r="F1952" s="98"/>
      <c r="G1952" s="98"/>
      <c r="H1952" s="98"/>
      <c r="I1952" s="98"/>
      <c r="J1952" s="98"/>
      <c r="K1952" s="98"/>
      <c r="L1952" s="98"/>
      <c r="M1952" s="98"/>
      <c r="N1952" s="98"/>
      <c r="O1952" s="98"/>
      <c r="P1952" s="98"/>
      <c r="Q1952" s="98"/>
      <c r="R1952" s="99"/>
    </row>
    <row r="1953" spans="1:18" x14ac:dyDescent="0.35">
      <c r="A1953" s="88">
        <f t="shared" si="60"/>
        <v>0</v>
      </c>
      <c r="B1953" s="89"/>
      <c r="C1953" s="90">
        <f t="shared" si="61"/>
        <v>0</v>
      </c>
      <c r="D1953" s="97"/>
      <c r="E1953" s="98"/>
      <c r="F1953" s="98"/>
      <c r="G1953" s="98"/>
      <c r="H1953" s="98"/>
      <c r="I1953" s="98"/>
      <c r="J1953" s="98"/>
      <c r="K1953" s="98"/>
      <c r="L1953" s="98"/>
      <c r="M1953" s="98"/>
      <c r="N1953" s="98"/>
      <c r="O1953" s="98"/>
      <c r="P1953" s="98"/>
      <c r="Q1953" s="98"/>
      <c r="R1953" s="99"/>
    </row>
    <row r="1954" spans="1:18" x14ac:dyDescent="0.35">
      <c r="A1954" s="88">
        <f t="shared" si="60"/>
        <v>0</v>
      </c>
      <c r="B1954" s="89"/>
      <c r="C1954" s="90">
        <f t="shared" si="61"/>
        <v>0</v>
      </c>
      <c r="D1954" s="97"/>
      <c r="E1954" s="98"/>
      <c r="F1954" s="98"/>
      <c r="G1954" s="98"/>
      <c r="H1954" s="98"/>
      <c r="I1954" s="98"/>
      <c r="J1954" s="98"/>
      <c r="K1954" s="98"/>
      <c r="L1954" s="98"/>
      <c r="M1954" s="98"/>
      <c r="N1954" s="98"/>
      <c r="O1954" s="98"/>
      <c r="P1954" s="98"/>
      <c r="Q1954" s="98"/>
      <c r="R1954" s="99"/>
    </row>
    <row r="1955" spans="1:18" x14ac:dyDescent="0.35">
      <c r="A1955" s="88">
        <f t="shared" si="60"/>
        <v>0</v>
      </c>
      <c r="B1955" s="89"/>
      <c r="C1955" s="90">
        <f t="shared" si="61"/>
        <v>0</v>
      </c>
      <c r="D1955" s="97"/>
      <c r="E1955" s="98"/>
      <c r="F1955" s="98"/>
      <c r="G1955" s="98"/>
      <c r="H1955" s="98"/>
      <c r="I1955" s="98"/>
      <c r="J1955" s="98"/>
      <c r="K1955" s="98"/>
      <c r="L1955" s="98"/>
      <c r="M1955" s="98"/>
      <c r="N1955" s="98"/>
      <c r="O1955" s="98"/>
      <c r="P1955" s="98"/>
      <c r="Q1955" s="98"/>
      <c r="R1955" s="99"/>
    </row>
    <row r="1956" spans="1:18" x14ac:dyDescent="0.35">
      <c r="A1956" s="88">
        <f t="shared" si="60"/>
        <v>0</v>
      </c>
      <c r="B1956" s="89"/>
      <c r="C1956" s="90">
        <f t="shared" si="61"/>
        <v>0</v>
      </c>
      <c r="D1956" s="97"/>
      <c r="E1956" s="98"/>
      <c r="F1956" s="98"/>
      <c r="G1956" s="98"/>
      <c r="H1956" s="98"/>
      <c r="I1956" s="98"/>
      <c r="J1956" s="98"/>
      <c r="K1956" s="98"/>
      <c r="L1956" s="98"/>
      <c r="M1956" s="98"/>
      <c r="N1956" s="98"/>
      <c r="O1956" s="98"/>
      <c r="P1956" s="98"/>
      <c r="Q1956" s="98"/>
      <c r="R1956" s="99"/>
    </row>
    <row r="1957" spans="1:18" x14ac:dyDescent="0.35">
      <c r="A1957" s="88">
        <f t="shared" si="60"/>
        <v>0</v>
      </c>
      <c r="B1957" s="89"/>
      <c r="C1957" s="90">
        <f t="shared" si="61"/>
        <v>0</v>
      </c>
      <c r="D1957" s="97"/>
      <c r="E1957" s="98"/>
      <c r="F1957" s="98"/>
      <c r="G1957" s="98"/>
      <c r="H1957" s="98"/>
      <c r="I1957" s="98"/>
      <c r="J1957" s="98"/>
      <c r="K1957" s="98"/>
      <c r="L1957" s="98"/>
      <c r="M1957" s="98"/>
      <c r="N1957" s="98"/>
      <c r="O1957" s="98"/>
      <c r="P1957" s="98"/>
      <c r="Q1957" s="98"/>
      <c r="R1957" s="99"/>
    </row>
    <row r="1958" spans="1:18" x14ac:dyDescent="0.35">
      <c r="A1958" s="88">
        <f t="shared" si="60"/>
        <v>0</v>
      </c>
      <c r="B1958" s="89"/>
      <c r="C1958" s="90">
        <f t="shared" si="61"/>
        <v>0</v>
      </c>
      <c r="D1958" s="97"/>
      <c r="E1958" s="98"/>
      <c r="F1958" s="98"/>
      <c r="G1958" s="98"/>
      <c r="H1958" s="98"/>
      <c r="I1958" s="98"/>
      <c r="J1958" s="98"/>
      <c r="K1958" s="98"/>
      <c r="L1958" s="98"/>
      <c r="M1958" s="98"/>
      <c r="N1958" s="98"/>
      <c r="O1958" s="98"/>
      <c r="P1958" s="98"/>
      <c r="Q1958" s="98"/>
      <c r="R1958" s="99"/>
    </row>
    <row r="1959" spans="1:18" x14ac:dyDescent="0.35">
      <c r="A1959" s="88">
        <f t="shared" si="60"/>
        <v>0</v>
      </c>
      <c r="B1959" s="89"/>
      <c r="C1959" s="90">
        <f t="shared" si="61"/>
        <v>0</v>
      </c>
      <c r="D1959" s="97"/>
      <c r="E1959" s="98"/>
      <c r="F1959" s="98"/>
      <c r="G1959" s="98"/>
      <c r="H1959" s="98"/>
      <c r="I1959" s="98"/>
      <c r="J1959" s="98"/>
      <c r="K1959" s="98"/>
      <c r="L1959" s="98"/>
      <c r="M1959" s="98"/>
      <c r="N1959" s="98"/>
      <c r="O1959" s="98"/>
      <c r="P1959" s="98"/>
      <c r="Q1959" s="98"/>
      <c r="R1959" s="99"/>
    </row>
    <row r="1960" spans="1:18" x14ac:dyDescent="0.35">
      <c r="A1960" s="88">
        <f t="shared" si="60"/>
        <v>0</v>
      </c>
      <c r="B1960" s="89"/>
      <c r="C1960" s="90">
        <f t="shared" si="61"/>
        <v>0</v>
      </c>
      <c r="D1960" s="97"/>
      <c r="E1960" s="98"/>
      <c r="F1960" s="98"/>
      <c r="G1960" s="98"/>
      <c r="H1960" s="98"/>
      <c r="I1960" s="98"/>
      <c r="J1960" s="98"/>
      <c r="K1960" s="98"/>
      <c r="L1960" s="98"/>
      <c r="M1960" s="98"/>
      <c r="N1960" s="98"/>
      <c r="O1960" s="98"/>
      <c r="P1960" s="98"/>
      <c r="Q1960" s="98"/>
      <c r="R1960" s="99"/>
    </row>
    <row r="1961" spans="1:18" x14ac:dyDescent="0.35">
      <c r="A1961" s="88">
        <f t="shared" si="60"/>
        <v>0</v>
      </c>
      <c r="B1961" s="89"/>
      <c r="C1961" s="90">
        <f t="shared" si="61"/>
        <v>0</v>
      </c>
      <c r="D1961" s="97"/>
      <c r="E1961" s="98"/>
      <c r="F1961" s="98"/>
      <c r="G1961" s="98"/>
      <c r="H1961" s="98"/>
      <c r="I1961" s="98"/>
      <c r="J1961" s="98"/>
      <c r="K1961" s="98"/>
      <c r="L1961" s="98"/>
      <c r="M1961" s="98"/>
      <c r="N1961" s="98"/>
      <c r="O1961" s="98"/>
      <c r="P1961" s="98"/>
      <c r="Q1961" s="98"/>
      <c r="R1961" s="99"/>
    </row>
    <row r="1962" spans="1:18" x14ac:dyDescent="0.35">
      <c r="A1962" s="88">
        <f t="shared" si="60"/>
        <v>0</v>
      </c>
      <c r="B1962" s="89"/>
      <c r="C1962" s="90">
        <f t="shared" si="61"/>
        <v>0</v>
      </c>
      <c r="D1962" s="97"/>
      <c r="E1962" s="98"/>
      <c r="F1962" s="98"/>
      <c r="G1962" s="98"/>
      <c r="H1962" s="98"/>
      <c r="I1962" s="98"/>
      <c r="J1962" s="98"/>
      <c r="K1962" s="98"/>
      <c r="L1962" s="98"/>
      <c r="M1962" s="98"/>
      <c r="N1962" s="98"/>
      <c r="O1962" s="98"/>
      <c r="P1962" s="98"/>
      <c r="Q1962" s="98"/>
      <c r="R1962" s="99"/>
    </row>
    <row r="1963" spans="1:18" x14ac:dyDescent="0.35">
      <c r="A1963" s="88">
        <f t="shared" si="60"/>
        <v>0</v>
      </c>
      <c r="B1963" s="89"/>
      <c r="C1963" s="90">
        <f t="shared" si="61"/>
        <v>0</v>
      </c>
      <c r="D1963" s="97"/>
      <c r="E1963" s="98"/>
      <c r="F1963" s="98"/>
      <c r="G1963" s="98"/>
      <c r="H1963" s="98"/>
      <c r="I1963" s="98"/>
      <c r="J1963" s="98"/>
      <c r="K1963" s="98"/>
      <c r="L1963" s="98"/>
      <c r="M1963" s="98"/>
      <c r="N1963" s="98"/>
      <c r="O1963" s="98"/>
      <c r="P1963" s="98"/>
      <c r="Q1963" s="98"/>
      <c r="R1963" s="99"/>
    </row>
    <row r="1964" spans="1:18" x14ac:dyDescent="0.35">
      <c r="A1964" s="88">
        <f t="shared" si="60"/>
        <v>0</v>
      </c>
      <c r="B1964" s="89"/>
      <c r="C1964" s="90">
        <f t="shared" si="61"/>
        <v>0</v>
      </c>
      <c r="D1964" s="97"/>
      <c r="E1964" s="98"/>
      <c r="F1964" s="98"/>
      <c r="G1964" s="98"/>
      <c r="H1964" s="98"/>
      <c r="I1964" s="98"/>
      <c r="J1964" s="98"/>
      <c r="K1964" s="98"/>
      <c r="L1964" s="98"/>
      <c r="M1964" s="98"/>
      <c r="N1964" s="98"/>
      <c r="O1964" s="98"/>
      <c r="P1964" s="98"/>
      <c r="Q1964" s="98"/>
      <c r="R1964" s="99"/>
    </row>
    <row r="1965" spans="1:18" x14ac:dyDescent="0.35">
      <c r="A1965" s="88">
        <f t="shared" si="60"/>
        <v>0</v>
      </c>
      <c r="B1965" s="89"/>
      <c r="C1965" s="90">
        <f t="shared" si="61"/>
        <v>0</v>
      </c>
      <c r="D1965" s="97"/>
      <c r="E1965" s="98"/>
      <c r="F1965" s="98"/>
      <c r="G1965" s="98"/>
      <c r="H1965" s="98"/>
      <c r="I1965" s="98"/>
      <c r="J1965" s="98"/>
      <c r="K1965" s="98"/>
      <c r="L1965" s="98"/>
      <c r="M1965" s="98"/>
      <c r="N1965" s="98"/>
      <c r="O1965" s="98"/>
      <c r="P1965" s="98"/>
      <c r="Q1965" s="98"/>
      <c r="R1965" s="99"/>
    </row>
    <row r="1966" spans="1:18" x14ac:dyDescent="0.35">
      <c r="A1966" s="88">
        <f t="shared" si="60"/>
        <v>0</v>
      </c>
      <c r="B1966" s="89"/>
      <c r="C1966" s="90">
        <f t="shared" si="61"/>
        <v>0</v>
      </c>
      <c r="D1966" s="97"/>
      <c r="E1966" s="98"/>
      <c r="F1966" s="98"/>
      <c r="G1966" s="98"/>
      <c r="H1966" s="98"/>
      <c r="I1966" s="98"/>
      <c r="J1966" s="98"/>
      <c r="K1966" s="98"/>
      <c r="L1966" s="98"/>
      <c r="M1966" s="98"/>
      <c r="N1966" s="98"/>
      <c r="O1966" s="98"/>
      <c r="P1966" s="98"/>
      <c r="Q1966" s="98"/>
      <c r="R1966" s="99"/>
    </row>
    <row r="1967" spans="1:18" x14ac:dyDescent="0.35">
      <c r="A1967" s="88">
        <f t="shared" si="60"/>
        <v>0</v>
      </c>
      <c r="B1967" s="89"/>
      <c r="C1967" s="90">
        <f t="shared" si="61"/>
        <v>0</v>
      </c>
      <c r="D1967" s="97"/>
      <c r="E1967" s="98"/>
      <c r="F1967" s="98"/>
      <c r="G1967" s="98"/>
      <c r="H1967" s="98"/>
      <c r="I1967" s="98"/>
      <c r="J1967" s="98"/>
      <c r="K1967" s="98"/>
      <c r="L1967" s="98"/>
      <c r="M1967" s="98"/>
      <c r="N1967" s="98"/>
      <c r="O1967" s="98"/>
      <c r="P1967" s="98"/>
      <c r="Q1967" s="98"/>
      <c r="R1967" s="99"/>
    </row>
    <row r="1968" spans="1:18" x14ac:dyDescent="0.35">
      <c r="A1968" s="88">
        <f t="shared" si="60"/>
        <v>0</v>
      </c>
      <c r="B1968" s="89"/>
      <c r="C1968" s="90">
        <f t="shared" si="61"/>
        <v>0</v>
      </c>
      <c r="D1968" s="97"/>
      <c r="E1968" s="98"/>
      <c r="F1968" s="98"/>
      <c r="G1968" s="98"/>
      <c r="H1968" s="98"/>
      <c r="I1968" s="98"/>
      <c r="J1968" s="98"/>
      <c r="K1968" s="98"/>
      <c r="L1968" s="98"/>
      <c r="M1968" s="98"/>
      <c r="N1968" s="98"/>
      <c r="O1968" s="98"/>
      <c r="P1968" s="98"/>
      <c r="Q1968" s="98"/>
      <c r="R1968" s="99"/>
    </row>
    <row r="1969" spans="1:18" x14ac:dyDescent="0.35">
      <c r="A1969" s="88">
        <f t="shared" si="60"/>
        <v>0</v>
      </c>
      <c r="B1969" s="89"/>
      <c r="C1969" s="90">
        <f t="shared" si="61"/>
        <v>0</v>
      </c>
      <c r="D1969" s="97"/>
      <c r="E1969" s="98"/>
      <c r="F1969" s="98"/>
      <c r="G1969" s="98"/>
      <c r="H1969" s="98"/>
      <c r="I1969" s="98"/>
      <c r="J1969" s="98"/>
      <c r="K1969" s="98"/>
      <c r="L1969" s="98"/>
      <c r="M1969" s="98"/>
      <c r="N1969" s="98"/>
      <c r="O1969" s="98"/>
      <c r="P1969" s="98"/>
      <c r="Q1969" s="98"/>
      <c r="R1969" s="99"/>
    </row>
    <row r="1970" spans="1:18" x14ac:dyDescent="0.35">
      <c r="A1970" s="88">
        <f t="shared" si="60"/>
        <v>0</v>
      </c>
      <c r="B1970" s="89"/>
      <c r="C1970" s="90">
        <f t="shared" si="61"/>
        <v>0</v>
      </c>
      <c r="D1970" s="97"/>
      <c r="E1970" s="98"/>
      <c r="F1970" s="98"/>
      <c r="G1970" s="98"/>
      <c r="H1970" s="98"/>
      <c r="I1970" s="98"/>
      <c r="J1970" s="98"/>
      <c r="K1970" s="98"/>
      <c r="L1970" s="98"/>
      <c r="M1970" s="98"/>
      <c r="N1970" s="98"/>
      <c r="O1970" s="98"/>
      <c r="P1970" s="98"/>
      <c r="Q1970" s="98"/>
      <c r="R1970" s="99"/>
    </row>
    <row r="1971" spans="1:18" x14ac:dyDescent="0.35">
      <c r="A1971" s="88">
        <f t="shared" si="60"/>
        <v>0</v>
      </c>
      <c r="B1971" s="89"/>
      <c r="C1971" s="90">
        <f t="shared" si="61"/>
        <v>0</v>
      </c>
      <c r="D1971" s="97"/>
      <c r="E1971" s="98"/>
      <c r="F1971" s="98"/>
      <c r="G1971" s="98"/>
      <c r="H1971" s="98"/>
      <c r="I1971" s="98"/>
      <c r="J1971" s="98"/>
      <c r="K1971" s="98"/>
      <c r="L1971" s="98"/>
      <c r="M1971" s="98"/>
      <c r="N1971" s="98"/>
      <c r="O1971" s="98"/>
      <c r="P1971" s="98"/>
      <c r="Q1971" s="98"/>
      <c r="R1971" s="99"/>
    </row>
    <row r="1972" spans="1:18" x14ac:dyDescent="0.35">
      <c r="A1972" s="88">
        <f t="shared" si="60"/>
        <v>0</v>
      </c>
      <c r="B1972" s="89"/>
      <c r="C1972" s="90">
        <f t="shared" si="61"/>
        <v>0</v>
      </c>
      <c r="D1972" s="97"/>
      <c r="E1972" s="98"/>
      <c r="F1972" s="98"/>
      <c r="G1972" s="98"/>
      <c r="H1972" s="98"/>
      <c r="I1972" s="98"/>
      <c r="J1972" s="98"/>
      <c r="K1972" s="98"/>
      <c r="L1972" s="98"/>
      <c r="M1972" s="98"/>
      <c r="N1972" s="98"/>
      <c r="O1972" s="98"/>
      <c r="P1972" s="98"/>
      <c r="Q1972" s="98"/>
      <c r="R1972" s="99"/>
    </row>
    <row r="1973" spans="1:18" x14ac:dyDescent="0.35">
      <c r="A1973" s="88">
        <f t="shared" si="60"/>
        <v>0</v>
      </c>
      <c r="B1973" s="89"/>
      <c r="C1973" s="90">
        <f t="shared" si="61"/>
        <v>0</v>
      </c>
      <c r="D1973" s="97"/>
      <c r="E1973" s="98"/>
      <c r="F1973" s="98"/>
      <c r="G1973" s="98"/>
      <c r="H1973" s="98"/>
      <c r="I1973" s="98"/>
      <c r="J1973" s="98"/>
      <c r="K1973" s="98"/>
      <c r="L1973" s="98"/>
      <c r="M1973" s="98"/>
      <c r="N1973" s="98"/>
      <c r="O1973" s="98"/>
      <c r="P1973" s="98"/>
      <c r="Q1973" s="98"/>
      <c r="R1973" s="99"/>
    </row>
    <row r="1974" spans="1:18" x14ac:dyDescent="0.35">
      <c r="A1974" s="88">
        <f t="shared" si="60"/>
        <v>0</v>
      </c>
      <c r="B1974" s="89"/>
      <c r="C1974" s="90">
        <f t="shared" si="61"/>
        <v>0</v>
      </c>
      <c r="D1974" s="97"/>
      <c r="E1974" s="98"/>
      <c r="F1974" s="98"/>
      <c r="G1974" s="98"/>
      <c r="H1974" s="98"/>
      <c r="I1974" s="98"/>
      <c r="J1974" s="98"/>
      <c r="K1974" s="98"/>
      <c r="L1974" s="98"/>
      <c r="M1974" s="98"/>
      <c r="N1974" s="98"/>
      <c r="O1974" s="98"/>
      <c r="P1974" s="98"/>
      <c r="Q1974" s="98"/>
      <c r="R1974" s="99"/>
    </row>
    <row r="1975" spans="1:18" x14ac:dyDescent="0.35">
      <c r="A1975" s="88">
        <f t="shared" si="60"/>
        <v>0</v>
      </c>
      <c r="B1975" s="89"/>
      <c r="C1975" s="90">
        <f t="shared" si="61"/>
        <v>0</v>
      </c>
      <c r="D1975" s="97"/>
      <c r="E1975" s="98"/>
      <c r="F1975" s="98"/>
      <c r="G1975" s="98"/>
      <c r="H1975" s="98"/>
      <c r="I1975" s="98"/>
      <c r="J1975" s="98"/>
      <c r="K1975" s="98"/>
      <c r="L1975" s="98"/>
      <c r="M1975" s="98"/>
      <c r="N1975" s="98"/>
      <c r="O1975" s="98"/>
      <c r="P1975" s="98"/>
      <c r="Q1975" s="98"/>
      <c r="R1975" s="99"/>
    </row>
    <row r="1976" spans="1:18" x14ac:dyDescent="0.35">
      <c r="A1976" s="88">
        <f t="shared" si="60"/>
        <v>0</v>
      </c>
      <c r="B1976" s="89"/>
      <c r="C1976" s="90">
        <f t="shared" si="61"/>
        <v>0</v>
      </c>
      <c r="D1976" s="97"/>
      <c r="E1976" s="98"/>
      <c r="F1976" s="98"/>
      <c r="G1976" s="98"/>
      <c r="H1976" s="98"/>
      <c r="I1976" s="98"/>
      <c r="J1976" s="98"/>
      <c r="K1976" s="98"/>
      <c r="L1976" s="98"/>
      <c r="M1976" s="98"/>
      <c r="N1976" s="98"/>
      <c r="O1976" s="98"/>
      <c r="P1976" s="98"/>
      <c r="Q1976" s="98"/>
      <c r="R1976" s="99"/>
    </row>
    <row r="1977" spans="1:18" x14ac:dyDescent="0.35">
      <c r="A1977" s="88">
        <f t="shared" si="60"/>
        <v>0</v>
      </c>
      <c r="B1977" s="89"/>
      <c r="C1977" s="90">
        <f t="shared" si="61"/>
        <v>0</v>
      </c>
      <c r="D1977" s="97"/>
      <c r="E1977" s="98"/>
      <c r="F1977" s="98"/>
      <c r="G1977" s="98"/>
      <c r="H1977" s="98"/>
      <c r="I1977" s="98"/>
      <c r="J1977" s="98"/>
      <c r="K1977" s="98"/>
      <c r="L1977" s="98"/>
      <c r="M1977" s="98"/>
      <c r="N1977" s="98"/>
      <c r="O1977" s="98"/>
      <c r="P1977" s="98"/>
      <c r="Q1977" s="98"/>
      <c r="R1977" s="99"/>
    </row>
    <row r="1978" spans="1:18" x14ac:dyDescent="0.35">
      <c r="A1978" s="88">
        <f t="shared" si="60"/>
        <v>0</v>
      </c>
      <c r="B1978" s="89"/>
      <c r="C1978" s="90">
        <f t="shared" si="61"/>
        <v>0</v>
      </c>
      <c r="D1978" s="97"/>
      <c r="E1978" s="98"/>
      <c r="F1978" s="98"/>
      <c r="G1978" s="98"/>
      <c r="H1978" s="98"/>
      <c r="I1978" s="98"/>
      <c r="J1978" s="98"/>
      <c r="K1978" s="98"/>
      <c r="L1978" s="98"/>
      <c r="M1978" s="98"/>
      <c r="N1978" s="98"/>
      <c r="O1978" s="98"/>
      <c r="P1978" s="98"/>
      <c r="Q1978" s="98"/>
      <c r="R1978" s="99"/>
    </row>
    <row r="1979" spans="1:18" x14ac:dyDescent="0.35">
      <c r="A1979" s="88">
        <f t="shared" si="60"/>
        <v>0</v>
      </c>
      <c r="B1979" s="89"/>
      <c r="C1979" s="90">
        <f t="shared" si="61"/>
        <v>0</v>
      </c>
      <c r="D1979" s="97"/>
      <c r="E1979" s="98"/>
      <c r="F1979" s="98"/>
      <c r="G1979" s="98"/>
      <c r="H1979" s="98"/>
      <c r="I1979" s="98"/>
      <c r="J1979" s="98"/>
      <c r="K1979" s="98"/>
      <c r="L1979" s="98"/>
      <c r="M1979" s="98"/>
      <c r="N1979" s="98"/>
      <c r="O1979" s="98"/>
      <c r="P1979" s="98"/>
      <c r="Q1979" s="98"/>
      <c r="R1979" s="99"/>
    </row>
    <row r="1980" spans="1:18" x14ac:dyDescent="0.35">
      <c r="A1980" s="88">
        <f t="shared" si="60"/>
        <v>0</v>
      </c>
      <c r="B1980" s="89"/>
      <c r="C1980" s="90">
        <f t="shared" si="61"/>
        <v>0</v>
      </c>
      <c r="D1980" s="97"/>
      <c r="E1980" s="98"/>
      <c r="F1980" s="98"/>
      <c r="G1980" s="98"/>
      <c r="H1980" s="98"/>
      <c r="I1980" s="98"/>
      <c r="J1980" s="98"/>
      <c r="K1980" s="98"/>
      <c r="L1980" s="98"/>
      <c r="M1980" s="98"/>
      <c r="N1980" s="98"/>
      <c r="O1980" s="98"/>
      <c r="P1980" s="98"/>
      <c r="Q1980" s="98"/>
      <c r="R1980" s="99"/>
    </row>
    <row r="1981" spans="1:18" x14ac:dyDescent="0.35">
      <c r="A1981" s="88">
        <f t="shared" si="60"/>
        <v>0</v>
      </c>
      <c r="B1981" s="89"/>
      <c r="C1981" s="90">
        <f t="shared" si="61"/>
        <v>0</v>
      </c>
      <c r="D1981" s="97"/>
      <c r="E1981" s="98"/>
      <c r="F1981" s="98"/>
      <c r="G1981" s="98"/>
      <c r="H1981" s="98"/>
      <c r="I1981" s="98"/>
      <c r="J1981" s="98"/>
      <c r="K1981" s="98"/>
      <c r="L1981" s="98"/>
      <c r="M1981" s="98"/>
      <c r="N1981" s="98"/>
      <c r="O1981" s="98"/>
      <c r="P1981" s="98"/>
      <c r="Q1981" s="98"/>
      <c r="R1981" s="99"/>
    </row>
    <row r="1982" spans="1:18" x14ac:dyDescent="0.35">
      <c r="A1982" s="88">
        <f t="shared" si="60"/>
        <v>0</v>
      </c>
      <c r="B1982" s="89"/>
      <c r="C1982" s="90">
        <f t="shared" si="61"/>
        <v>0</v>
      </c>
      <c r="D1982" s="97"/>
      <c r="E1982" s="98"/>
      <c r="F1982" s="98"/>
      <c r="G1982" s="98"/>
      <c r="H1982" s="98"/>
      <c r="I1982" s="98"/>
      <c r="J1982" s="98"/>
      <c r="K1982" s="98"/>
      <c r="L1982" s="98"/>
      <c r="M1982" s="98"/>
      <c r="N1982" s="98"/>
      <c r="O1982" s="98"/>
      <c r="P1982" s="98"/>
      <c r="Q1982" s="98"/>
      <c r="R1982" s="99"/>
    </row>
    <row r="1983" spans="1:18" x14ac:dyDescent="0.35">
      <c r="A1983" s="88">
        <f t="shared" si="60"/>
        <v>0</v>
      </c>
      <c r="B1983" s="89"/>
      <c r="C1983" s="90">
        <f t="shared" si="61"/>
        <v>0</v>
      </c>
      <c r="D1983" s="97"/>
      <c r="E1983" s="98"/>
      <c r="F1983" s="98"/>
      <c r="G1983" s="98"/>
      <c r="H1983" s="98"/>
      <c r="I1983" s="98"/>
      <c r="J1983" s="98"/>
      <c r="K1983" s="98"/>
      <c r="L1983" s="98"/>
      <c r="M1983" s="98"/>
      <c r="N1983" s="98"/>
      <c r="O1983" s="98"/>
      <c r="P1983" s="98"/>
      <c r="Q1983" s="98"/>
      <c r="R1983" s="99"/>
    </row>
    <row r="1984" spans="1:18" x14ac:dyDescent="0.35">
      <c r="A1984" s="88">
        <f t="shared" si="60"/>
        <v>0</v>
      </c>
      <c r="B1984" s="89"/>
      <c r="C1984" s="90">
        <f t="shared" si="61"/>
        <v>0</v>
      </c>
      <c r="D1984" s="97"/>
      <c r="E1984" s="98"/>
      <c r="F1984" s="98"/>
      <c r="G1984" s="98"/>
      <c r="H1984" s="98"/>
      <c r="I1984" s="98"/>
      <c r="J1984" s="98"/>
      <c r="K1984" s="98"/>
      <c r="L1984" s="98"/>
      <c r="M1984" s="98"/>
      <c r="N1984" s="98"/>
      <c r="O1984" s="98"/>
      <c r="P1984" s="98"/>
      <c r="Q1984" s="98"/>
      <c r="R1984" s="99"/>
    </row>
    <row r="1985" spans="1:18" x14ac:dyDescent="0.35">
      <c r="A1985" s="88">
        <f t="shared" si="60"/>
        <v>0</v>
      </c>
      <c r="B1985" s="89"/>
      <c r="C1985" s="90">
        <f t="shared" si="61"/>
        <v>0</v>
      </c>
      <c r="D1985" s="97"/>
      <c r="E1985" s="98"/>
      <c r="F1985" s="98"/>
      <c r="G1985" s="98"/>
      <c r="H1985" s="98"/>
      <c r="I1985" s="98"/>
      <c r="J1985" s="98"/>
      <c r="K1985" s="98"/>
      <c r="L1985" s="98"/>
      <c r="M1985" s="98"/>
      <c r="N1985" s="98"/>
      <c r="O1985" s="98"/>
      <c r="P1985" s="98"/>
      <c r="Q1985" s="98"/>
      <c r="R1985" s="99"/>
    </row>
    <row r="1986" spans="1:18" x14ac:dyDescent="0.35">
      <c r="A1986" s="88">
        <f t="shared" si="60"/>
        <v>0</v>
      </c>
      <c r="B1986" s="89"/>
      <c r="C1986" s="90">
        <f t="shared" si="61"/>
        <v>0</v>
      </c>
      <c r="D1986" s="97"/>
      <c r="E1986" s="98"/>
      <c r="F1986" s="98"/>
      <c r="G1986" s="98"/>
      <c r="H1986" s="98"/>
      <c r="I1986" s="98"/>
      <c r="J1986" s="98"/>
      <c r="K1986" s="98"/>
      <c r="L1986" s="98"/>
      <c r="M1986" s="98"/>
      <c r="N1986" s="98"/>
      <c r="O1986" s="98"/>
      <c r="P1986" s="98"/>
      <c r="Q1986" s="98"/>
      <c r="R1986" s="99"/>
    </row>
    <row r="1987" spans="1:18" x14ac:dyDescent="0.35">
      <c r="A1987" s="88">
        <f t="shared" si="60"/>
        <v>0</v>
      </c>
      <c r="B1987" s="89"/>
      <c r="C1987" s="90">
        <f t="shared" si="61"/>
        <v>0</v>
      </c>
      <c r="D1987" s="97"/>
      <c r="E1987" s="98"/>
      <c r="F1987" s="98"/>
      <c r="G1987" s="98"/>
      <c r="H1987" s="98"/>
      <c r="I1987" s="98"/>
      <c r="J1987" s="98"/>
      <c r="K1987" s="98"/>
      <c r="L1987" s="98"/>
      <c r="M1987" s="98"/>
      <c r="N1987" s="98"/>
      <c r="O1987" s="98"/>
      <c r="P1987" s="98"/>
      <c r="Q1987" s="98"/>
      <c r="R1987" s="99"/>
    </row>
    <row r="1988" spans="1:18" x14ac:dyDescent="0.35">
      <c r="A1988" s="88">
        <f t="shared" ref="A1988:A2001" si="62">F1988</f>
        <v>0</v>
      </c>
      <c r="B1988" s="89"/>
      <c r="C1988" s="90">
        <f t="shared" ref="C1988:C2001" si="63">F1988</f>
        <v>0</v>
      </c>
      <c r="D1988" s="97"/>
      <c r="E1988" s="98"/>
      <c r="F1988" s="98"/>
      <c r="G1988" s="98"/>
      <c r="H1988" s="98"/>
      <c r="I1988" s="98"/>
      <c r="J1988" s="98"/>
      <c r="K1988" s="98"/>
      <c r="L1988" s="98"/>
      <c r="M1988" s="98"/>
      <c r="N1988" s="98"/>
      <c r="O1988" s="98"/>
      <c r="P1988" s="98"/>
      <c r="Q1988" s="98"/>
      <c r="R1988" s="99"/>
    </row>
    <row r="1989" spans="1:18" x14ac:dyDescent="0.35">
      <c r="A1989" s="88">
        <f t="shared" si="62"/>
        <v>0</v>
      </c>
      <c r="B1989" s="89"/>
      <c r="C1989" s="90">
        <f t="shared" si="63"/>
        <v>0</v>
      </c>
      <c r="D1989" s="97"/>
      <c r="E1989" s="98"/>
      <c r="F1989" s="98"/>
      <c r="G1989" s="98"/>
      <c r="H1989" s="98"/>
      <c r="I1989" s="98"/>
      <c r="J1989" s="98"/>
      <c r="K1989" s="98"/>
      <c r="L1989" s="98"/>
      <c r="M1989" s="98"/>
      <c r="N1989" s="98"/>
      <c r="O1989" s="98"/>
      <c r="P1989" s="98"/>
      <c r="Q1989" s="98"/>
      <c r="R1989" s="99"/>
    </row>
    <row r="1990" spans="1:18" x14ac:dyDescent="0.35">
      <c r="A1990" s="88">
        <f t="shared" si="62"/>
        <v>0</v>
      </c>
      <c r="B1990" s="89"/>
      <c r="C1990" s="90">
        <f t="shared" si="63"/>
        <v>0</v>
      </c>
      <c r="D1990" s="97"/>
      <c r="E1990" s="98"/>
      <c r="F1990" s="98"/>
      <c r="G1990" s="98"/>
      <c r="H1990" s="98"/>
      <c r="I1990" s="98"/>
      <c r="J1990" s="98"/>
      <c r="K1990" s="98"/>
      <c r="L1990" s="98"/>
      <c r="M1990" s="98"/>
      <c r="N1990" s="98"/>
      <c r="O1990" s="98"/>
      <c r="P1990" s="98"/>
      <c r="Q1990" s="98"/>
      <c r="R1990" s="99"/>
    </row>
    <row r="1991" spans="1:18" x14ac:dyDescent="0.35">
      <c r="A1991" s="88">
        <f t="shared" si="62"/>
        <v>0</v>
      </c>
      <c r="B1991" s="89"/>
      <c r="C1991" s="90">
        <f t="shared" si="63"/>
        <v>0</v>
      </c>
      <c r="D1991" s="97"/>
      <c r="E1991" s="98"/>
      <c r="F1991" s="98"/>
      <c r="G1991" s="98"/>
      <c r="H1991" s="98"/>
      <c r="I1991" s="98"/>
      <c r="J1991" s="98"/>
      <c r="K1991" s="98"/>
      <c r="L1991" s="98"/>
      <c r="M1991" s="98"/>
      <c r="N1991" s="98"/>
      <c r="O1991" s="98"/>
      <c r="P1991" s="98"/>
      <c r="Q1991" s="98"/>
      <c r="R1991" s="99"/>
    </row>
    <row r="1992" spans="1:18" x14ac:dyDescent="0.35">
      <c r="A1992" s="88">
        <f t="shared" si="62"/>
        <v>0</v>
      </c>
      <c r="B1992" s="89"/>
      <c r="C1992" s="90">
        <f t="shared" si="63"/>
        <v>0</v>
      </c>
      <c r="D1992" s="97"/>
      <c r="E1992" s="98"/>
      <c r="F1992" s="98"/>
      <c r="G1992" s="98"/>
      <c r="H1992" s="98"/>
      <c r="I1992" s="98"/>
      <c r="J1992" s="98"/>
      <c r="K1992" s="98"/>
      <c r="L1992" s="98"/>
      <c r="M1992" s="98"/>
      <c r="N1992" s="98"/>
      <c r="O1992" s="98"/>
      <c r="P1992" s="98"/>
      <c r="Q1992" s="98"/>
      <c r="R1992" s="99"/>
    </row>
    <row r="1993" spans="1:18" x14ac:dyDescent="0.35">
      <c r="A1993" s="88">
        <f t="shared" si="62"/>
        <v>0</v>
      </c>
      <c r="B1993" s="89"/>
      <c r="C1993" s="90">
        <f t="shared" si="63"/>
        <v>0</v>
      </c>
      <c r="D1993" s="97"/>
      <c r="E1993" s="98"/>
      <c r="F1993" s="98"/>
      <c r="G1993" s="98"/>
      <c r="H1993" s="98"/>
      <c r="I1993" s="98"/>
      <c r="J1993" s="98"/>
      <c r="K1993" s="98"/>
      <c r="L1993" s="98"/>
      <c r="M1993" s="98"/>
      <c r="N1993" s="98"/>
      <c r="O1993" s="98"/>
      <c r="P1993" s="98"/>
      <c r="Q1993" s="98"/>
      <c r="R1993" s="99"/>
    </row>
    <row r="1994" spans="1:18" x14ac:dyDescent="0.35">
      <c r="A1994" s="88">
        <f t="shared" si="62"/>
        <v>0</v>
      </c>
      <c r="B1994" s="89"/>
      <c r="C1994" s="90">
        <f t="shared" si="63"/>
        <v>0</v>
      </c>
      <c r="D1994" s="97"/>
      <c r="E1994" s="98"/>
      <c r="F1994" s="98"/>
      <c r="G1994" s="98"/>
      <c r="H1994" s="98"/>
      <c r="I1994" s="98"/>
      <c r="J1994" s="98"/>
      <c r="K1994" s="98"/>
      <c r="L1994" s="98"/>
      <c r="M1994" s="98"/>
      <c r="N1994" s="98"/>
      <c r="O1994" s="98"/>
      <c r="P1994" s="98"/>
      <c r="Q1994" s="98"/>
      <c r="R1994" s="99"/>
    </row>
    <row r="1995" spans="1:18" x14ac:dyDescent="0.35">
      <c r="A1995" s="88">
        <f t="shared" si="62"/>
        <v>0</v>
      </c>
      <c r="B1995" s="89"/>
      <c r="C1995" s="90">
        <f t="shared" si="63"/>
        <v>0</v>
      </c>
      <c r="D1995" s="97"/>
      <c r="E1995" s="98"/>
      <c r="F1995" s="98"/>
      <c r="G1995" s="98"/>
      <c r="H1995" s="98"/>
      <c r="I1995" s="98"/>
      <c r="J1995" s="98"/>
      <c r="K1995" s="98"/>
      <c r="L1995" s="98"/>
      <c r="M1995" s="98"/>
      <c r="N1995" s="98"/>
      <c r="O1995" s="98"/>
      <c r="P1995" s="98"/>
      <c r="Q1995" s="98"/>
      <c r="R1995" s="99"/>
    </row>
    <row r="1996" spans="1:18" x14ac:dyDescent="0.35">
      <c r="A1996" s="88">
        <f t="shared" si="62"/>
        <v>0</v>
      </c>
      <c r="B1996" s="89"/>
      <c r="C1996" s="90">
        <f t="shared" si="63"/>
        <v>0</v>
      </c>
      <c r="D1996" s="97"/>
      <c r="E1996" s="98"/>
      <c r="F1996" s="98"/>
      <c r="G1996" s="98"/>
      <c r="H1996" s="98"/>
      <c r="I1996" s="98"/>
      <c r="J1996" s="98"/>
      <c r="K1996" s="98"/>
      <c r="L1996" s="98"/>
      <c r="M1996" s="98"/>
      <c r="N1996" s="98"/>
      <c r="O1996" s="98"/>
      <c r="P1996" s="98"/>
      <c r="Q1996" s="98"/>
      <c r="R1996" s="99"/>
    </row>
    <row r="1997" spans="1:18" x14ac:dyDescent="0.35">
      <c r="A1997" s="88">
        <f t="shared" si="62"/>
        <v>0</v>
      </c>
      <c r="B1997" s="89"/>
      <c r="C1997" s="90">
        <f t="shared" si="63"/>
        <v>0</v>
      </c>
      <c r="D1997" s="97"/>
      <c r="E1997" s="98"/>
      <c r="F1997" s="98"/>
      <c r="G1997" s="98"/>
      <c r="H1997" s="98"/>
      <c r="I1997" s="98"/>
      <c r="J1997" s="98"/>
      <c r="K1997" s="98"/>
      <c r="L1997" s="98"/>
      <c r="M1997" s="98"/>
      <c r="N1997" s="98"/>
      <c r="O1997" s="98"/>
      <c r="P1997" s="98"/>
      <c r="Q1997" s="98"/>
      <c r="R1997" s="99"/>
    </row>
    <row r="1998" spans="1:18" x14ac:dyDescent="0.35">
      <c r="A1998" s="88">
        <f t="shared" si="62"/>
        <v>0</v>
      </c>
      <c r="B1998" s="89"/>
      <c r="C1998" s="90">
        <f t="shared" si="63"/>
        <v>0</v>
      </c>
      <c r="D1998" s="97"/>
      <c r="E1998" s="98"/>
      <c r="F1998" s="98"/>
      <c r="G1998" s="98"/>
      <c r="H1998" s="98"/>
      <c r="I1998" s="98"/>
      <c r="J1998" s="98"/>
      <c r="K1998" s="98"/>
      <c r="L1998" s="98"/>
      <c r="M1998" s="98"/>
      <c r="N1998" s="98"/>
      <c r="O1998" s="98"/>
      <c r="P1998" s="98"/>
      <c r="Q1998" s="98"/>
      <c r="R1998" s="99"/>
    </row>
    <row r="1999" spans="1:18" x14ac:dyDescent="0.35">
      <c r="A1999" s="88">
        <f t="shared" si="62"/>
        <v>0</v>
      </c>
      <c r="B1999" s="89"/>
      <c r="C1999" s="90">
        <f t="shared" si="63"/>
        <v>0</v>
      </c>
      <c r="D1999" s="97"/>
      <c r="E1999" s="98"/>
      <c r="F1999" s="98"/>
      <c r="G1999" s="98"/>
      <c r="H1999" s="98"/>
      <c r="I1999" s="98"/>
      <c r="J1999" s="98"/>
      <c r="K1999" s="98"/>
      <c r="L1999" s="98"/>
      <c r="M1999" s="98"/>
      <c r="N1999" s="98"/>
      <c r="O1999" s="98"/>
      <c r="P1999" s="98"/>
      <c r="Q1999" s="98"/>
      <c r="R1999" s="99"/>
    </row>
    <row r="2000" spans="1:18" x14ac:dyDescent="0.35">
      <c r="A2000" s="88">
        <f t="shared" si="62"/>
        <v>0</v>
      </c>
      <c r="B2000" s="89"/>
      <c r="C2000" s="90">
        <f t="shared" si="63"/>
        <v>0</v>
      </c>
      <c r="D2000" s="97"/>
      <c r="E2000" s="98"/>
      <c r="F2000" s="98"/>
      <c r="G2000" s="98"/>
      <c r="H2000" s="98"/>
      <c r="I2000" s="98"/>
      <c r="J2000" s="98"/>
      <c r="K2000" s="98"/>
      <c r="L2000" s="98"/>
      <c r="M2000" s="98"/>
      <c r="N2000" s="98"/>
      <c r="O2000" s="98"/>
      <c r="P2000" s="98"/>
      <c r="Q2000" s="98"/>
      <c r="R2000" s="99"/>
    </row>
    <row r="2001" spans="1:18" x14ac:dyDescent="0.35">
      <c r="A2001" s="88">
        <f t="shared" si="62"/>
        <v>0</v>
      </c>
      <c r="B2001" s="89"/>
      <c r="C2001" s="90">
        <f t="shared" si="63"/>
        <v>0</v>
      </c>
      <c r="D2001" s="100"/>
      <c r="E2001" s="101"/>
      <c r="F2001" s="101"/>
      <c r="G2001" s="101"/>
      <c r="H2001" s="101"/>
      <c r="I2001" s="101"/>
      <c r="J2001" s="101"/>
      <c r="K2001" s="101"/>
      <c r="L2001" s="101"/>
      <c r="M2001" s="101"/>
      <c r="N2001" s="101"/>
      <c r="O2001" s="101"/>
      <c r="P2001" s="101"/>
      <c r="Q2001" s="101"/>
      <c r="R2001" s="102"/>
    </row>
  </sheetData>
  <mergeCells count="1">
    <mergeCell ref="D1:N1"/>
  </mergeCells>
  <dataValidations count="2">
    <dataValidation allowBlank="1" showErrorMessage="1" prompt="Paste Outlook Contacts Here" sqref="D4:D5" xr:uid="{79AA72B2-8735-4FD1-B745-C453F450C92D}"/>
    <dataValidation allowBlank="1" showInputMessage="1" showErrorMessage="1" prompt="Paste Outlook Contacts Here" sqref="D3" xr:uid="{3F43F789-C29F-47E9-A374-D3CC4827A7E4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37F5-37CD-461F-A905-05F18A1AF2C3}">
  <dimension ref="A1:Q200"/>
  <sheetViews>
    <sheetView workbookViewId="0">
      <selection activeCell="D6" sqref="D6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14" t="str">
        <f>A6</f>
        <v>PURCHASE ORDER NUMBER:</v>
      </c>
      <c r="B1" s="15" t="str">
        <f>A8</f>
        <v>To:</v>
      </c>
      <c r="C1" s="15" t="str">
        <f>A20</f>
        <v>Delivery Required By:</v>
      </c>
      <c r="D1" s="15" t="str">
        <f>H39</f>
        <v>GRAND TOTAL:</v>
      </c>
      <c r="E1" s="15" t="str">
        <f>A51</f>
        <v>Date of Order:</v>
      </c>
      <c r="F1" s="15" t="str">
        <f>H42</f>
        <v>Cost Code:</v>
      </c>
      <c r="G1" s="15" t="str">
        <f>F42</f>
        <v>Attachments:</v>
      </c>
      <c r="H1" s="15" t="s">
        <v>0</v>
      </c>
      <c r="I1" s="15" t="s">
        <v>1</v>
      </c>
      <c r="J1" s="15" t="s">
        <v>2</v>
      </c>
      <c r="K1" s="15" t="s">
        <v>3</v>
      </c>
      <c r="L1" s="15" t="s">
        <v>4</v>
      </c>
      <c r="M1" s="15" t="str">
        <f>A50</f>
        <v>Date Signed:</v>
      </c>
      <c r="N1" s="15" t="str">
        <f>A47</f>
        <v>Acknowledged By:</v>
      </c>
      <c r="O1" s="16" t="s">
        <v>5</v>
      </c>
      <c r="P1" s="3"/>
      <c r="Q1" s="3"/>
    </row>
    <row r="2" spans="1:17" ht="15" thickBot="1" x14ac:dyDescent="0.4">
      <c r="A2" s="17">
        <f>D6</f>
        <v>1</v>
      </c>
      <c r="B2" s="18" t="str">
        <f>B8</f>
        <v>Example Supplier/Vendor</v>
      </c>
      <c r="C2" s="18">
        <f>C20</f>
        <v>0</v>
      </c>
      <c r="D2" s="18">
        <f>J39</f>
        <v>0</v>
      </c>
      <c r="E2" s="18">
        <f>D51</f>
        <v>0</v>
      </c>
      <c r="F2" s="18">
        <f>I42</f>
        <v>0</v>
      </c>
      <c r="G2" s="18">
        <f>G42</f>
        <v>0</v>
      </c>
      <c r="H2" s="18"/>
      <c r="I2" s="18"/>
      <c r="J2" s="18"/>
      <c r="K2" s="18"/>
      <c r="L2" s="18"/>
      <c r="M2" s="18"/>
      <c r="N2" s="18"/>
      <c r="O2" s="19"/>
      <c r="P2" s="3"/>
      <c r="Q2" s="3"/>
    </row>
    <row r="3" spans="1:17" ht="25" x14ac:dyDescent="0.5">
      <c r="A3" s="160" t="str">
        <f>Contacts!F4</f>
        <v>Your Company Name</v>
      </c>
      <c r="B3" s="161"/>
      <c r="C3" s="161"/>
      <c r="D3" s="161"/>
      <c r="E3" s="161"/>
      <c r="F3" s="161"/>
      <c r="G3" s="161"/>
      <c r="H3" s="161"/>
      <c r="I3" s="161"/>
      <c r="J3" s="162"/>
      <c r="K3" s="20"/>
      <c r="L3" s="20"/>
      <c r="M3" s="20"/>
      <c r="N3" s="20"/>
      <c r="O3" s="20"/>
      <c r="P3" s="7"/>
      <c r="Q3" s="8"/>
    </row>
    <row r="4" spans="1:17" ht="15.5" x14ac:dyDescent="0.35">
      <c r="A4" s="21"/>
      <c r="B4" s="163" t="str">
        <f>Contacts!L4</f>
        <v>1234 Construction Lane</v>
      </c>
      <c r="C4" s="111"/>
      <c r="D4" s="111"/>
      <c r="E4" s="22"/>
      <c r="F4" s="164" t="str">
        <f>VLOOKUP(A3,Contacts!C3:R2001, 11, FALSE) &amp; ", " &amp; VLOOKUP(A3,Contacts!C3:R2001, 12, FALSE) &amp; " " &amp; VLOOKUP(A3,Contacts!C3:R2001, 13, FALSE)</f>
        <v>Springfield, IL 62523</v>
      </c>
      <c r="G4" s="111"/>
      <c r="H4" s="111"/>
      <c r="I4" s="22"/>
      <c r="J4" s="23"/>
      <c r="K4" s="24"/>
      <c r="L4" s="24"/>
      <c r="M4" s="24"/>
      <c r="N4" s="24"/>
      <c r="O4" s="24"/>
      <c r="Q4" s="10"/>
    </row>
    <row r="5" spans="1:17" x14ac:dyDescent="0.35">
      <c r="A5" s="25"/>
      <c r="B5" s="26"/>
      <c r="C5" s="26"/>
      <c r="D5" s="27"/>
      <c r="E5" s="26"/>
      <c r="F5" s="26"/>
      <c r="G5" s="26"/>
      <c r="H5" s="26"/>
      <c r="I5" s="27"/>
      <c r="J5" s="28"/>
      <c r="K5" s="24"/>
      <c r="L5" s="24"/>
      <c r="M5" s="24"/>
      <c r="N5" s="24"/>
      <c r="O5" s="24"/>
      <c r="Q5" s="10"/>
    </row>
    <row r="6" spans="1:17" ht="15.5" x14ac:dyDescent="0.35">
      <c r="A6" s="165" t="s">
        <v>6</v>
      </c>
      <c r="B6" s="166"/>
      <c r="C6" s="166"/>
      <c r="D6" s="29">
        <v>1</v>
      </c>
      <c r="E6" s="30"/>
      <c r="F6" s="167" t="s">
        <v>7</v>
      </c>
      <c r="G6" s="168"/>
      <c r="H6" s="168"/>
      <c r="I6" s="31"/>
      <c r="J6" s="30"/>
      <c r="K6" s="24"/>
      <c r="L6" s="24"/>
      <c r="M6" s="24"/>
      <c r="N6" s="24"/>
      <c r="O6" s="24"/>
      <c r="Q6" s="10"/>
    </row>
    <row r="7" spans="1:17" x14ac:dyDescent="0.35">
      <c r="A7" s="32"/>
      <c r="B7" s="24"/>
      <c r="C7" s="24"/>
      <c r="D7" s="33"/>
      <c r="E7" s="30"/>
      <c r="F7" s="24"/>
      <c r="G7" s="24"/>
      <c r="H7" s="24"/>
      <c r="I7" s="33"/>
      <c r="J7" s="30"/>
      <c r="K7" s="24"/>
      <c r="L7" s="24"/>
      <c r="M7" s="24"/>
      <c r="N7" s="24"/>
      <c r="O7" s="24"/>
      <c r="Q7" s="10"/>
    </row>
    <row r="8" spans="1:17" x14ac:dyDescent="0.35">
      <c r="A8" s="32" t="s">
        <v>8</v>
      </c>
      <c r="B8" s="169" t="s">
        <v>9</v>
      </c>
      <c r="C8" s="169"/>
      <c r="D8" s="169"/>
      <c r="E8" s="30"/>
      <c r="F8" s="24" t="s">
        <v>10</v>
      </c>
      <c r="G8" s="169" t="s">
        <v>11</v>
      </c>
      <c r="H8" s="169"/>
      <c r="I8" s="169"/>
      <c r="J8" s="30"/>
      <c r="K8" s="24"/>
      <c r="L8" s="24"/>
      <c r="M8" s="24"/>
      <c r="N8" s="24"/>
      <c r="O8" s="24"/>
      <c r="Q8" s="10"/>
    </row>
    <row r="9" spans="1:17" x14ac:dyDescent="0.35">
      <c r="A9" s="32"/>
      <c r="B9" s="126" t="str">
        <f>VLOOKUP(B8,Contacts!C3:R2001,10,FALSE)</f>
        <v>440 North Industrial Drive</v>
      </c>
      <c r="C9" s="126"/>
      <c r="D9" s="126"/>
      <c r="E9" s="30"/>
      <c r="F9" s="24"/>
      <c r="G9" s="126" t="str">
        <f>VLOOKUP(G8,Contacts!C3:W2001,10,FALSE)</f>
        <v>101 Enterprise Dr</v>
      </c>
      <c r="H9" s="126"/>
      <c r="I9" s="126"/>
      <c r="J9" s="30"/>
      <c r="K9" s="24"/>
      <c r="L9" s="24"/>
      <c r="M9" s="24"/>
      <c r="N9" s="24"/>
      <c r="O9" s="24"/>
      <c r="Q9" s="10"/>
    </row>
    <row r="10" spans="1:17" x14ac:dyDescent="0.35">
      <c r="A10" s="32"/>
      <c r="B10" s="126" t="str">
        <f>VLOOKUP(B8,Contacts!C3:R2001, 11, FALSE) &amp; ", " &amp; VLOOKUP(B8,Contacts!C3:R2001, 12, FALSE) &amp; " " &amp; VLOOKUP(B8,Contacts!C3:R2001, 13, FALSE)</f>
        <v>Springfield, IL 62523</v>
      </c>
      <c r="C10" s="127"/>
      <c r="D10" s="127"/>
      <c r="E10" s="30"/>
      <c r="F10" s="24"/>
      <c r="G10" s="126" t="str">
        <f>VLOOKUP(G8,Contacts!C3:R2001, 11, FALSE) &amp; ", " &amp; VLOOKUP(G8,Contacts!C3:R2001, 12, FALSE) &amp; " " &amp; VLOOKUP(G8,Contacts!C3:R2001, 13, FALSE)</f>
        <v>Springfield, Illinois 62523</v>
      </c>
      <c r="H10" s="127"/>
      <c r="I10" s="127"/>
      <c r="J10" s="30"/>
      <c r="K10" s="24"/>
      <c r="L10" s="24"/>
      <c r="M10" s="24"/>
      <c r="N10" s="24"/>
      <c r="O10" s="24"/>
      <c r="Q10" s="10"/>
    </row>
    <row r="11" spans="1:17" x14ac:dyDescent="0.35">
      <c r="A11" s="32"/>
      <c r="B11" s="35"/>
      <c r="C11" s="35"/>
      <c r="D11" s="35"/>
      <c r="E11" s="30"/>
      <c r="F11" s="24"/>
      <c r="G11" s="36"/>
      <c r="H11" s="24"/>
      <c r="I11" s="24"/>
      <c r="J11" s="30"/>
      <c r="K11" s="24"/>
      <c r="L11" s="24"/>
      <c r="M11" s="24"/>
      <c r="N11" s="24"/>
      <c r="O11" s="24"/>
      <c r="Q11" s="10"/>
    </row>
    <row r="12" spans="1:17" x14ac:dyDescent="0.35">
      <c r="A12" s="32" t="s">
        <v>12</v>
      </c>
      <c r="B12" s="126" t="str">
        <f>VLOOKUP(B8,Contacts!$C$3:$R2001,2,FALSE)</f>
        <v>Michael Jordan</v>
      </c>
      <c r="C12" s="127"/>
      <c r="D12" s="127"/>
      <c r="E12" s="30"/>
      <c r="F12" s="24"/>
      <c r="G12" s="24"/>
      <c r="H12" s="24"/>
      <c r="I12" s="24"/>
      <c r="J12" s="30"/>
      <c r="K12" s="24"/>
      <c r="L12" s="24"/>
      <c r="M12" s="24"/>
      <c r="N12" s="24"/>
      <c r="O12" s="24"/>
      <c r="Q12" s="10"/>
    </row>
    <row r="13" spans="1:17" x14ac:dyDescent="0.35">
      <c r="A13" s="32"/>
      <c r="B13" s="36"/>
      <c r="C13" s="36"/>
      <c r="D13" s="36"/>
      <c r="E13" s="30"/>
      <c r="F13" s="24" t="s">
        <v>13</v>
      </c>
      <c r="G13" s="37" t="s">
        <v>14</v>
      </c>
      <c r="H13" s="36"/>
      <c r="I13" s="24"/>
      <c r="J13" s="30"/>
      <c r="K13" s="24"/>
      <c r="L13" s="24"/>
      <c r="M13" s="24"/>
      <c r="N13" s="24"/>
      <c r="O13" s="24"/>
      <c r="Q13" s="10"/>
    </row>
    <row r="14" spans="1:17" x14ac:dyDescent="0.35">
      <c r="A14" s="32"/>
      <c r="B14" s="36"/>
      <c r="C14" s="36"/>
      <c r="D14" s="36"/>
      <c r="E14" s="30"/>
      <c r="F14" s="24"/>
      <c r="G14" s="24" t="s">
        <v>15</v>
      </c>
      <c r="H14" s="36"/>
      <c r="I14" s="24"/>
      <c r="J14" s="30"/>
      <c r="K14" s="24"/>
      <c r="L14" s="24"/>
      <c r="M14" s="24"/>
      <c r="N14" s="24"/>
      <c r="O14" s="24"/>
      <c r="Q14" s="10"/>
    </row>
    <row r="15" spans="1:17" x14ac:dyDescent="0.35">
      <c r="A15" s="32" t="s">
        <v>16</v>
      </c>
      <c r="B15" s="170" t="str">
        <f>VLOOKUP(B8,Contacts!$C$3:$CQ$4044,8,FALSE)</f>
        <v>(555) 555-1733</v>
      </c>
      <c r="C15" s="126"/>
      <c r="D15" s="35"/>
      <c r="E15" s="30"/>
      <c r="F15" s="24" t="s">
        <v>17</v>
      </c>
      <c r="G15" s="24"/>
      <c r="H15" s="24"/>
      <c r="I15" s="24"/>
      <c r="J15" s="30"/>
      <c r="K15" s="24"/>
      <c r="L15" s="24"/>
      <c r="M15" s="24"/>
      <c r="N15" s="24"/>
      <c r="O15" s="24"/>
      <c r="Q15" s="10"/>
    </row>
    <row r="16" spans="1:17" x14ac:dyDescent="0.35">
      <c r="A16" s="32" t="s">
        <v>18</v>
      </c>
      <c r="B16" s="170" t="str">
        <f>VLOOKUP(B8,Contacts!$C$3:$CQ$4044,9,FALSE)</f>
        <v>(555) 555-9790</v>
      </c>
      <c r="C16" s="126"/>
      <c r="D16" s="35"/>
      <c r="E16" s="30"/>
      <c r="F16" s="24"/>
      <c r="G16" s="169" t="s">
        <v>19</v>
      </c>
      <c r="H16" s="169"/>
      <c r="I16" s="169"/>
      <c r="J16" s="30"/>
      <c r="K16" s="24"/>
      <c r="L16" s="24"/>
      <c r="M16" s="24"/>
      <c r="N16" s="24"/>
      <c r="O16" s="24"/>
      <c r="Q16" s="10"/>
    </row>
    <row r="17" spans="1:17" x14ac:dyDescent="0.35">
      <c r="A17" s="32" t="s">
        <v>20</v>
      </c>
      <c r="B17" s="128" t="str">
        <f>VLOOKUP(B8,Contacts!$C$3:$CQ$4044,16,FALSE)</f>
        <v>mjordan@examplesupplier.com</v>
      </c>
      <c r="C17" s="108"/>
      <c r="D17" s="108"/>
      <c r="E17" s="30"/>
      <c r="F17" s="24"/>
      <c r="G17" s="126" t="str">
        <f>VLOOKUP(G16,Contacts!C3:W2009,10,FALSE)</f>
        <v>1234 Construction Lane</v>
      </c>
      <c r="H17" s="126"/>
      <c r="I17" s="126"/>
      <c r="J17" s="30"/>
      <c r="K17" s="24"/>
      <c r="L17" s="24"/>
      <c r="M17" s="24"/>
      <c r="N17" s="24"/>
      <c r="O17" s="24"/>
      <c r="Q17" s="10"/>
    </row>
    <row r="18" spans="1:17" x14ac:dyDescent="0.35">
      <c r="A18" s="32" t="s">
        <v>21</v>
      </c>
      <c r="B18" s="128" t="s">
        <v>22</v>
      </c>
      <c r="C18" s="108"/>
      <c r="D18" s="108"/>
      <c r="E18" s="30"/>
      <c r="F18" s="24"/>
      <c r="G18" s="126" t="str">
        <f>VLOOKUP(G16,Contacts!C3:R2001, 11, FALSE) &amp; ", " &amp; VLOOKUP(G16,Contacts!C3:R2001, 12, FALSE) &amp; " " &amp; VLOOKUP(G16,Contacts!C3:R2001, 13, FALSE)</f>
        <v>Springfield, IL 62523</v>
      </c>
      <c r="H18" s="127"/>
      <c r="I18" s="127"/>
      <c r="J18" s="30"/>
      <c r="K18" s="24"/>
      <c r="L18" s="24"/>
      <c r="M18" s="24"/>
      <c r="N18" s="24"/>
      <c r="O18" s="24"/>
      <c r="Q18" s="10"/>
    </row>
    <row r="19" spans="1:17" x14ac:dyDescent="0.35">
      <c r="A19" s="32"/>
      <c r="B19" s="24"/>
      <c r="C19" s="24"/>
      <c r="D19" s="24"/>
      <c r="E19" s="30"/>
      <c r="F19" s="24"/>
      <c r="G19" s="36"/>
      <c r="H19" s="24"/>
      <c r="I19" s="24"/>
      <c r="J19" s="30"/>
      <c r="K19" s="24"/>
      <c r="L19" s="24"/>
      <c r="M19" s="24"/>
      <c r="N19" s="24"/>
      <c r="O19" s="24"/>
      <c r="Q19" s="10"/>
    </row>
    <row r="20" spans="1:17" x14ac:dyDescent="0.35">
      <c r="A20" s="129" t="s">
        <v>23</v>
      </c>
      <c r="B20" s="112"/>
      <c r="C20" s="34"/>
      <c r="D20" s="24"/>
      <c r="E20" s="38" t="s">
        <v>24</v>
      </c>
      <c r="F20" s="130" t="s">
        <v>25</v>
      </c>
      <c r="G20" s="105"/>
      <c r="H20" s="39" t="s">
        <v>26</v>
      </c>
      <c r="I20" s="39"/>
      <c r="J20" s="34" t="s">
        <v>27</v>
      </c>
      <c r="K20" s="24"/>
      <c r="L20" s="24"/>
      <c r="M20" s="24"/>
      <c r="N20" s="24"/>
      <c r="O20" s="24"/>
      <c r="Q20" s="10"/>
    </row>
    <row r="21" spans="1:17" ht="15.5" x14ac:dyDescent="0.35">
      <c r="A21" s="103"/>
      <c r="B21" s="104"/>
      <c r="C21" s="104"/>
      <c r="D21" s="104"/>
      <c r="E21" s="104"/>
      <c r="F21" s="104"/>
      <c r="G21" s="104"/>
      <c r="H21" s="104"/>
      <c r="I21" s="104"/>
      <c r="J21" s="105"/>
      <c r="K21" s="24"/>
      <c r="L21" s="24"/>
      <c r="M21" s="24"/>
      <c r="N21" s="24"/>
      <c r="O21" s="24"/>
      <c r="Q21" s="10"/>
    </row>
    <row r="22" spans="1:17" x14ac:dyDescent="0.35">
      <c r="A22" s="106" t="s">
        <v>28</v>
      </c>
      <c r="B22" s="104"/>
      <c r="C22" s="104"/>
      <c r="D22" s="104"/>
      <c r="E22" s="104"/>
      <c r="F22" s="104"/>
      <c r="G22" s="105"/>
      <c r="H22" s="40" t="s">
        <v>29</v>
      </c>
      <c r="I22" s="40" t="s">
        <v>30</v>
      </c>
      <c r="J22" s="40" t="s">
        <v>31</v>
      </c>
      <c r="K22" s="24"/>
      <c r="L22" s="24"/>
      <c r="M22" s="24"/>
      <c r="N22" s="24"/>
      <c r="O22" s="24"/>
      <c r="Q22" s="10"/>
    </row>
    <row r="23" spans="1:17" ht="15.5" x14ac:dyDescent="0.35">
      <c r="A23" s="41" t="s">
        <v>32</v>
      </c>
      <c r="B23" s="155" t="s">
        <v>33</v>
      </c>
      <c r="C23" s="156"/>
      <c r="D23" s="156"/>
      <c r="E23" s="156"/>
      <c r="F23" s="156"/>
      <c r="G23" s="157"/>
      <c r="H23" s="43"/>
      <c r="I23" s="44"/>
      <c r="J23" s="45"/>
      <c r="K23" s="24"/>
      <c r="L23" s="24"/>
      <c r="M23" s="24"/>
      <c r="N23" s="24"/>
      <c r="O23" s="24"/>
      <c r="Q23" s="10"/>
    </row>
    <row r="24" spans="1:17" x14ac:dyDescent="0.35">
      <c r="A24" s="107" t="s">
        <v>34</v>
      </c>
      <c r="B24" s="108"/>
      <c r="C24" s="108"/>
      <c r="D24" s="108"/>
      <c r="E24" s="108"/>
      <c r="F24" s="108"/>
      <c r="G24" s="109"/>
      <c r="H24" s="46"/>
      <c r="I24" s="47"/>
      <c r="J24" s="48"/>
      <c r="K24" s="24"/>
      <c r="L24" s="24"/>
      <c r="M24" s="24"/>
      <c r="N24" s="24"/>
      <c r="O24" s="24"/>
      <c r="Q24" s="10"/>
    </row>
    <row r="25" spans="1:17" x14ac:dyDescent="0.35">
      <c r="A25" s="158" t="str">
        <f>Contacts!F6</f>
        <v xml:space="preserve"> A/E / Developer</v>
      </c>
      <c r="B25" s="159"/>
      <c r="C25" s="159"/>
      <c r="D25" s="49"/>
      <c r="E25" s="50"/>
      <c r="F25" s="51"/>
      <c r="G25" s="52"/>
      <c r="H25" s="53" t="s">
        <v>35</v>
      </c>
      <c r="I25" s="54"/>
      <c r="J25" s="55"/>
      <c r="K25" s="24"/>
      <c r="L25" s="24"/>
      <c r="M25" s="24"/>
      <c r="N25" s="24"/>
      <c r="O25" s="24"/>
      <c r="Q25" s="10"/>
    </row>
    <row r="26" spans="1:17" x14ac:dyDescent="0.35">
      <c r="A26" s="110" t="s">
        <v>36</v>
      </c>
      <c r="B26" s="111"/>
      <c r="C26" s="111"/>
      <c r="D26" s="111"/>
      <c r="E26" s="111"/>
      <c r="F26" s="111"/>
      <c r="G26" s="112"/>
      <c r="H26" s="46"/>
      <c r="I26" s="47"/>
      <c r="J26" s="48"/>
      <c r="K26" s="24"/>
      <c r="L26" s="24"/>
      <c r="M26" s="24"/>
      <c r="N26" s="24"/>
      <c r="O26" s="24"/>
      <c r="Q26" s="10"/>
    </row>
    <row r="27" spans="1:17" x14ac:dyDescent="0.35">
      <c r="A27" s="114"/>
      <c r="B27" s="115"/>
      <c r="C27" s="115"/>
      <c r="D27" s="115"/>
      <c r="E27" s="115"/>
      <c r="F27" s="115"/>
      <c r="G27" s="115"/>
      <c r="H27" s="56"/>
      <c r="I27" s="56"/>
      <c r="J27" s="57">
        <f t="shared" ref="J27:J33" si="0">H27*I27</f>
        <v>0</v>
      </c>
      <c r="K27" s="24"/>
      <c r="L27" s="24"/>
      <c r="M27" s="24"/>
      <c r="N27" s="24"/>
      <c r="O27" s="24"/>
      <c r="Q27" s="10"/>
    </row>
    <row r="28" spans="1:17" x14ac:dyDescent="0.35">
      <c r="A28" s="114"/>
      <c r="B28" s="115"/>
      <c r="C28" s="115"/>
      <c r="D28" s="115"/>
      <c r="E28" s="115"/>
      <c r="F28" s="115"/>
      <c r="G28" s="115"/>
      <c r="H28" s="56"/>
      <c r="I28" s="56"/>
      <c r="J28" s="57">
        <f t="shared" si="0"/>
        <v>0</v>
      </c>
      <c r="K28" s="24"/>
      <c r="L28" s="24"/>
      <c r="M28" s="24"/>
      <c r="N28" s="24"/>
      <c r="O28" s="24"/>
      <c r="Q28" s="10"/>
    </row>
    <row r="29" spans="1:17" x14ac:dyDescent="0.35">
      <c r="A29" s="114"/>
      <c r="B29" s="115"/>
      <c r="C29" s="115"/>
      <c r="D29" s="115"/>
      <c r="E29" s="115"/>
      <c r="F29" s="115"/>
      <c r="G29" s="115"/>
      <c r="H29" s="56"/>
      <c r="I29" s="56"/>
      <c r="J29" s="57">
        <f t="shared" si="0"/>
        <v>0</v>
      </c>
      <c r="K29" s="24"/>
      <c r="L29" s="24"/>
      <c r="M29" s="24"/>
      <c r="N29" s="24"/>
      <c r="O29" s="24"/>
      <c r="Q29" s="10"/>
    </row>
    <row r="30" spans="1:17" x14ac:dyDescent="0.35">
      <c r="A30" s="114"/>
      <c r="B30" s="115"/>
      <c r="C30" s="115"/>
      <c r="D30" s="115"/>
      <c r="E30" s="115"/>
      <c r="F30" s="115"/>
      <c r="G30" s="115"/>
      <c r="H30" s="56"/>
      <c r="I30" s="56"/>
      <c r="J30" s="57">
        <f t="shared" si="0"/>
        <v>0</v>
      </c>
      <c r="K30" s="24"/>
      <c r="L30" s="24"/>
      <c r="M30" s="24"/>
      <c r="N30" s="24"/>
      <c r="O30" s="24"/>
      <c r="Q30" s="10"/>
    </row>
    <row r="31" spans="1:17" x14ac:dyDescent="0.35">
      <c r="A31" s="114"/>
      <c r="B31" s="115"/>
      <c r="C31" s="115"/>
      <c r="D31" s="115"/>
      <c r="E31" s="115"/>
      <c r="F31" s="115"/>
      <c r="G31" s="115"/>
      <c r="H31" s="56"/>
      <c r="I31" s="56"/>
      <c r="J31" s="57">
        <f t="shared" si="0"/>
        <v>0</v>
      </c>
      <c r="K31" s="24"/>
      <c r="L31" s="24"/>
      <c r="M31" s="24"/>
      <c r="N31" s="24"/>
      <c r="O31" s="24"/>
      <c r="Q31" s="10"/>
    </row>
    <row r="32" spans="1:17" x14ac:dyDescent="0.35">
      <c r="A32" s="114"/>
      <c r="B32" s="115"/>
      <c r="C32" s="115"/>
      <c r="D32" s="115"/>
      <c r="E32" s="115"/>
      <c r="F32" s="115"/>
      <c r="G32" s="115"/>
      <c r="H32" s="56"/>
      <c r="I32" s="56"/>
      <c r="J32" s="57">
        <f t="shared" si="0"/>
        <v>0</v>
      </c>
      <c r="K32" s="24"/>
      <c r="L32" s="24"/>
      <c r="M32" s="24"/>
      <c r="N32" s="24"/>
      <c r="O32" s="24"/>
      <c r="Q32" s="10"/>
    </row>
    <row r="33" spans="1:17" x14ac:dyDescent="0.35">
      <c r="A33" s="114"/>
      <c r="B33" s="115"/>
      <c r="C33" s="115"/>
      <c r="D33" s="115"/>
      <c r="E33" s="115"/>
      <c r="F33" s="115"/>
      <c r="G33" s="115"/>
      <c r="H33" s="56"/>
      <c r="I33" s="56"/>
      <c r="J33" s="57">
        <f t="shared" si="0"/>
        <v>0</v>
      </c>
      <c r="K33" s="24"/>
      <c r="L33" s="24"/>
      <c r="M33" s="24"/>
      <c r="N33" s="24"/>
      <c r="O33" s="24"/>
      <c r="Q33" s="10"/>
    </row>
    <row r="34" spans="1:17" x14ac:dyDescent="0.35">
      <c r="A34" s="116"/>
      <c r="B34" s="117"/>
      <c r="C34" s="117"/>
      <c r="D34" s="117"/>
      <c r="E34" s="117"/>
      <c r="F34" s="117"/>
      <c r="G34" s="118"/>
      <c r="H34" s="46"/>
      <c r="I34" s="47"/>
      <c r="J34" s="59"/>
      <c r="K34" s="24"/>
      <c r="L34" s="24"/>
      <c r="M34" s="24"/>
      <c r="N34" s="24"/>
      <c r="O34" s="24"/>
      <c r="Q34" s="10"/>
    </row>
    <row r="35" spans="1:17" x14ac:dyDescent="0.35">
      <c r="A35" s="32"/>
      <c r="B35" s="58"/>
      <c r="C35" s="36"/>
      <c r="D35" s="24"/>
      <c r="E35" s="24"/>
      <c r="F35" s="24"/>
      <c r="G35" s="36"/>
      <c r="H35" s="46"/>
      <c r="I35" s="47"/>
      <c r="J35" s="59"/>
      <c r="K35" s="24"/>
      <c r="L35" s="24"/>
      <c r="M35" s="24"/>
      <c r="N35" s="24"/>
      <c r="O35" s="24"/>
      <c r="Q35" s="10"/>
    </row>
    <row r="36" spans="1:17" x14ac:dyDescent="0.35">
      <c r="A36" s="32"/>
      <c r="B36" s="24"/>
      <c r="C36" s="24"/>
      <c r="D36" s="24"/>
      <c r="E36" s="24"/>
      <c r="F36" s="24"/>
      <c r="G36" s="36" t="s">
        <v>37</v>
      </c>
      <c r="H36" s="46"/>
      <c r="I36" s="47"/>
      <c r="J36" s="48">
        <f>SUM(J27:J33)</f>
        <v>0</v>
      </c>
      <c r="K36" s="24"/>
      <c r="L36" s="24"/>
      <c r="M36" s="24"/>
      <c r="N36" s="24"/>
      <c r="O36" s="24"/>
      <c r="Q36" s="10"/>
    </row>
    <row r="37" spans="1:17" x14ac:dyDescent="0.35">
      <c r="A37" s="113" t="s">
        <v>38</v>
      </c>
      <c r="B37" s="108"/>
      <c r="C37" s="24"/>
      <c r="D37" s="24"/>
      <c r="E37" s="24"/>
      <c r="F37" s="24"/>
      <c r="G37" s="36"/>
      <c r="H37" s="46"/>
      <c r="I37" s="47"/>
      <c r="J37" s="48"/>
      <c r="K37" s="24"/>
      <c r="L37" s="24"/>
      <c r="M37" s="24"/>
      <c r="N37" s="24"/>
      <c r="O37" s="24"/>
      <c r="Q37" s="10"/>
    </row>
    <row r="38" spans="1:17" x14ac:dyDescent="0.35">
      <c r="A38" s="61"/>
      <c r="B38" s="34"/>
      <c r="C38" s="24"/>
      <c r="D38" s="24"/>
      <c r="E38" s="24"/>
      <c r="F38" s="24"/>
      <c r="G38" s="24"/>
      <c r="H38" s="62"/>
      <c r="I38" s="63"/>
      <c r="J38" s="64"/>
      <c r="K38" s="24"/>
      <c r="L38" s="24"/>
      <c r="M38" s="24"/>
      <c r="N38" s="24"/>
      <c r="O38" s="24"/>
      <c r="Q38" s="10"/>
    </row>
    <row r="39" spans="1:17" ht="15" thickBot="1" x14ac:dyDescent="0.4">
      <c r="A39" s="32"/>
      <c r="B39" s="24"/>
      <c r="C39" s="24"/>
      <c r="D39" s="24"/>
      <c r="E39" s="24"/>
      <c r="F39" s="24"/>
      <c r="G39" s="24"/>
      <c r="H39" s="65" t="s">
        <v>39</v>
      </c>
      <c r="I39" s="66"/>
      <c r="J39" s="67">
        <f>SUM(J36)</f>
        <v>0</v>
      </c>
      <c r="K39" s="24"/>
      <c r="L39" s="24"/>
      <c r="M39" s="24"/>
      <c r="N39" s="24"/>
      <c r="O39" s="24"/>
      <c r="Q39" s="10"/>
    </row>
    <row r="40" spans="1:17" ht="15.5" thickTop="1" thickBot="1" x14ac:dyDescent="0.4">
      <c r="A40" s="32" t="s">
        <v>35</v>
      </c>
      <c r="B40" s="24"/>
      <c r="C40" s="24"/>
      <c r="D40" s="24"/>
      <c r="E40" s="24"/>
      <c r="F40" s="24"/>
      <c r="G40" s="24"/>
      <c r="H40" s="24"/>
      <c r="I40" s="24"/>
      <c r="J40" s="30"/>
      <c r="K40" s="24"/>
      <c r="L40" s="24"/>
      <c r="M40" s="24"/>
      <c r="N40" s="24"/>
      <c r="O40" s="24"/>
      <c r="Q40" s="10"/>
    </row>
    <row r="41" spans="1:17" ht="15.5" thickTop="1" thickBot="1" x14ac:dyDescent="0.4">
      <c r="A41" s="147" t="s">
        <v>40</v>
      </c>
      <c r="B41" s="148"/>
      <c r="C41" s="148"/>
      <c r="D41" s="148"/>
      <c r="E41" s="148"/>
      <c r="F41" s="148"/>
      <c r="G41" s="140"/>
      <c r="H41" s="148"/>
      <c r="I41" s="140"/>
      <c r="J41" s="153"/>
      <c r="K41" s="24"/>
      <c r="L41" s="24"/>
      <c r="M41" s="24"/>
      <c r="N41" s="24"/>
      <c r="O41" s="24"/>
      <c r="Q41" s="10"/>
    </row>
    <row r="42" spans="1:17" ht="15.5" thickTop="1" thickBot="1" x14ac:dyDescent="0.4">
      <c r="A42" s="68" t="s">
        <v>41</v>
      </c>
      <c r="B42" s="69"/>
      <c r="C42" s="69"/>
      <c r="D42" s="69"/>
      <c r="E42" s="69"/>
      <c r="F42" s="69" t="s">
        <v>42</v>
      </c>
      <c r="G42" s="70"/>
      <c r="H42" s="69" t="s">
        <v>43</v>
      </c>
      <c r="I42" s="154"/>
      <c r="J42" s="154"/>
      <c r="K42" s="24"/>
      <c r="L42" s="24"/>
      <c r="M42" s="24"/>
      <c r="N42" s="24"/>
      <c r="O42" s="24"/>
      <c r="Q42" s="10"/>
    </row>
    <row r="43" spans="1:17" ht="15" thickTop="1" x14ac:dyDescent="0.35">
      <c r="A43" s="139" t="s">
        <v>44</v>
      </c>
      <c r="B43" s="140"/>
      <c r="C43" s="140"/>
      <c r="D43" s="140"/>
      <c r="E43" s="141" t="str">
        <f>Contacts!F4</f>
        <v>Your Company Name</v>
      </c>
      <c r="F43" s="141"/>
      <c r="G43" s="117"/>
      <c r="H43" s="140"/>
      <c r="I43" s="142"/>
      <c r="J43" s="143"/>
      <c r="K43" s="24"/>
      <c r="L43" s="24"/>
      <c r="M43" s="24"/>
      <c r="N43" s="24"/>
      <c r="O43" s="24"/>
      <c r="Q43" s="10"/>
    </row>
    <row r="44" spans="1:17" ht="15" thickBot="1" x14ac:dyDescent="0.4">
      <c r="A44" s="144" t="s">
        <v>35</v>
      </c>
      <c r="B44" s="145"/>
      <c r="C44" s="145"/>
      <c r="D44" s="145"/>
      <c r="E44" s="145"/>
      <c r="F44" s="145"/>
      <c r="G44" s="145"/>
      <c r="H44" s="145"/>
      <c r="I44" s="145"/>
      <c r="J44" s="146"/>
      <c r="K44" s="24"/>
      <c r="L44" s="24"/>
      <c r="M44" s="24"/>
      <c r="N44" s="24"/>
      <c r="O44" s="24"/>
      <c r="Q44" s="10"/>
    </row>
    <row r="45" spans="1:17" ht="15.5" thickTop="1" thickBot="1" x14ac:dyDescent="0.4">
      <c r="A45" s="147" t="s">
        <v>45</v>
      </c>
      <c r="B45" s="148"/>
      <c r="C45" s="148"/>
      <c r="D45" s="148"/>
      <c r="E45" s="148"/>
      <c r="F45" s="148"/>
      <c r="G45" s="148"/>
      <c r="H45" s="148"/>
      <c r="I45" s="148"/>
      <c r="J45" s="149"/>
      <c r="K45" s="24"/>
      <c r="L45" s="24"/>
      <c r="M45" s="24"/>
      <c r="N45" s="24"/>
      <c r="O45" s="24"/>
      <c r="Q45" s="10"/>
    </row>
    <row r="46" spans="1:17" ht="15" thickTop="1" x14ac:dyDescent="0.35">
      <c r="A46" s="32"/>
      <c r="B46" s="24"/>
      <c r="C46" s="24"/>
      <c r="D46" s="24"/>
      <c r="E46" s="24"/>
      <c r="F46" s="24"/>
      <c r="G46" s="24"/>
      <c r="H46" s="24"/>
      <c r="I46" s="24"/>
      <c r="J46" s="30"/>
      <c r="K46" s="24"/>
      <c r="L46" s="24"/>
      <c r="M46" s="24"/>
      <c r="N46" s="24"/>
      <c r="O46" s="24"/>
      <c r="Q46" s="10"/>
    </row>
    <row r="47" spans="1:17" ht="21" x14ac:dyDescent="0.5">
      <c r="A47" s="150" t="s">
        <v>46</v>
      </c>
      <c r="B47" s="108"/>
      <c r="C47" s="24"/>
      <c r="D47" s="18"/>
      <c r="E47" s="24"/>
      <c r="F47" s="24" t="s">
        <v>47</v>
      </c>
      <c r="G47" s="24"/>
      <c r="H47" s="151" t="str">
        <f>VLOOKUP(F48,Contacts!C3:R2001,2,FALSE)</f>
        <v>Your Name</v>
      </c>
      <c r="I47" s="152"/>
      <c r="J47" s="71"/>
      <c r="K47" s="24"/>
      <c r="L47" s="24"/>
      <c r="M47" s="24"/>
      <c r="N47" s="24"/>
      <c r="O47" s="24"/>
      <c r="Q47" s="10"/>
    </row>
    <row r="48" spans="1:17" ht="14.5" customHeight="1" x14ac:dyDescent="0.35">
      <c r="A48" s="60" t="s">
        <v>48</v>
      </c>
      <c r="B48" s="131" t="str">
        <f>B8</f>
        <v>Example Supplier/Vendor</v>
      </c>
      <c r="C48" s="132"/>
      <c r="D48" s="132"/>
      <c r="E48" s="132"/>
      <c r="F48" s="133" t="str">
        <f>Contacts!F4</f>
        <v>Your Company Name</v>
      </c>
      <c r="G48" s="134"/>
      <c r="H48" s="130"/>
      <c r="I48" s="104"/>
      <c r="J48" s="30"/>
      <c r="K48" s="24"/>
      <c r="L48" s="24"/>
      <c r="M48" s="24"/>
      <c r="N48" s="24"/>
      <c r="O48" s="24"/>
      <c r="Q48" s="10"/>
    </row>
    <row r="49" spans="1:17" x14ac:dyDescent="0.35">
      <c r="A49" s="113" t="s">
        <v>49</v>
      </c>
      <c r="B49" s="108"/>
      <c r="C49" s="24"/>
      <c r="D49" s="72"/>
      <c r="E49" s="24"/>
      <c r="F49" s="134"/>
      <c r="G49" s="134"/>
      <c r="H49" s="135"/>
      <c r="I49" s="136"/>
      <c r="J49" s="30"/>
      <c r="K49" s="24"/>
      <c r="L49" s="24"/>
      <c r="M49" s="24"/>
      <c r="N49" s="24"/>
      <c r="O49" s="24"/>
      <c r="Q49" s="10"/>
    </row>
    <row r="50" spans="1:17" x14ac:dyDescent="0.35">
      <c r="A50" s="113" t="s">
        <v>50</v>
      </c>
      <c r="B50" s="108"/>
      <c r="C50" s="24"/>
      <c r="D50" s="73"/>
      <c r="E50" s="24"/>
      <c r="F50" s="24"/>
      <c r="G50" s="24"/>
      <c r="H50" s="137" t="s">
        <v>51</v>
      </c>
      <c r="I50" s="138"/>
      <c r="J50" s="30"/>
      <c r="K50" s="24"/>
      <c r="L50" s="24"/>
      <c r="M50" s="24"/>
      <c r="N50" s="24"/>
      <c r="O50" s="24"/>
      <c r="Q50" s="10"/>
    </row>
    <row r="51" spans="1:17" x14ac:dyDescent="0.35">
      <c r="A51" s="119" t="s">
        <v>52</v>
      </c>
      <c r="B51" s="111"/>
      <c r="C51" s="18" t="s">
        <v>35</v>
      </c>
      <c r="D51" s="74"/>
      <c r="E51" s="18"/>
      <c r="F51" s="18"/>
      <c r="G51" s="18"/>
      <c r="H51" s="18"/>
      <c r="I51" s="18"/>
      <c r="J51" s="19"/>
      <c r="K51" s="24"/>
      <c r="L51" s="24"/>
      <c r="M51" s="24"/>
      <c r="N51" s="24"/>
      <c r="O51" s="24"/>
      <c r="Q51" s="10"/>
    </row>
    <row r="52" spans="1:17" ht="14.5" customHeight="1" x14ac:dyDescent="0.35">
      <c r="A52" s="120" t="s">
        <v>53</v>
      </c>
      <c r="B52" s="121"/>
      <c r="C52" s="121"/>
      <c r="D52" s="121"/>
      <c r="E52" s="121"/>
      <c r="F52" s="121"/>
      <c r="G52" s="121"/>
      <c r="H52" s="121"/>
      <c r="I52" s="121"/>
      <c r="J52" s="122"/>
      <c r="K52" s="24"/>
      <c r="L52" s="24"/>
      <c r="M52" s="24"/>
      <c r="N52" s="24"/>
      <c r="O52" s="24"/>
      <c r="Q52" s="10"/>
    </row>
    <row r="53" spans="1:17" x14ac:dyDescent="0.35">
      <c r="A53" s="123"/>
      <c r="B53" s="124"/>
      <c r="C53" s="124"/>
      <c r="D53" s="124"/>
      <c r="E53" s="124"/>
      <c r="F53" s="124"/>
      <c r="G53" s="124"/>
      <c r="H53" s="124"/>
      <c r="I53" s="124"/>
      <c r="J53" s="125"/>
      <c r="K53" s="24"/>
      <c r="L53" s="24"/>
      <c r="M53" s="24"/>
      <c r="N53" s="24"/>
      <c r="O53" s="24"/>
      <c r="Q53" s="10"/>
    </row>
    <row r="54" spans="1:17" x14ac:dyDescent="0.35">
      <c r="A54" s="9"/>
      <c r="Q54" s="10"/>
    </row>
    <row r="55" spans="1:17" x14ac:dyDescent="0.35">
      <c r="A55" s="9"/>
      <c r="Q55" s="10"/>
    </row>
    <row r="56" spans="1:17" x14ac:dyDescent="0.35">
      <c r="A56" s="9"/>
      <c r="Q56" s="10"/>
    </row>
    <row r="57" spans="1:17" x14ac:dyDescent="0.35">
      <c r="A57" s="9"/>
      <c r="Q57" s="10"/>
    </row>
    <row r="58" spans="1:17" x14ac:dyDescent="0.35">
      <c r="A58" s="9"/>
      <c r="Q58" s="10"/>
    </row>
    <row r="59" spans="1:17" x14ac:dyDescent="0.35">
      <c r="A59" s="9"/>
      <c r="Q59" s="10"/>
    </row>
    <row r="60" spans="1:17" x14ac:dyDescent="0.35">
      <c r="A60" s="9"/>
      <c r="Q60" s="10"/>
    </row>
    <row r="61" spans="1:17" x14ac:dyDescent="0.35">
      <c r="A61" s="9"/>
      <c r="Q61" s="10"/>
    </row>
    <row r="62" spans="1:17" x14ac:dyDescent="0.35">
      <c r="A62" s="9"/>
      <c r="Q62" s="10"/>
    </row>
    <row r="63" spans="1:17" x14ac:dyDescent="0.35">
      <c r="A63" s="9"/>
      <c r="Q63" s="10"/>
    </row>
    <row r="64" spans="1:17" x14ac:dyDescent="0.35">
      <c r="A64" s="9"/>
      <c r="Q64" s="10"/>
    </row>
    <row r="65" spans="1:17" x14ac:dyDescent="0.35">
      <c r="A65" s="9"/>
      <c r="Q65" s="10"/>
    </row>
    <row r="66" spans="1:17" x14ac:dyDescent="0.35">
      <c r="A66" s="9"/>
      <c r="Q66" s="10"/>
    </row>
    <row r="67" spans="1:17" x14ac:dyDescent="0.35">
      <c r="A67" s="9"/>
      <c r="Q67" s="10"/>
    </row>
    <row r="68" spans="1:17" x14ac:dyDescent="0.35">
      <c r="A68" s="9"/>
      <c r="Q68" s="10"/>
    </row>
    <row r="69" spans="1:17" x14ac:dyDescent="0.35">
      <c r="A69" s="9"/>
      <c r="Q69" s="10"/>
    </row>
    <row r="70" spans="1:17" x14ac:dyDescent="0.35">
      <c r="A70" s="9"/>
      <c r="Q70" s="10"/>
    </row>
    <row r="71" spans="1:17" x14ac:dyDescent="0.35">
      <c r="A71" s="9"/>
      <c r="Q71" s="10"/>
    </row>
    <row r="72" spans="1:17" x14ac:dyDescent="0.35">
      <c r="A72" s="9"/>
      <c r="Q72" s="10"/>
    </row>
    <row r="73" spans="1:17" x14ac:dyDescent="0.35">
      <c r="A73" s="9"/>
      <c r="Q73" s="10"/>
    </row>
    <row r="74" spans="1:17" x14ac:dyDescent="0.35">
      <c r="A74" s="9"/>
      <c r="Q74" s="10"/>
    </row>
    <row r="75" spans="1:17" x14ac:dyDescent="0.35">
      <c r="A75" s="9"/>
      <c r="Q75" s="10"/>
    </row>
    <row r="76" spans="1:17" x14ac:dyDescent="0.35">
      <c r="A76" s="9"/>
      <c r="Q76" s="10"/>
    </row>
    <row r="77" spans="1:17" x14ac:dyDescent="0.35">
      <c r="A77" s="9"/>
      <c r="Q77" s="10"/>
    </row>
    <row r="78" spans="1:17" x14ac:dyDescent="0.35">
      <c r="A78" s="9"/>
      <c r="Q78" s="10"/>
    </row>
    <row r="79" spans="1:17" x14ac:dyDescent="0.35">
      <c r="A79" s="9"/>
      <c r="Q79" s="10"/>
    </row>
    <row r="80" spans="1:17" x14ac:dyDescent="0.35">
      <c r="A80" s="9"/>
      <c r="Q80" s="10"/>
    </row>
    <row r="81" spans="1:17" x14ac:dyDescent="0.35">
      <c r="A81" s="9"/>
      <c r="Q81" s="10"/>
    </row>
    <row r="82" spans="1:17" x14ac:dyDescent="0.35">
      <c r="A82" s="9"/>
      <c r="Q82" s="10"/>
    </row>
    <row r="83" spans="1:17" x14ac:dyDescent="0.35">
      <c r="A83" s="9"/>
      <c r="Q83" s="10"/>
    </row>
    <row r="84" spans="1:17" x14ac:dyDescent="0.35">
      <c r="A84" s="9"/>
      <c r="Q84" s="10"/>
    </row>
    <row r="85" spans="1:17" x14ac:dyDescent="0.35">
      <c r="A85" s="9"/>
      <c r="Q85" s="10"/>
    </row>
    <row r="86" spans="1:17" x14ac:dyDescent="0.35">
      <c r="A86" s="9"/>
      <c r="Q86" s="10"/>
    </row>
    <row r="87" spans="1:17" x14ac:dyDescent="0.35">
      <c r="A87" s="9"/>
      <c r="Q87" s="10"/>
    </row>
    <row r="88" spans="1:17" x14ac:dyDescent="0.35">
      <c r="A88" s="9"/>
      <c r="Q88" s="10"/>
    </row>
    <row r="89" spans="1:17" x14ac:dyDescent="0.35">
      <c r="A89" s="9"/>
      <c r="Q89" s="10"/>
    </row>
    <row r="90" spans="1:17" x14ac:dyDescent="0.35">
      <c r="A90" s="9"/>
      <c r="Q90" s="10"/>
    </row>
    <row r="91" spans="1:17" x14ac:dyDescent="0.35">
      <c r="A91" s="9"/>
      <c r="Q91" s="10"/>
    </row>
    <row r="92" spans="1:17" x14ac:dyDescent="0.35">
      <c r="A92" s="9"/>
      <c r="Q92" s="10"/>
    </row>
    <row r="93" spans="1:17" x14ac:dyDescent="0.35">
      <c r="A93" s="9"/>
      <c r="Q93" s="10"/>
    </row>
    <row r="94" spans="1:17" x14ac:dyDescent="0.35">
      <c r="A94" s="9"/>
      <c r="Q94" s="10"/>
    </row>
    <row r="95" spans="1:17" x14ac:dyDescent="0.35">
      <c r="A95" s="9"/>
      <c r="Q95" s="10"/>
    </row>
    <row r="96" spans="1:17" x14ac:dyDescent="0.35">
      <c r="A96" s="9"/>
      <c r="Q96" s="10"/>
    </row>
    <row r="97" spans="1:17" x14ac:dyDescent="0.35">
      <c r="A97" s="9"/>
      <c r="Q97" s="10"/>
    </row>
    <row r="98" spans="1:17" x14ac:dyDescent="0.35">
      <c r="A98" s="9"/>
      <c r="Q98" s="10"/>
    </row>
    <row r="99" spans="1:17" x14ac:dyDescent="0.35">
      <c r="A99" s="9"/>
      <c r="Q99" s="10"/>
    </row>
    <row r="100" spans="1:17" x14ac:dyDescent="0.35">
      <c r="A100" s="9"/>
      <c r="Q100" s="10"/>
    </row>
    <row r="101" spans="1:17" x14ac:dyDescent="0.35">
      <c r="A101" s="9"/>
      <c r="Q101" s="10"/>
    </row>
    <row r="102" spans="1:17" x14ac:dyDescent="0.35">
      <c r="A102" s="9"/>
      <c r="Q102" s="10"/>
    </row>
    <row r="103" spans="1:17" x14ac:dyDescent="0.35">
      <c r="A103" s="9"/>
      <c r="Q103" s="10"/>
    </row>
    <row r="104" spans="1:17" x14ac:dyDescent="0.35">
      <c r="A104" s="9"/>
      <c r="Q104" s="10"/>
    </row>
    <row r="105" spans="1:17" x14ac:dyDescent="0.35">
      <c r="A105" s="9"/>
      <c r="Q105" s="10"/>
    </row>
    <row r="106" spans="1:17" x14ac:dyDescent="0.35">
      <c r="A106" s="9"/>
      <c r="Q106" s="10"/>
    </row>
    <row r="107" spans="1:17" x14ac:dyDescent="0.35">
      <c r="A107" s="9"/>
      <c r="Q107" s="10"/>
    </row>
    <row r="108" spans="1:17" x14ac:dyDescent="0.35">
      <c r="A108" s="9"/>
      <c r="Q108" s="10"/>
    </row>
    <row r="109" spans="1:17" x14ac:dyDescent="0.35">
      <c r="A109" s="9"/>
      <c r="Q109" s="10"/>
    </row>
    <row r="110" spans="1:17" x14ac:dyDescent="0.35">
      <c r="A110" s="9"/>
      <c r="Q110" s="10"/>
    </row>
    <row r="111" spans="1:17" x14ac:dyDescent="0.35">
      <c r="A111" s="9"/>
      <c r="Q111" s="10"/>
    </row>
    <row r="112" spans="1:17" x14ac:dyDescent="0.35">
      <c r="A112" s="9"/>
      <c r="Q112" s="10"/>
    </row>
    <row r="113" spans="1:17" x14ac:dyDescent="0.35">
      <c r="A113" s="9"/>
      <c r="Q113" s="10"/>
    </row>
    <row r="114" spans="1:17" x14ac:dyDescent="0.35">
      <c r="A114" s="9"/>
      <c r="Q114" s="10"/>
    </row>
    <row r="115" spans="1:17" x14ac:dyDescent="0.35">
      <c r="A115" s="9"/>
      <c r="Q115" s="10"/>
    </row>
    <row r="116" spans="1:17" x14ac:dyDescent="0.35">
      <c r="A116" s="9"/>
      <c r="Q116" s="10"/>
    </row>
    <row r="117" spans="1:17" x14ac:dyDescent="0.35">
      <c r="A117" s="9"/>
      <c r="Q117" s="10"/>
    </row>
    <row r="118" spans="1:17" x14ac:dyDescent="0.35">
      <c r="A118" s="9"/>
      <c r="Q118" s="10"/>
    </row>
    <row r="119" spans="1:17" x14ac:dyDescent="0.35">
      <c r="A119" s="9"/>
      <c r="Q119" s="10"/>
    </row>
    <row r="120" spans="1:17" x14ac:dyDescent="0.35">
      <c r="A120" s="9"/>
      <c r="Q120" s="10"/>
    </row>
    <row r="121" spans="1:17" x14ac:dyDescent="0.35">
      <c r="A121" s="9"/>
      <c r="Q121" s="10"/>
    </row>
    <row r="122" spans="1:17" x14ac:dyDescent="0.35">
      <c r="A122" s="9"/>
      <c r="Q122" s="10"/>
    </row>
    <row r="123" spans="1:17" x14ac:dyDescent="0.35">
      <c r="A123" s="9"/>
      <c r="Q123" s="10"/>
    </row>
    <row r="124" spans="1:17" x14ac:dyDescent="0.35">
      <c r="A124" s="9"/>
      <c r="Q124" s="10"/>
    </row>
    <row r="125" spans="1:17" x14ac:dyDescent="0.35">
      <c r="A125" s="9"/>
      <c r="Q125" s="10"/>
    </row>
    <row r="126" spans="1:17" x14ac:dyDescent="0.35">
      <c r="A126" s="9"/>
      <c r="Q126" s="10"/>
    </row>
    <row r="127" spans="1:17" x14ac:dyDescent="0.35">
      <c r="A127" s="9"/>
      <c r="Q127" s="10"/>
    </row>
    <row r="128" spans="1:17" x14ac:dyDescent="0.35">
      <c r="A128" s="9"/>
      <c r="Q128" s="10"/>
    </row>
    <row r="129" spans="1:17" x14ac:dyDescent="0.35">
      <c r="A129" s="9"/>
      <c r="Q129" s="10"/>
    </row>
    <row r="130" spans="1:17" x14ac:dyDescent="0.35">
      <c r="A130" s="9"/>
      <c r="Q130" s="10"/>
    </row>
    <row r="131" spans="1:17" x14ac:dyDescent="0.35">
      <c r="A131" s="9"/>
      <c r="Q131" s="10"/>
    </row>
    <row r="132" spans="1:17" x14ac:dyDescent="0.35">
      <c r="A132" s="9"/>
      <c r="Q132" s="10"/>
    </row>
    <row r="133" spans="1:17" x14ac:dyDescent="0.35">
      <c r="A133" s="9"/>
      <c r="Q133" s="10"/>
    </row>
    <row r="134" spans="1:17" x14ac:dyDescent="0.35">
      <c r="A134" s="9"/>
      <c r="Q134" s="10"/>
    </row>
    <row r="135" spans="1:17" x14ac:dyDescent="0.35">
      <c r="A135" s="9"/>
      <c r="Q135" s="10"/>
    </row>
    <row r="136" spans="1:17" x14ac:dyDescent="0.35">
      <c r="A136" s="9"/>
      <c r="Q136" s="10"/>
    </row>
    <row r="137" spans="1:17" x14ac:dyDescent="0.35">
      <c r="A137" s="9"/>
      <c r="Q137" s="10"/>
    </row>
    <row r="138" spans="1:17" x14ac:dyDescent="0.35">
      <c r="A138" s="9"/>
      <c r="Q138" s="10"/>
    </row>
    <row r="139" spans="1:17" x14ac:dyDescent="0.35">
      <c r="A139" s="9"/>
      <c r="Q139" s="10"/>
    </row>
    <row r="140" spans="1:17" x14ac:dyDescent="0.35">
      <c r="A140" s="9"/>
      <c r="Q140" s="10"/>
    </row>
    <row r="141" spans="1:17" x14ac:dyDescent="0.35">
      <c r="A141" s="9"/>
      <c r="Q141" s="10"/>
    </row>
    <row r="142" spans="1:17" x14ac:dyDescent="0.35">
      <c r="A142" s="9"/>
      <c r="Q142" s="10"/>
    </row>
    <row r="143" spans="1:17" x14ac:dyDescent="0.35">
      <c r="A143" s="9"/>
      <c r="Q143" s="10"/>
    </row>
    <row r="144" spans="1:17" x14ac:dyDescent="0.35">
      <c r="A144" s="9"/>
      <c r="Q144" s="10"/>
    </row>
    <row r="145" spans="1:17" x14ac:dyDescent="0.35">
      <c r="A145" s="9"/>
      <c r="Q145" s="10"/>
    </row>
    <row r="146" spans="1:17" x14ac:dyDescent="0.35">
      <c r="A146" s="9"/>
      <c r="Q146" s="10"/>
    </row>
    <row r="147" spans="1:17" x14ac:dyDescent="0.35">
      <c r="A147" s="9"/>
      <c r="Q147" s="10"/>
    </row>
    <row r="148" spans="1:17" x14ac:dyDescent="0.35">
      <c r="A148" s="9"/>
      <c r="Q148" s="10"/>
    </row>
    <row r="149" spans="1:17" x14ac:dyDescent="0.35">
      <c r="A149" s="9"/>
      <c r="Q149" s="10"/>
    </row>
    <row r="150" spans="1:17" x14ac:dyDescent="0.35">
      <c r="A150" s="9"/>
      <c r="Q150" s="10"/>
    </row>
    <row r="151" spans="1:17" x14ac:dyDescent="0.35">
      <c r="A151" s="9"/>
      <c r="Q151" s="10"/>
    </row>
    <row r="152" spans="1:17" x14ac:dyDescent="0.35">
      <c r="A152" s="9"/>
      <c r="Q152" s="10"/>
    </row>
    <row r="153" spans="1:17" x14ac:dyDescent="0.35">
      <c r="A153" s="9"/>
      <c r="Q153" s="10"/>
    </row>
    <row r="154" spans="1:17" x14ac:dyDescent="0.35">
      <c r="A154" s="9"/>
      <c r="Q154" s="10"/>
    </row>
    <row r="155" spans="1:17" x14ac:dyDescent="0.35">
      <c r="A155" s="9"/>
      <c r="Q155" s="10"/>
    </row>
    <row r="156" spans="1:17" x14ac:dyDescent="0.35">
      <c r="A156" s="9"/>
      <c r="Q156" s="10"/>
    </row>
    <row r="157" spans="1:17" x14ac:dyDescent="0.35">
      <c r="A157" s="9"/>
      <c r="Q157" s="10"/>
    </row>
    <row r="158" spans="1:17" x14ac:dyDescent="0.35">
      <c r="A158" s="9"/>
      <c r="Q158" s="10"/>
    </row>
    <row r="159" spans="1:17" x14ac:dyDescent="0.35">
      <c r="A159" s="9"/>
      <c r="Q159" s="10"/>
    </row>
    <row r="160" spans="1:17" x14ac:dyDescent="0.35">
      <c r="A160" s="9"/>
      <c r="Q160" s="10"/>
    </row>
    <row r="161" spans="1:17" x14ac:dyDescent="0.35">
      <c r="A161" s="9"/>
      <c r="Q161" s="10"/>
    </row>
    <row r="162" spans="1:17" x14ac:dyDescent="0.35">
      <c r="A162" s="9"/>
      <c r="Q162" s="10"/>
    </row>
    <row r="163" spans="1:17" x14ac:dyDescent="0.35">
      <c r="A163" s="9"/>
      <c r="Q163" s="10"/>
    </row>
    <row r="164" spans="1:17" x14ac:dyDescent="0.35">
      <c r="A164" s="9"/>
      <c r="Q164" s="10"/>
    </row>
    <row r="165" spans="1:17" x14ac:dyDescent="0.35">
      <c r="A165" s="9"/>
      <c r="Q165" s="10"/>
    </row>
    <row r="166" spans="1:17" x14ac:dyDescent="0.35">
      <c r="A166" s="9"/>
      <c r="Q166" s="10"/>
    </row>
    <row r="167" spans="1:17" x14ac:dyDescent="0.35">
      <c r="A167" s="9"/>
      <c r="Q167" s="10"/>
    </row>
    <row r="168" spans="1:17" x14ac:dyDescent="0.35">
      <c r="A168" s="9"/>
      <c r="Q168" s="10"/>
    </row>
    <row r="169" spans="1:17" x14ac:dyDescent="0.35">
      <c r="A169" s="9"/>
      <c r="Q169" s="10"/>
    </row>
    <row r="170" spans="1:17" x14ac:dyDescent="0.35">
      <c r="A170" s="9"/>
      <c r="Q170" s="10"/>
    </row>
    <row r="171" spans="1:17" x14ac:dyDescent="0.35">
      <c r="A171" s="9"/>
      <c r="Q171" s="10"/>
    </row>
    <row r="172" spans="1:17" x14ac:dyDescent="0.35">
      <c r="A172" s="9"/>
      <c r="Q172" s="10"/>
    </row>
    <row r="173" spans="1:17" x14ac:dyDescent="0.35">
      <c r="A173" s="9"/>
      <c r="Q173" s="10"/>
    </row>
    <row r="174" spans="1:17" x14ac:dyDescent="0.35">
      <c r="A174" s="9"/>
      <c r="Q174" s="10"/>
    </row>
    <row r="175" spans="1:17" x14ac:dyDescent="0.35">
      <c r="A175" s="9"/>
      <c r="Q175" s="10"/>
    </row>
    <row r="176" spans="1:17" x14ac:dyDescent="0.35">
      <c r="A176" s="9"/>
      <c r="Q176" s="10"/>
    </row>
    <row r="177" spans="1:17" x14ac:dyDescent="0.35">
      <c r="A177" s="9"/>
      <c r="Q177" s="10"/>
    </row>
    <row r="178" spans="1:17" x14ac:dyDescent="0.35">
      <c r="A178" s="9"/>
      <c r="Q178" s="10"/>
    </row>
    <row r="179" spans="1:17" x14ac:dyDescent="0.35">
      <c r="A179" s="9"/>
      <c r="Q179" s="10"/>
    </row>
    <row r="180" spans="1:17" x14ac:dyDescent="0.35">
      <c r="A180" s="9"/>
      <c r="Q180" s="10"/>
    </row>
    <row r="181" spans="1:17" x14ac:dyDescent="0.35">
      <c r="A181" s="9"/>
      <c r="Q181" s="10"/>
    </row>
    <row r="182" spans="1:17" x14ac:dyDescent="0.35">
      <c r="A182" s="9"/>
      <c r="Q182" s="10"/>
    </row>
    <row r="183" spans="1:17" x14ac:dyDescent="0.35">
      <c r="A183" s="9"/>
      <c r="Q183" s="10"/>
    </row>
    <row r="184" spans="1:17" x14ac:dyDescent="0.35">
      <c r="A184" s="9"/>
      <c r="Q184" s="10"/>
    </row>
    <row r="185" spans="1:17" x14ac:dyDescent="0.35">
      <c r="A185" s="9"/>
      <c r="Q185" s="10"/>
    </row>
    <row r="186" spans="1:17" x14ac:dyDescent="0.35">
      <c r="A186" s="9"/>
      <c r="Q186" s="10"/>
    </row>
    <row r="187" spans="1:17" x14ac:dyDescent="0.35">
      <c r="A187" s="9"/>
      <c r="Q187" s="10"/>
    </row>
    <row r="188" spans="1:17" x14ac:dyDescent="0.35">
      <c r="A188" s="9"/>
      <c r="Q188" s="10"/>
    </row>
    <row r="189" spans="1:17" x14ac:dyDescent="0.35">
      <c r="A189" s="9"/>
      <c r="Q189" s="10"/>
    </row>
    <row r="190" spans="1:17" x14ac:dyDescent="0.35">
      <c r="A190" s="9"/>
      <c r="Q190" s="10"/>
    </row>
    <row r="191" spans="1:17" x14ac:dyDescent="0.35">
      <c r="A191" s="9"/>
      <c r="Q191" s="10"/>
    </row>
    <row r="192" spans="1:17" x14ac:dyDescent="0.35">
      <c r="A192" s="9"/>
      <c r="Q192" s="10"/>
    </row>
    <row r="193" spans="1:17" x14ac:dyDescent="0.35">
      <c r="A193" s="9"/>
      <c r="Q193" s="10"/>
    </row>
    <row r="194" spans="1:17" x14ac:dyDescent="0.35">
      <c r="A194" s="9"/>
      <c r="Q194" s="10"/>
    </row>
    <row r="195" spans="1:17" x14ac:dyDescent="0.35">
      <c r="A195" s="9"/>
      <c r="Q195" s="10"/>
    </row>
    <row r="196" spans="1:17" x14ac:dyDescent="0.35">
      <c r="A196" s="9"/>
      <c r="Q196" s="10"/>
    </row>
    <row r="197" spans="1:17" x14ac:dyDescent="0.35">
      <c r="A197" s="9"/>
      <c r="Q197" s="10"/>
    </row>
    <row r="198" spans="1:17" x14ac:dyDescent="0.35">
      <c r="A198" s="9"/>
      <c r="Q198" s="10"/>
    </row>
    <row r="199" spans="1:17" x14ac:dyDescent="0.35">
      <c r="A199" s="9"/>
      <c r="Q199" s="10"/>
    </row>
    <row r="200" spans="1:17" ht="15" thickBot="1" x14ac:dyDescent="0.4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/>
    </row>
  </sheetData>
  <mergeCells count="53">
    <mergeCell ref="G17:I17"/>
    <mergeCell ref="A3:J3"/>
    <mergeCell ref="B4:D4"/>
    <mergeCell ref="F4:H4"/>
    <mergeCell ref="A6:C6"/>
    <mergeCell ref="F6:H6"/>
    <mergeCell ref="B8:D8"/>
    <mergeCell ref="G8:I8"/>
    <mergeCell ref="B9:D9"/>
    <mergeCell ref="G9:I9"/>
    <mergeCell ref="B15:C15"/>
    <mergeCell ref="B16:C16"/>
    <mergeCell ref="G16:I16"/>
    <mergeCell ref="A41:J41"/>
    <mergeCell ref="I42:J42"/>
    <mergeCell ref="B23:G23"/>
    <mergeCell ref="A25:C25"/>
    <mergeCell ref="A27:G27"/>
    <mergeCell ref="A28:G28"/>
    <mergeCell ref="A29:G29"/>
    <mergeCell ref="A30:G30"/>
    <mergeCell ref="H50:I50"/>
    <mergeCell ref="A43:D43"/>
    <mergeCell ref="E43:J43"/>
    <mergeCell ref="A44:J44"/>
    <mergeCell ref="A45:J45"/>
    <mergeCell ref="A47:B47"/>
    <mergeCell ref="H47:I47"/>
    <mergeCell ref="A51:B51"/>
    <mergeCell ref="A52:J53"/>
    <mergeCell ref="B10:D10"/>
    <mergeCell ref="G10:I10"/>
    <mergeCell ref="B12:D12"/>
    <mergeCell ref="B17:D17"/>
    <mergeCell ref="B18:D18"/>
    <mergeCell ref="G18:I18"/>
    <mergeCell ref="A20:B20"/>
    <mergeCell ref="F20:G20"/>
    <mergeCell ref="B48:E48"/>
    <mergeCell ref="F48:G49"/>
    <mergeCell ref="H48:I48"/>
    <mergeCell ref="A49:B49"/>
    <mergeCell ref="H49:I49"/>
    <mergeCell ref="A50:B50"/>
    <mergeCell ref="A21:J21"/>
    <mergeCell ref="A22:G22"/>
    <mergeCell ref="A24:G24"/>
    <mergeCell ref="A26:G26"/>
    <mergeCell ref="A37:B37"/>
    <mergeCell ref="A31:G31"/>
    <mergeCell ref="A32:G32"/>
    <mergeCell ref="A33:G33"/>
    <mergeCell ref="A34:G34"/>
  </mergeCells>
  <dataValidations count="3">
    <dataValidation allowBlank="1" showInputMessage="1" showErrorMessage="1" prompt="Select this cell and paste the URL of your attachment in the formula bar. File must be stored on One Drive or other web server and shareable." sqref="G42" xr:uid="{0269E60F-E455-4A2A-B06B-30B07BFBA1D2}"/>
    <dataValidation allowBlank="1" showInputMessage="1" showErrorMessage="1" prompt="Enter a new purchase order number." sqref="D6" xr:uid="{8FB4B432-E7A0-4B7E-B9B1-539F0FDD120A}"/>
    <dataValidation allowBlank="1" showInputMessage="1" showErrorMessage="1" prompt="Enter a Phase Number" sqref="I6" xr:uid="{0C7C60AD-6D57-4CED-BA13-627176103B4E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547284-605F-4CAA-BA47-43CD3038B4E8}">
          <x14:formula1>
            <xm:f>Contacts!$F$2:$F$2000</xm:f>
          </x14:formula1>
          <xm:sqref>B8:D8 G16:I16 G8:I8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853D-B977-4F0D-854F-8D895BDC5AEF}">
  <dimension ref="A1:Q200"/>
  <sheetViews>
    <sheetView tabSelected="1" workbookViewId="0">
      <selection activeCell="D6" sqref="D6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14" t="str">
        <f>A6</f>
        <v>PURCHASE ORDER NUMBER:</v>
      </c>
      <c r="B1" s="15" t="str">
        <f>A8</f>
        <v>To:</v>
      </c>
      <c r="C1" s="15" t="str">
        <f>A20</f>
        <v>Delivery Required By:</v>
      </c>
      <c r="D1" s="15" t="str">
        <f>H39</f>
        <v>GRAND TOTAL:</v>
      </c>
      <c r="E1" s="15" t="str">
        <f>A51</f>
        <v>Date of Order:</v>
      </c>
      <c r="F1" s="15" t="str">
        <f>H42</f>
        <v>Cost Code:</v>
      </c>
      <c r="G1" s="15" t="str">
        <f>F42</f>
        <v>Attachments:</v>
      </c>
      <c r="H1" s="15" t="s">
        <v>0</v>
      </c>
      <c r="I1" s="15" t="s">
        <v>1</v>
      </c>
      <c r="J1" s="15" t="s">
        <v>2</v>
      </c>
      <c r="K1" s="15" t="s">
        <v>3</v>
      </c>
      <c r="L1" s="15" t="s">
        <v>4</v>
      </c>
      <c r="M1" s="15" t="str">
        <f>A50</f>
        <v>Date Signed:</v>
      </c>
      <c r="N1" s="15" t="str">
        <f>A47</f>
        <v>Acknowledged By:</v>
      </c>
      <c r="O1" s="16" t="s">
        <v>5</v>
      </c>
      <c r="P1" s="3"/>
      <c r="Q1" s="3"/>
    </row>
    <row r="2" spans="1:17" ht="15" thickBot="1" x14ac:dyDescent="0.4">
      <c r="A2" s="17">
        <f>D6</f>
        <v>0</v>
      </c>
      <c r="B2" s="18" t="str">
        <f>B8</f>
        <v>Example Supplier/Vendor</v>
      </c>
      <c r="C2" s="18">
        <f>C20</f>
        <v>0</v>
      </c>
      <c r="D2" s="18">
        <f>J39</f>
        <v>0</v>
      </c>
      <c r="E2" s="18">
        <f>D51</f>
        <v>0</v>
      </c>
      <c r="F2" s="18">
        <f>I42</f>
        <v>0</v>
      </c>
      <c r="G2" s="18">
        <f>G42</f>
        <v>0</v>
      </c>
      <c r="H2" s="18"/>
      <c r="I2" s="18"/>
      <c r="J2" s="18"/>
      <c r="K2" s="18"/>
      <c r="L2" s="18"/>
      <c r="M2" s="18"/>
      <c r="N2" s="18"/>
      <c r="O2" s="19"/>
      <c r="P2" s="3"/>
      <c r="Q2" s="3"/>
    </row>
    <row r="3" spans="1:17" ht="25" x14ac:dyDescent="0.5">
      <c r="A3" s="160" t="str">
        <f>Contacts!F4</f>
        <v>Your Company Name</v>
      </c>
      <c r="B3" s="161"/>
      <c r="C3" s="161"/>
      <c r="D3" s="161"/>
      <c r="E3" s="161"/>
      <c r="F3" s="161"/>
      <c r="G3" s="161"/>
      <c r="H3" s="161"/>
      <c r="I3" s="161"/>
      <c r="J3" s="162"/>
      <c r="K3" s="20"/>
      <c r="L3" s="20"/>
      <c r="M3" s="20"/>
      <c r="N3" s="20"/>
      <c r="O3" s="20"/>
      <c r="P3" s="7"/>
      <c r="Q3" s="8"/>
    </row>
    <row r="4" spans="1:17" ht="15.5" x14ac:dyDescent="0.35">
      <c r="A4" s="21"/>
      <c r="B4" s="163" t="str">
        <f>Contacts!L4</f>
        <v>1234 Construction Lane</v>
      </c>
      <c r="C4" s="111"/>
      <c r="D4" s="111"/>
      <c r="E4" s="22"/>
      <c r="F4" s="164" t="str">
        <f>VLOOKUP(A3,Contacts!C3:R2001, 11, FALSE) &amp; ", " &amp; VLOOKUP(A3,Contacts!C3:R2001, 12, FALSE) &amp; " " &amp; VLOOKUP(A3,Contacts!C3:R2001, 13, FALSE)</f>
        <v>Springfield, IL 62523</v>
      </c>
      <c r="G4" s="111"/>
      <c r="H4" s="111"/>
      <c r="I4" s="22"/>
      <c r="J4" s="23"/>
      <c r="K4" s="24"/>
      <c r="L4" s="24"/>
      <c r="M4" s="24"/>
      <c r="N4" s="24"/>
      <c r="O4" s="24"/>
      <c r="Q4" s="10"/>
    </row>
    <row r="5" spans="1:17" x14ac:dyDescent="0.35">
      <c r="A5" s="25"/>
      <c r="B5" s="26"/>
      <c r="C5" s="26"/>
      <c r="D5" s="27"/>
      <c r="E5" s="26"/>
      <c r="F5" s="26"/>
      <c r="G5" s="26"/>
      <c r="H5" s="26"/>
      <c r="I5" s="27"/>
      <c r="J5" s="28"/>
      <c r="K5" s="24"/>
      <c r="L5" s="24"/>
      <c r="M5" s="24"/>
      <c r="N5" s="24"/>
      <c r="O5" s="24"/>
      <c r="Q5" s="10"/>
    </row>
    <row r="6" spans="1:17" ht="15.5" x14ac:dyDescent="0.35">
      <c r="A6" s="165" t="s">
        <v>6</v>
      </c>
      <c r="B6" s="166"/>
      <c r="C6" s="166"/>
      <c r="D6" s="29"/>
      <c r="E6" s="30"/>
      <c r="F6" s="167" t="s">
        <v>7</v>
      </c>
      <c r="G6" s="168"/>
      <c r="H6" s="168"/>
      <c r="I6" s="31"/>
      <c r="J6" s="30"/>
      <c r="K6" s="24"/>
      <c r="L6" s="24"/>
      <c r="M6" s="24"/>
      <c r="N6" s="24"/>
      <c r="O6" s="24"/>
      <c r="Q6" s="10"/>
    </row>
    <row r="7" spans="1:17" x14ac:dyDescent="0.35">
      <c r="A7" s="32"/>
      <c r="B7" s="24"/>
      <c r="C7" s="24"/>
      <c r="D7" s="33"/>
      <c r="E7" s="30"/>
      <c r="F7" s="24"/>
      <c r="G7" s="24"/>
      <c r="H7" s="24"/>
      <c r="I7" s="33"/>
      <c r="J7" s="30"/>
      <c r="K7" s="24"/>
      <c r="L7" s="24"/>
      <c r="M7" s="24"/>
      <c r="N7" s="24"/>
      <c r="O7" s="24"/>
      <c r="Q7" s="10"/>
    </row>
    <row r="8" spans="1:17" x14ac:dyDescent="0.35">
      <c r="A8" s="32" t="s">
        <v>8</v>
      </c>
      <c r="B8" s="169" t="s">
        <v>9</v>
      </c>
      <c r="C8" s="169"/>
      <c r="D8" s="169"/>
      <c r="E8" s="30"/>
      <c r="F8" s="24" t="s">
        <v>10</v>
      </c>
      <c r="G8" s="169" t="s">
        <v>11</v>
      </c>
      <c r="H8" s="169"/>
      <c r="I8" s="169"/>
      <c r="J8" s="30"/>
      <c r="K8" s="24"/>
      <c r="L8" s="24"/>
      <c r="M8" s="24"/>
      <c r="N8" s="24"/>
      <c r="O8" s="24"/>
      <c r="Q8" s="10"/>
    </row>
    <row r="9" spans="1:17" x14ac:dyDescent="0.35">
      <c r="A9" s="32"/>
      <c r="B9" s="126" t="str">
        <f>VLOOKUP(B8,Contacts!C3:R2001,10,FALSE)</f>
        <v>440 North Industrial Drive</v>
      </c>
      <c r="C9" s="126"/>
      <c r="D9" s="126"/>
      <c r="E9" s="30"/>
      <c r="F9" s="24"/>
      <c r="G9" s="126" t="str">
        <f>VLOOKUP(G8,Contacts!C3:W2001,10,FALSE)</f>
        <v>101 Enterprise Dr</v>
      </c>
      <c r="H9" s="126"/>
      <c r="I9" s="126"/>
      <c r="J9" s="30"/>
      <c r="K9" s="24"/>
      <c r="L9" s="24"/>
      <c r="M9" s="24"/>
      <c r="N9" s="24"/>
      <c r="O9" s="24"/>
      <c r="Q9" s="10"/>
    </row>
    <row r="10" spans="1:17" x14ac:dyDescent="0.35">
      <c r="A10" s="32"/>
      <c r="B10" s="126" t="str">
        <f>VLOOKUP(B8,Contacts!C3:R2001, 11, FALSE) &amp; ", " &amp; VLOOKUP(B8,Contacts!C3:R2001, 12, FALSE) &amp; " " &amp; VLOOKUP(B8,Contacts!C3:R2001, 13, FALSE)</f>
        <v>Springfield, IL 62523</v>
      </c>
      <c r="C10" s="127"/>
      <c r="D10" s="127"/>
      <c r="E10" s="30"/>
      <c r="F10" s="24"/>
      <c r="G10" s="126" t="str">
        <f>VLOOKUP(G8,Contacts!C3:R2001, 11, FALSE) &amp; ", " &amp; VLOOKUP(G8,Contacts!C3:R2001, 12, FALSE) &amp; " " &amp; VLOOKUP(G8,Contacts!C3:R2001, 13, FALSE)</f>
        <v>Springfield, Illinois 62523</v>
      </c>
      <c r="H10" s="127"/>
      <c r="I10" s="127"/>
      <c r="J10" s="30"/>
      <c r="K10" s="24"/>
      <c r="L10" s="24"/>
      <c r="M10" s="24"/>
      <c r="N10" s="24"/>
      <c r="O10" s="24"/>
      <c r="Q10" s="10"/>
    </row>
    <row r="11" spans="1:17" x14ac:dyDescent="0.35">
      <c r="A11" s="32"/>
      <c r="B11" s="35"/>
      <c r="C11" s="35"/>
      <c r="D11" s="35"/>
      <c r="E11" s="30"/>
      <c r="F11" s="24"/>
      <c r="G11" s="36"/>
      <c r="H11" s="24"/>
      <c r="I11" s="24"/>
      <c r="J11" s="30"/>
      <c r="K11" s="24"/>
      <c r="L11" s="24"/>
      <c r="M11" s="24"/>
      <c r="N11" s="24"/>
      <c r="O11" s="24"/>
      <c r="Q11" s="10"/>
    </row>
    <row r="12" spans="1:17" x14ac:dyDescent="0.35">
      <c r="A12" s="32" t="s">
        <v>12</v>
      </c>
      <c r="B12" s="126" t="str">
        <f>VLOOKUP(B8,Contacts!$C$3:$R2001,2,FALSE)</f>
        <v>Michael Jordan</v>
      </c>
      <c r="C12" s="127"/>
      <c r="D12" s="127"/>
      <c r="E12" s="30"/>
      <c r="F12" s="24"/>
      <c r="G12" s="24"/>
      <c r="H12" s="24"/>
      <c r="I12" s="24"/>
      <c r="J12" s="30"/>
      <c r="K12" s="24"/>
      <c r="L12" s="24"/>
      <c r="M12" s="24"/>
      <c r="N12" s="24"/>
      <c r="O12" s="24"/>
      <c r="Q12" s="10"/>
    </row>
    <row r="13" spans="1:17" x14ac:dyDescent="0.35">
      <c r="A13" s="32"/>
      <c r="B13" s="36"/>
      <c r="C13" s="36"/>
      <c r="D13" s="36"/>
      <c r="E13" s="30"/>
      <c r="F13" s="24" t="s">
        <v>13</v>
      </c>
      <c r="G13" s="37" t="s">
        <v>14</v>
      </c>
      <c r="H13" s="36"/>
      <c r="I13" s="24"/>
      <c r="J13" s="30"/>
      <c r="K13" s="24"/>
      <c r="L13" s="24"/>
      <c r="M13" s="24"/>
      <c r="N13" s="24"/>
      <c r="O13" s="24"/>
      <c r="Q13" s="10"/>
    </row>
    <row r="14" spans="1:17" x14ac:dyDescent="0.35">
      <c r="A14" s="32"/>
      <c r="B14" s="36"/>
      <c r="C14" s="36"/>
      <c r="D14" s="36"/>
      <c r="E14" s="30"/>
      <c r="F14" s="24"/>
      <c r="G14" s="24" t="s">
        <v>15</v>
      </c>
      <c r="H14" s="36"/>
      <c r="I14" s="24"/>
      <c r="J14" s="30"/>
      <c r="K14" s="24"/>
      <c r="L14" s="24"/>
      <c r="M14" s="24"/>
      <c r="N14" s="24"/>
      <c r="O14" s="24"/>
      <c r="Q14" s="10"/>
    </row>
    <row r="15" spans="1:17" x14ac:dyDescent="0.35">
      <c r="A15" s="32" t="s">
        <v>16</v>
      </c>
      <c r="B15" s="170" t="str">
        <f>VLOOKUP(B8,Contacts!$C$3:$CQ$4044,8,FALSE)</f>
        <v>(555) 555-1733</v>
      </c>
      <c r="C15" s="126"/>
      <c r="D15" s="35"/>
      <c r="E15" s="30"/>
      <c r="F15" s="24" t="s">
        <v>17</v>
      </c>
      <c r="G15" s="24"/>
      <c r="H15" s="24"/>
      <c r="I15" s="24"/>
      <c r="J15" s="30"/>
      <c r="K15" s="24"/>
      <c r="L15" s="24"/>
      <c r="M15" s="24"/>
      <c r="N15" s="24"/>
      <c r="O15" s="24"/>
      <c r="Q15" s="10"/>
    </row>
    <row r="16" spans="1:17" x14ac:dyDescent="0.35">
      <c r="A16" s="32" t="s">
        <v>18</v>
      </c>
      <c r="B16" s="170" t="str">
        <f>VLOOKUP(B8,Contacts!$C$3:$CQ$4044,9,FALSE)</f>
        <v>(555) 555-9790</v>
      </c>
      <c r="C16" s="126"/>
      <c r="D16" s="35"/>
      <c r="E16" s="30"/>
      <c r="F16" s="24"/>
      <c r="G16" s="169" t="s">
        <v>19</v>
      </c>
      <c r="H16" s="169"/>
      <c r="I16" s="169"/>
      <c r="J16" s="30"/>
      <c r="K16" s="24"/>
      <c r="L16" s="24"/>
      <c r="M16" s="24"/>
      <c r="N16" s="24"/>
      <c r="O16" s="24"/>
      <c r="Q16" s="10"/>
    </row>
    <row r="17" spans="1:17" x14ac:dyDescent="0.35">
      <c r="A17" s="32" t="s">
        <v>20</v>
      </c>
      <c r="B17" s="128" t="str">
        <f>VLOOKUP(B8,Contacts!$C$3:$CQ$4044,16,FALSE)</f>
        <v>mjordan@examplesupplier.com</v>
      </c>
      <c r="C17" s="108"/>
      <c r="D17" s="108"/>
      <c r="E17" s="30"/>
      <c r="F17" s="24"/>
      <c r="G17" s="126" t="str">
        <f>VLOOKUP(G16,Contacts!C3:W2009,10,FALSE)</f>
        <v>1234 Construction Lane</v>
      </c>
      <c r="H17" s="126"/>
      <c r="I17" s="126"/>
      <c r="J17" s="30"/>
      <c r="K17" s="24"/>
      <c r="L17" s="24"/>
      <c r="M17" s="24"/>
      <c r="N17" s="24"/>
      <c r="O17" s="24"/>
      <c r="Q17" s="10"/>
    </row>
    <row r="18" spans="1:17" x14ac:dyDescent="0.35">
      <c r="A18" s="32" t="s">
        <v>21</v>
      </c>
      <c r="B18" s="128" t="s">
        <v>22</v>
      </c>
      <c r="C18" s="108"/>
      <c r="D18" s="108"/>
      <c r="E18" s="30"/>
      <c r="F18" s="24"/>
      <c r="G18" s="126" t="str">
        <f>VLOOKUP(G16,Contacts!C3:R2001, 11, FALSE) &amp; ", " &amp; VLOOKUP(G16,Contacts!C3:R2001, 12, FALSE) &amp; " " &amp; VLOOKUP(G16,Contacts!C3:R2001, 13, FALSE)</f>
        <v>Springfield, IL 62523</v>
      </c>
      <c r="H18" s="127"/>
      <c r="I18" s="127"/>
      <c r="J18" s="30"/>
      <c r="K18" s="24"/>
      <c r="L18" s="24"/>
      <c r="M18" s="24"/>
      <c r="N18" s="24"/>
      <c r="O18" s="24"/>
      <c r="Q18" s="10"/>
    </row>
    <row r="19" spans="1:17" x14ac:dyDescent="0.35">
      <c r="A19" s="32"/>
      <c r="B19" s="24"/>
      <c r="C19" s="24"/>
      <c r="D19" s="24"/>
      <c r="E19" s="30"/>
      <c r="F19" s="24"/>
      <c r="G19" s="36"/>
      <c r="H19" s="24"/>
      <c r="I19" s="24"/>
      <c r="J19" s="30"/>
      <c r="K19" s="24"/>
      <c r="L19" s="24"/>
      <c r="M19" s="24"/>
      <c r="N19" s="24"/>
      <c r="O19" s="24"/>
      <c r="Q19" s="10"/>
    </row>
    <row r="20" spans="1:17" x14ac:dyDescent="0.35">
      <c r="A20" s="129" t="s">
        <v>23</v>
      </c>
      <c r="B20" s="112"/>
      <c r="C20" s="34"/>
      <c r="D20" s="24"/>
      <c r="E20" s="38" t="s">
        <v>24</v>
      </c>
      <c r="F20" s="130" t="s">
        <v>25</v>
      </c>
      <c r="G20" s="105"/>
      <c r="H20" s="39" t="s">
        <v>26</v>
      </c>
      <c r="I20" s="39"/>
      <c r="J20" s="34" t="s">
        <v>27</v>
      </c>
      <c r="K20" s="24"/>
      <c r="L20" s="24"/>
      <c r="M20" s="24"/>
      <c r="N20" s="24"/>
      <c r="O20" s="24"/>
      <c r="Q20" s="10"/>
    </row>
    <row r="21" spans="1:17" ht="15.5" x14ac:dyDescent="0.35">
      <c r="A21" s="103"/>
      <c r="B21" s="104"/>
      <c r="C21" s="104"/>
      <c r="D21" s="104"/>
      <c r="E21" s="104"/>
      <c r="F21" s="104"/>
      <c r="G21" s="104"/>
      <c r="H21" s="104"/>
      <c r="I21" s="104"/>
      <c r="J21" s="105"/>
      <c r="K21" s="24"/>
      <c r="L21" s="24"/>
      <c r="M21" s="24"/>
      <c r="N21" s="24"/>
      <c r="O21" s="24"/>
      <c r="Q21" s="10"/>
    </row>
    <row r="22" spans="1:17" x14ac:dyDescent="0.35">
      <c r="A22" s="106" t="s">
        <v>28</v>
      </c>
      <c r="B22" s="104"/>
      <c r="C22" s="104"/>
      <c r="D22" s="104"/>
      <c r="E22" s="104"/>
      <c r="F22" s="104"/>
      <c r="G22" s="105"/>
      <c r="H22" s="40" t="s">
        <v>29</v>
      </c>
      <c r="I22" s="40" t="s">
        <v>30</v>
      </c>
      <c r="J22" s="40" t="s">
        <v>31</v>
      </c>
      <c r="K22" s="24"/>
      <c r="L22" s="24"/>
      <c r="M22" s="24"/>
      <c r="N22" s="24"/>
      <c r="O22" s="24"/>
      <c r="Q22" s="10"/>
    </row>
    <row r="23" spans="1:17" ht="15.5" x14ac:dyDescent="0.35">
      <c r="A23" s="41" t="s">
        <v>32</v>
      </c>
      <c r="B23" s="155" t="str">
        <f>Contacts!F5</f>
        <v xml:space="preserve"> Project Name</v>
      </c>
      <c r="C23" s="156"/>
      <c r="D23" s="156"/>
      <c r="E23" s="156"/>
      <c r="F23" s="156"/>
      <c r="G23" s="157"/>
      <c r="H23" s="43"/>
      <c r="I23" s="44"/>
      <c r="J23" s="45"/>
      <c r="K23" s="24"/>
      <c r="L23" s="24"/>
      <c r="M23" s="24"/>
      <c r="N23" s="24"/>
      <c r="O23" s="24"/>
      <c r="Q23" s="10"/>
    </row>
    <row r="24" spans="1:17" x14ac:dyDescent="0.35">
      <c r="A24" s="107" t="s">
        <v>34</v>
      </c>
      <c r="B24" s="108"/>
      <c r="C24" s="108"/>
      <c r="D24" s="108"/>
      <c r="E24" s="108"/>
      <c r="F24" s="108"/>
      <c r="G24" s="109"/>
      <c r="H24" s="46"/>
      <c r="I24" s="47"/>
      <c r="J24" s="48"/>
      <c r="K24" s="24"/>
      <c r="L24" s="24"/>
      <c r="M24" s="24"/>
      <c r="N24" s="24"/>
      <c r="O24" s="24"/>
      <c r="Q24" s="10"/>
    </row>
    <row r="25" spans="1:17" x14ac:dyDescent="0.35">
      <c r="A25" s="158" t="str">
        <f>Contacts!F6</f>
        <v xml:space="preserve"> A/E / Developer</v>
      </c>
      <c r="B25" s="159"/>
      <c r="C25" s="159"/>
      <c r="D25" s="49"/>
      <c r="E25" s="50"/>
      <c r="F25" s="51"/>
      <c r="G25" s="52"/>
      <c r="H25" s="53" t="s">
        <v>35</v>
      </c>
      <c r="I25" s="54"/>
      <c r="J25" s="55"/>
      <c r="K25" s="24"/>
      <c r="L25" s="24"/>
      <c r="M25" s="24"/>
      <c r="N25" s="24"/>
      <c r="O25" s="24"/>
      <c r="Q25" s="10"/>
    </row>
    <row r="26" spans="1:17" x14ac:dyDescent="0.35">
      <c r="A26" s="110" t="s">
        <v>36</v>
      </c>
      <c r="B26" s="111"/>
      <c r="C26" s="111"/>
      <c r="D26" s="111"/>
      <c r="E26" s="111"/>
      <c r="F26" s="111"/>
      <c r="G26" s="112"/>
      <c r="H26" s="46"/>
      <c r="I26" s="47"/>
      <c r="J26" s="48"/>
      <c r="K26" s="24"/>
      <c r="L26" s="24"/>
      <c r="M26" s="24"/>
      <c r="N26" s="24"/>
      <c r="O26" s="24"/>
      <c r="Q26" s="10"/>
    </row>
    <row r="27" spans="1:17" x14ac:dyDescent="0.35">
      <c r="A27" s="114"/>
      <c r="B27" s="115"/>
      <c r="C27" s="115"/>
      <c r="D27" s="115"/>
      <c r="E27" s="115"/>
      <c r="F27" s="115"/>
      <c r="G27" s="115"/>
      <c r="H27" s="56"/>
      <c r="I27" s="56"/>
      <c r="J27" s="57">
        <f t="shared" ref="J27:J33" si="0">H27*I27</f>
        <v>0</v>
      </c>
      <c r="K27" s="24"/>
      <c r="L27" s="24"/>
      <c r="M27" s="24"/>
      <c r="N27" s="24"/>
      <c r="O27" s="24"/>
      <c r="Q27" s="10"/>
    </row>
    <row r="28" spans="1:17" x14ac:dyDescent="0.35">
      <c r="A28" s="114"/>
      <c r="B28" s="115"/>
      <c r="C28" s="115"/>
      <c r="D28" s="115"/>
      <c r="E28" s="115"/>
      <c r="F28" s="115"/>
      <c r="G28" s="115"/>
      <c r="H28" s="56"/>
      <c r="I28" s="56"/>
      <c r="J28" s="57">
        <f t="shared" si="0"/>
        <v>0</v>
      </c>
      <c r="K28" s="24"/>
      <c r="L28" s="24"/>
      <c r="M28" s="24"/>
      <c r="N28" s="24"/>
      <c r="O28" s="24"/>
      <c r="Q28" s="10"/>
    </row>
    <row r="29" spans="1:17" x14ac:dyDescent="0.35">
      <c r="A29" s="114"/>
      <c r="B29" s="115"/>
      <c r="C29" s="115"/>
      <c r="D29" s="115"/>
      <c r="E29" s="115"/>
      <c r="F29" s="115"/>
      <c r="G29" s="115"/>
      <c r="H29" s="56"/>
      <c r="I29" s="56"/>
      <c r="J29" s="57">
        <f t="shared" si="0"/>
        <v>0</v>
      </c>
      <c r="K29" s="24"/>
      <c r="L29" s="24"/>
      <c r="M29" s="24"/>
      <c r="N29" s="24"/>
      <c r="O29" s="24"/>
      <c r="Q29" s="10"/>
    </row>
    <row r="30" spans="1:17" x14ac:dyDescent="0.35">
      <c r="A30" s="114"/>
      <c r="B30" s="115"/>
      <c r="C30" s="115"/>
      <c r="D30" s="115"/>
      <c r="E30" s="115"/>
      <c r="F30" s="115"/>
      <c r="G30" s="115"/>
      <c r="H30" s="56"/>
      <c r="I30" s="56"/>
      <c r="J30" s="57">
        <f t="shared" si="0"/>
        <v>0</v>
      </c>
      <c r="K30" s="24"/>
      <c r="L30" s="24"/>
      <c r="M30" s="24"/>
      <c r="N30" s="24"/>
      <c r="O30" s="24"/>
      <c r="Q30" s="10"/>
    </row>
    <row r="31" spans="1:17" x14ac:dyDescent="0.35">
      <c r="A31" s="114"/>
      <c r="B31" s="115"/>
      <c r="C31" s="115"/>
      <c r="D31" s="115"/>
      <c r="E31" s="115"/>
      <c r="F31" s="115"/>
      <c r="G31" s="115"/>
      <c r="H31" s="56"/>
      <c r="I31" s="56"/>
      <c r="J31" s="57">
        <f t="shared" si="0"/>
        <v>0</v>
      </c>
      <c r="K31" s="24"/>
      <c r="L31" s="24"/>
      <c r="M31" s="24"/>
      <c r="N31" s="24"/>
      <c r="O31" s="24"/>
      <c r="Q31" s="10"/>
    </row>
    <row r="32" spans="1:17" x14ac:dyDescent="0.35">
      <c r="A32" s="114"/>
      <c r="B32" s="115"/>
      <c r="C32" s="115"/>
      <c r="D32" s="115"/>
      <c r="E32" s="115"/>
      <c r="F32" s="115"/>
      <c r="G32" s="115"/>
      <c r="H32" s="56"/>
      <c r="I32" s="56"/>
      <c r="J32" s="57">
        <f t="shared" si="0"/>
        <v>0</v>
      </c>
      <c r="K32" s="24"/>
      <c r="L32" s="24"/>
      <c r="M32" s="24"/>
      <c r="N32" s="24"/>
      <c r="O32" s="24"/>
      <c r="Q32" s="10"/>
    </row>
    <row r="33" spans="1:17" x14ac:dyDescent="0.35">
      <c r="A33" s="114"/>
      <c r="B33" s="115"/>
      <c r="C33" s="115"/>
      <c r="D33" s="115"/>
      <c r="E33" s="115"/>
      <c r="F33" s="115"/>
      <c r="G33" s="115"/>
      <c r="H33" s="56"/>
      <c r="I33" s="56"/>
      <c r="J33" s="57">
        <f t="shared" si="0"/>
        <v>0</v>
      </c>
      <c r="K33" s="24"/>
      <c r="L33" s="24"/>
      <c r="M33" s="24"/>
      <c r="N33" s="24"/>
      <c r="O33" s="24"/>
      <c r="Q33" s="10"/>
    </row>
    <row r="34" spans="1:17" x14ac:dyDescent="0.35">
      <c r="A34" s="116"/>
      <c r="B34" s="117"/>
      <c r="C34" s="117"/>
      <c r="D34" s="117"/>
      <c r="E34" s="117"/>
      <c r="F34" s="117"/>
      <c r="G34" s="118"/>
      <c r="H34" s="46"/>
      <c r="I34" s="47"/>
      <c r="J34" s="59"/>
      <c r="K34" s="24"/>
      <c r="L34" s="24"/>
      <c r="M34" s="24"/>
      <c r="N34" s="24"/>
      <c r="O34" s="24"/>
      <c r="Q34" s="10"/>
    </row>
    <row r="35" spans="1:17" x14ac:dyDescent="0.35">
      <c r="A35" s="32"/>
      <c r="B35" s="58"/>
      <c r="C35" s="36"/>
      <c r="D35" s="24"/>
      <c r="E35" s="24"/>
      <c r="F35" s="24"/>
      <c r="G35" s="36"/>
      <c r="H35" s="46"/>
      <c r="I35" s="47"/>
      <c r="J35" s="59"/>
      <c r="K35" s="24"/>
      <c r="L35" s="24"/>
      <c r="M35" s="24"/>
      <c r="N35" s="24"/>
      <c r="O35" s="24"/>
      <c r="Q35" s="10"/>
    </row>
    <row r="36" spans="1:17" x14ac:dyDescent="0.35">
      <c r="A36" s="32"/>
      <c r="B36" s="24"/>
      <c r="C36" s="24"/>
      <c r="D36" s="24"/>
      <c r="E36" s="24"/>
      <c r="F36" s="24"/>
      <c r="G36" s="36" t="s">
        <v>37</v>
      </c>
      <c r="H36" s="46"/>
      <c r="I36" s="47"/>
      <c r="J36" s="48">
        <f>SUM(J27:J33)</f>
        <v>0</v>
      </c>
      <c r="K36" s="24"/>
      <c r="L36" s="24"/>
      <c r="M36" s="24"/>
      <c r="N36" s="24"/>
      <c r="O36" s="24"/>
      <c r="Q36" s="10"/>
    </row>
    <row r="37" spans="1:17" x14ac:dyDescent="0.35">
      <c r="A37" s="113" t="s">
        <v>38</v>
      </c>
      <c r="B37" s="108"/>
      <c r="C37" s="24"/>
      <c r="D37" s="24"/>
      <c r="E37" s="24"/>
      <c r="F37" s="24"/>
      <c r="G37" s="36"/>
      <c r="H37" s="46"/>
      <c r="I37" s="47"/>
      <c r="J37" s="48"/>
      <c r="K37" s="24"/>
      <c r="L37" s="24"/>
      <c r="M37" s="24"/>
      <c r="N37" s="24"/>
      <c r="O37" s="24"/>
      <c r="Q37" s="10"/>
    </row>
    <row r="38" spans="1:17" x14ac:dyDescent="0.35">
      <c r="A38" s="61"/>
      <c r="B38" s="34"/>
      <c r="C38" s="24"/>
      <c r="D38" s="24"/>
      <c r="E38" s="24"/>
      <c r="F38" s="24"/>
      <c r="G38" s="24"/>
      <c r="H38" s="62"/>
      <c r="I38" s="63"/>
      <c r="J38" s="64"/>
      <c r="K38" s="24"/>
      <c r="L38" s="24"/>
      <c r="M38" s="24"/>
      <c r="N38" s="24"/>
      <c r="O38" s="24"/>
      <c r="Q38" s="10"/>
    </row>
    <row r="39" spans="1:17" ht="15" thickBot="1" x14ac:dyDescent="0.4">
      <c r="A39" s="32"/>
      <c r="B39" s="24"/>
      <c r="C39" s="24"/>
      <c r="D39" s="24"/>
      <c r="E39" s="24"/>
      <c r="F39" s="24"/>
      <c r="G39" s="24"/>
      <c r="H39" s="65" t="s">
        <v>39</v>
      </c>
      <c r="I39" s="66"/>
      <c r="J39" s="67">
        <f>SUM(J36)</f>
        <v>0</v>
      </c>
      <c r="K39" s="24"/>
      <c r="L39" s="24"/>
      <c r="M39" s="24"/>
      <c r="N39" s="24"/>
      <c r="O39" s="24"/>
      <c r="Q39" s="10"/>
    </row>
    <row r="40" spans="1:17" ht="15.5" thickTop="1" thickBot="1" x14ac:dyDescent="0.4">
      <c r="A40" s="32" t="s">
        <v>35</v>
      </c>
      <c r="B40" s="24"/>
      <c r="C40" s="24"/>
      <c r="D40" s="24"/>
      <c r="E40" s="24"/>
      <c r="F40" s="24"/>
      <c r="G40" s="24"/>
      <c r="H40" s="24"/>
      <c r="I40" s="24"/>
      <c r="J40" s="30"/>
      <c r="K40" s="24"/>
      <c r="L40" s="24"/>
      <c r="M40" s="24"/>
      <c r="N40" s="24"/>
      <c r="O40" s="24"/>
      <c r="Q40" s="10"/>
    </row>
    <row r="41" spans="1:17" ht="15.5" thickTop="1" thickBot="1" x14ac:dyDescent="0.4">
      <c r="A41" s="147" t="s">
        <v>40</v>
      </c>
      <c r="B41" s="148"/>
      <c r="C41" s="148"/>
      <c r="D41" s="148"/>
      <c r="E41" s="148"/>
      <c r="F41" s="148"/>
      <c r="G41" s="140"/>
      <c r="H41" s="148"/>
      <c r="I41" s="140"/>
      <c r="J41" s="153"/>
      <c r="K41" s="24"/>
      <c r="L41" s="24"/>
      <c r="M41" s="24"/>
      <c r="N41" s="24"/>
      <c r="O41" s="24"/>
      <c r="Q41" s="10"/>
    </row>
    <row r="42" spans="1:17" ht="15.5" thickTop="1" thickBot="1" x14ac:dyDescent="0.4">
      <c r="A42" s="68" t="s">
        <v>41</v>
      </c>
      <c r="B42" s="69"/>
      <c r="C42" s="69"/>
      <c r="D42" s="69"/>
      <c r="E42" s="69"/>
      <c r="F42" s="69" t="s">
        <v>42</v>
      </c>
      <c r="G42" s="70"/>
      <c r="H42" s="69" t="s">
        <v>43</v>
      </c>
      <c r="I42" s="154"/>
      <c r="J42" s="154"/>
      <c r="K42" s="24"/>
      <c r="L42" s="24"/>
      <c r="M42" s="24"/>
      <c r="N42" s="24"/>
      <c r="O42" s="24"/>
      <c r="Q42" s="10"/>
    </row>
    <row r="43" spans="1:17" ht="15" thickTop="1" x14ac:dyDescent="0.35">
      <c r="A43" s="139" t="s">
        <v>44</v>
      </c>
      <c r="B43" s="140"/>
      <c r="C43" s="140"/>
      <c r="D43" s="140"/>
      <c r="E43" s="141" t="str">
        <f>Contacts!F4</f>
        <v>Your Company Name</v>
      </c>
      <c r="F43" s="141"/>
      <c r="G43" s="117"/>
      <c r="H43" s="140"/>
      <c r="I43" s="142"/>
      <c r="J43" s="143"/>
      <c r="K43" s="24"/>
      <c r="L43" s="24"/>
      <c r="M43" s="24"/>
      <c r="N43" s="24"/>
      <c r="O43" s="24"/>
      <c r="Q43" s="10"/>
    </row>
    <row r="44" spans="1:17" ht="15" thickBot="1" x14ac:dyDescent="0.4">
      <c r="A44" s="144" t="s">
        <v>35</v>
      </c>
      <c r="B44" s="145"/>
      <c r="C44" s="145"/>
      <c r="D44" s="145"/>
      <c r="E44" s="145"/>
      <c r="F44" s="145"/>
      <c r="G44" s="145"/>
      <c r="H44" s="145"/>
      <c r="I44" s="145"/>
      <c r="J44" s="146"/>
      <c r="K44" s="24"/>
      <c r="L44" s="24"/>
      <c r="M44" s="24"/>
      <c r="N44" s="24"/>
      <c r="O44" s="24"/>
      <c r="Q44" s="10"/>
    </row>
    <row r="45" spans="1:17" ht="15.5" thickTop="1" thickBot="1" x14ac:dyDescent="0.4">
      <c r="A45" s="147" t="s">
        <v>45</v>
      </c>
      <c r="B45" s="148"/>
      <c r="C45" s="148"/>
      <c r="D45" s="148"/>
      <c r="E45" s="148"/>
      <c r="F45" s="148"/>
      <c r="G45" s="148"/>
      <c r="H45" s="148"/>
      <c r="I45" s="148"/>
      <c r="J45" s="149"/>
      <c r="K45" s="24"/>
      <c r="L45" s="24"/>
      <c r="M45" s="24"/>
      <c r="N45" s="24"/>
      <c r="O45" s="24"/>
      <c r="Q45" s="10"/>
    </row>
    <row r="46" spans="1:17" ht="15" thickTop="1" x14ac:dyDescent="0.35">
      <c r="A46" s="32"/>
      <c r="B46" s="24"/>
      <c r="C46" s="24"/>
      <c r="D46" s="24"/>
      <c r="E46" s="24"/>
      <c r="F46" s="24"/>
      <c r="G46" s="24"/>
      <c r="H46" s="24"/>
      <c r="I46" s="24"/>
      <c r="J46" s="30"/>
      <c r="K46" s="24"/>
      <c r="L46" s="24"/>
      <c r="M46" s="24"/>
      <c r="N46" s="24"/>
      <c r="O46" s="24"/>
      <c r="Q46" s="10"/>
    </row>
    <row r="47" spans="1:17" ht="21" x14ac:dyDescent="0.5">
      <c r="A47" s="150" t="s">
        <v>46</v>
      </c>
      <c r="B47" s="108"/>
      <c r="C47" s="24"/>
      <c r="D47" s="18"/>
      <c r="E47" s="24"/>
      <c r="F47" s="24" t="s">
        <v>47</v>
      </c>
      <c r="G47" s="24"/>
      <c r="H47" s="151" t="str">
        <f>VLOOKUP(F48,Contacts!C3:R2001,2,FALSE)</f>
        <v>Your Name</v>
      </c>
      <c r="I47" s="152"/>
      <c r="J47" s="71"/>
      <c r="K47" s="24"/>
      <c r="L47" s="24"/>
      <c r="M47" s="24"/>
      <c r="N47" s="24"/>
      <c r="O47" s="24"/>
      <c r="Q47" s="10"/>
    </row>
    <row r="48" spans="1:17" x14ac:dyDescent="0.35">
      <c r="A48" s="60" t="s">
        <v>48</v>
      </c>
      <c r="B48" s="131" t="str">
        <f>B8</f>
        <v>Example Supplier/Vendor</v>
      </c>
      <c r="C48" s="132"/>
      <c r="D48" s="132"/>
      <c r="E48" s="132"/>
      <c r="F48" s="133" t="str">
        <f>Contacts!F4</f>
        <v>Your Company Name</v>
      </c>
      <c r="G48" s="134"/>
      <c r="H48" s="130"/>
      <c r="I48" s="104"/>
      <c r="J48" s="30"/>
      <c r="K48" s="24"/>
      <c r="L48" s="24"/>
      <c r="M48" s="24"/>
      <c r="N48" s="24"/>
      <c r="O48" s="24"/>
      <c r="Q48" s="10"/>
    </row>
    <row r="49" spans="1:17" x14ac:dyDescent="0.35">
      <c r="A49" s="113" t="s">
        <v>49</v>
      </c>
      <c r="B49" s="108"/>
      <c r="C49" s="24"/>
      <c r="D49" s="72"/>
      <c r="E49" s="24"/>
      <c r="F49" s="134"/>
      <c r="G49" s="134"/>
      <c r="H49" s="135"/>
      <c r="I49" s="136"/>
      <c r="J49" s="30"/>
      <c r="K49" s="24"/>
      <c r="L49" s="24"/>
      <c r="M49" s="24"/>
      <c r="N49" s="24"/>
      <c r="O49" s="24"/>
      <c r="Q49" s="10"/>
    </row>
    <row r="50" spans="1:17" x14ac:dyDescent="0.35">
      <c r="A50" s="113" t="s">
        <v>50</v>
      </c>
      <c r="B50" s="108"/>
      <c r="C50" s="24"/>
      <c r="D50" s="73"/>
      <c r="E50" s="24"/>
      <c r="F50" s="24"/>
      <c r="G50" s="24"/>
      <c r="H50" s="137" t="s">
        <v>51</v>
      </c>
      <c r="I50" s="138"/>
      <c r="J50" s="30"/>
      <c r="K50" s="24"/>
      <c r="L50" s="24"/>
      <c r="M50" s="24"/>
      <c r="N50" s="24"/>
      <c r="O50" s="24"/>
      <c r="Q50" s="10"/>
    </row>
    <row r="51" spans="1:17" x14ac:dyDescent="0.35">
      <c r="A51" s="119" t="s">
        <v>52</v>
      </c>
      <c r="B51" s="111"/>
      <c r="C51" s="18" t="s">
        <v>35</v>
      </c>
      <c r="D51" s="74"/>
      <c r="E51" s="18"/>
      <c r="F51" s="18"/>
      <c r="G51" s="18"/>
      <c r="H51" s="18"/>
      <c r="I51" s="18"/>
      <c r="J51" s="19"/>
      <c r="K51" s="24"/>
      <c r="L51" s="24"/>
      <c r="M51" s="24"/>
      <c r="N51" s="24"/>
      <c r="O51" s="24"/>
      <c r="Q51" s="10"/>
    </row>
    <row r="52" spans="1:17" ht="14.5" customHeight="1" x14ac:dyDescent="0.35">
      <c r="A52" s="120" t="s">
        <v>53</v>
      </c>
      <c r="B52" s="121"/>
      <c r="C52" s="121"/>
      <c r="D52" s="121"/>
      <c r="E52" s="121"/>
      <c r="F52" s="121"/>
      <c r="G52" s="121"/>
      <c r="H52" s="121"/>
      <c r="I52" s="121"/>
      <c r="J52" s="122"/>
      <c r="K52" s="24"/>
      <c r="L52" s="24"/>
      <c r="M52" s="24"/>
      <c r="N52" s="24"/>
      <c r="O52" s="24"/>
      <c r="Q52" s="10"/>
    </row>
    <row r="53" spans="1:17" x14ac:dyDescent="0.35">
      <c r="A53" s="123"/>
      <c r="B53" s="124"/>
      <c r="C53" s="124"/>
      <c r="D53" s="124"/>
      <c r="E53" s="124"/>
      <c r="F53" s="124"/>
      <c r="G53" s="124"/>
      <c r="H53" s="124"/>
      <c r="I53" s="124"/>
      <c r="J53" s="125"/>
      <c r="K53" s="24"/>
      <c r="L53" s="24"/>
      <c r="M53" s="24"/>
      <c r="N53" s="24"/>
      <c r="O53" s="24"/>
      <c r="Q53" s="10"/>
    </row>
    <row r="54" spans="1:17" x14ac:dyDescent="0.35">
      <c r="A54" s="9"/>
      <c r="Q54" s="10"/>
    </row>
    <row r="55" spans="1:17" x14ac:dyDescent="0.35">
      <c r="A55" s="9"/>
      <c r="Q55" s="10"/>
    </row>
    <row r="56" spans="1:17" x14ac:dyDescent="0.35">
      <c r="A56" s="9"/>
      <c r="Q56" s="10"/>
    </row>
    <row r="57" spans="1:17" x14ac:dyDescent="0.35">
      <c r="A57" s="9"/>
      <c r="Q57" s="10"/>
    </row>
    <row r="58" spans="1:17" x14ac:dyDescent="0.35">
      <c r="A58" s="9"/>
      <c r="Q58" s="10"/>
    </row>
    <row r="59" spans="1:17" x14ac:dyDescent="0.35">
      <c r="A59" s="9"/>
      <c r="Q59" s="10"/>
    </row>
    <row r="60" spans="1:17" x14ac:dyDescent="0.35">
      <c r="A60" s="9"/>
      <c r="Q60" s="10"/>
    </row>
    <row r="61" spans="1:17" x14ac:dyDescent="0.35">
      <c r="A61" s="9"/>
      <c r="Q61" s="10"/>
    </row>
    <row r="62" spans="1:17" x14ac:dyDescent="0.35">
      <c r="A62" s="9"/>
      <c r="Q62" s="10"/>
    </row>
    <row r="63" spans="1:17" x14ac:dyDescent="0.35">
      <c r="A63" s="9"/>
      <c r="Q63" s="10"/>
    </row>
    <row r="64" spans="1:17" x14ac:dyDescent="0.35">
      <c r="A64" s="9"/>
      <c r="Q64" s="10"/>
    </row>
    <row r="65" spans="1:17" x14ac:dyDescent="0.35">
      <c r="A65" s="9"/>
      <c r="Q65" s="10"/>
    </row>
    <row r="66" spans="1:17" x14ac:dyDescent="0.35">
      <c r="A66" s="9"/>
      <c r="Q66" s="10"/>
    </row>
    <row r="67" spans="1:17" x14ac:dyDescent="0.35">
      <c r="A67" s="9"/>
      <c r="Q67" s="10"/>
    </row>
    <row r="68" spans="1:17" x14ac:dyDescent="0.35">
      <c r="A68" s="9"/>
      <c r="Q68" s="10"/>
    </row>
    <row r="69" spans="1:17" x14ac:dyDescent="0.35">
      <c r="A69" s="9"/>
      <c r="Q69" s="10"/>
    </row>
    <row r="70" spans="1:17" x14ac:dyDescent="0.35">
      <c r="A70" s="9"/>
      <c r="Q70" s="10"/>
    </row>
    <row r="71" spans="1:17" x14ac:dyDescent="0.35">
      <c r="A71" s="9"/>
      <c r="Q71" s="10"/>
    </row>
    <row r="72" spans="1:17" x14ac:dyDescent="0.35">
      <c r="A72" s="9"/>
      <c r="Q72" s="10"/>
    </row>
    <row r="73" spans="1:17" x14ac:dyDescent="0.35">
      <c r="A73" s="9"/>
      <c r="Q73" s="10"/>
    </row>
    <row r="74" spans="1:17" x14ac:dyDescent="0.35">
      <c r="A74" s="9"/>
      <c r="Q74" s="10"/>
    </row>
    <row r="75" spans="1:17" x14ac:dyDescent="0.35">
      <c r="A75" s="9"/>
      <c r="Q75" s="10"/>
    </row>
    <row r="76" spans="1:17" x14ac:dyDescent="0.35">
      <c r="A76" s="9"/>
      <c r="Q76" s="10"/>
    </row>
    <row r="77" spans="1:17" x14ac:dyDescent="0.35">
      <c r="A77" s="9"/>
      <c r="Q77" s="10"/>
    </row>
    <row r="78" spans="1:17" x14ac:dyDescent="0.35">
      <c r="A78" s="9"/>
      <c r="Q78" s="10"/>
    </row>
    <row r="79" spans="1:17" x14ac:dyDescent="0.35">
      <c r="A79" s="9"/>
      <c r="Q79" s="10"/>
    </row>
    <row r="80" spans="1:17" x14ac:dyDescent="0.35">
      <c r="A80" s="9"/>
      <c r="Q80" s="10"/>
    </row>
    <row r="81" spans="1:17" x14ac:dyDescent="0.35">
      <c r="A81" s="9"/>
      <c r="Q81" s="10"/>
    </row>
    <row r="82" spans="1:17" x14ac:dyDescent="0.35">
      <c r="A82" s="9"/>
      <c r="Q82" s="10"/>
    </row>
    <row r="83" spans="1:17" x14ac:dyDescent="0.35">
      <c r="A83" s="9"/>
      <c r="Q83" s="10"/>
    </row>
    <row r="84" spans="1:17" x14ac:dyDescent="0.35">
      <c r="A84" s="9"/>
      <c r="Q84" s="10"/>
    </row>
    <row r="85" spans="1:17" x14ac:dyDescent="0.35">
      <c r="A85" s="9"/>
      <c r="Q85" s="10"/>
    </row>
    <row r="86" spans="1:17" x14ac:dyDescent="0.35">
      <c r="A86" s="9"/>
      <c r="Q86" s="10"/>
    </row>
    <row r="87" spans="1:17" x14ac:dyDescent="0.35">
      <c r="A87" s="9"/>
      <c r="Q87" s="10"/>
    </row>
    <row r="88" spans="1:17" x14ac:dyDescent="0.35">
      <c r="A88" s="9"/>
      <c r="Q88" s="10"/>
    </row>
    <row r="89" spans="1:17" x14ac:dyDescent="0.35">
      <c r="A89" s="9"/>
      <c r="Q89" s="10"/>
    </row>
    <row r="90" spans="1:17" x14ac:dyDescent="0.35">
      <c r="A90" s="9"/>
      <c r="Q90" s="10"/>
    </row>
    <row r="91" spans="1:17" x14ac:dyDescent="0.35">
      <c r="A91" s="9"/>
      <c r="Q91" s="10"/>
    </row>
    <row r="92" spans="1:17" x14ac:dyDescent="0.35">
      <c r="A92" s="9"/>
      <c r="Q92" s="10"/>
    </row>
    <row r="93" spans="1:17" x14ac:dyDescent="0.35">
      <c r="A93" s="9"/>
      <c r="Q93" s="10"/>
    </row>
    <row r="94" spans="1:17" x14ac:dyDescent="0.35">
      <c r="A94" s="9"/>
      <c r="Q94" s="10"/>
    </row>
    <row r="95" spans="1:17" x14ac:dyDescent="0.35">
      <c r="A95" s="9"/>
      <c r="Q95" s="10"/>
    </row>
    <row r="96" spans="1:17" x14ac:dyDescent="0.35">
      <c r="A96" s="9"/>
      <c r="Q96" s="10"/>
    </row>
    <row r="97" spans="1:17" x14ac:dyDescent="0.35">
      <c r="A97" s="9"/>
      <c r="Q97" s="10"/>
    </row>
    <row r="98" spans="1:17" x14ac:dyDescent="0.35">
      <c r="A98" s="9"/>
      <c r="Q98" s="10"/>
    </row>
    <row r="99" spans="1:17" x14ac:dyDescent="0.35">
      <c r="A99" s="9"/>
      <c r="Q99" s="10"/>
    </row>
    <row r="100" spans="1:17" x14ac:dyDescent="0.35">
      <c r="A100" s="9"/>
      <c r="Q100" s="10"/>
    </row>
    <row r="101" spans="1:17" x14ac:dyDescent="0.35">
      <c r="A101" s="9"/>
      <c r="Q101" s="10"/>
    </row>
    <row r="102" spans="1:17" x14ac:dyDescent="0.35">
      <c r="A102" s="9"/>
      <c r="Q102" s="10"/>
    </row>
    <row r="103" spans="1:17" x14ac:dyDescent="0.35">
      <c r="A103" s="9"/>
      <c r="Q103" s="10"/>
    </row>
    <row r="104" spans="1:17" x14ac:dyDescent="0.35">
      <c r="A104" s="9"/>
      <c r="Q104" s="10"/>
    </row>
    <row r="105" spans="1:17" x14ac:dyDescent="0.35">
      <c r="A105" s="9"/>
      <c r="Q105" s="10"/>
    </row>
    <row r="106" spans="1:17" x14ac:dyDescent="0.35">
      <c r="A106" s="9"/>
      <c r="Q106" s="10"/>
    </row>
    <row r="107" spans="1:17" x14ac:dyDescent="0.35">
      <c r="A107" s="9"/>
      <c r="Q107" s="10"/>
    </row>
    <row r="108" spans="1:17" x14ac:dyDescent="0.35">
      <c r="A108" s="9"/>
      <c r="Q108" s="10"/>
    </row>
    <row r="109" spans="1:17" x14ac:dyDescent="0.35">
      <c r="A109" s="9"/>
      <c r="Q109" s="10"/>
    </row>
    <row r="110" spans="1:17" x14ac:dyDescent="0.35">
      <c r="A110" s="9"/>
      <c r="Q110" s="10"/>
    </row>
    <row r="111" spans="1:17" x14ac:dyDescent="0.35">
      <c r="A111" s="9"/>
      <c r="Q111" s="10"/>
    </row>
    <row r="112" spans="1:17" x14ac:dyDescent="0.35">
      <c r="A112" s="9"/>
      <c r="Q112" s="10"/>
    </row>
    <row r="113" spans="1:17" x14ac:dyDescent="0.35">
      <c r="A113" s="9"/>
      <c r="Q113" s="10"/>
    </row>
    <row r="114" spans="1:17" x14ac:dyDescent="0.35">
      <c r="A114" s="9"/>
      <c r="Q114" s="10"/>
    </row>
    <row r="115" spans="1:17" x14ac:dyDescent="0.35">
      <c r="A115" s="9"/>
      <c r="Q115" s="10"/>
    </row>
    <row r="116" spans="1:17" x14ac:dyDescent="0.35">
      <c r="A116" s="9"/>
      <c r="Q116" s="10"/>
    </row>
    <row r="117" spans="1:17" x14ac:dyDescent="0.35">
      <c r="A117" s="9"/>
      <c r="Q117" s="10"/>
    </row>
    <row r="118" spans="1:17" x14ac:dyDescent="0.35">
      <c r="A118" s="9"/>
      <c r="Q118" s="10"/>
    </row>
    <row r="119" spans="1:17" x14ac:dyDescent="0.35">
      <c r="A119" s="9"/>
      <c r="Q119" s="10"/>
    </row>
    <row r="120" spans="1:17" x14ac:dyDescent="0.35">
      <c r="A120" s="9"/>
      <c r="Q120" s="10"/>
    </row>
    <row r="121" spans="1:17" x14ac:dyDescent="0.35">
      <c r="A121" s="9"/>
      <c r="Q121" s="10"/>
    </row>
    <row r="122" spans="1:17" x14ac:dyDescent="0.35">
      <c r="A122" s="9"/>
      <c r="Q122" s="10"/>
    </row>
    <row r="123" spans="1:17" x14ac:dyDescent="0.35">
      <c r="A123" s="9"/>
      <c r="Q123" s="10"/>
    </row>
    <row r="124" spans="1:17" x14ac:dyDescent="0.35">
      <c r="A124" s="9"/>
      <c r="Q124" s="10"/>
    </row>
    <row r="125" spans="1:17" x14ac:dyDescent="0.35">
      <c r="A125" s="9"/>
      <c r="Q125" s="10"/>
    </row>
    <row r="126" spans="1:17" x14ac:dyDescent="0.35">
      <c r="A126" s="9"/>
      <c r="Q126" s="10"/>
    </row>
    <row r="127" spans="1:17" x14ac:dyDescent="0.35">
      <c r="A127" s="9"/>
      <c r="Q127" s="10"/>
    </row>
    <row r="128" spans="1:17" x14ac:dyDescent="0.35">
      <c r="A128" s="9"/>
      <c r="Q128" s="10"/>
    </row>
    <row r="129" spans="1:17" x14ac:dyDescent="0.35">
      <c r="A129" s="9"/>
      <c r="Q129" s="10"/>
    </row>
    <row r="130" spans="1:17" x14ac:dyDescent="0.35">
      <c r="A130" s="9"/>
      <c r="Q130" s="10"/>
    </row>
    <row r="131" spans="1:17" x14ac:dyDescent="0.35">
      <c r="A131" s="9"/>
      <c r="Q131" s="10"/>
    </row>
    <row r="132" spans="1:17" x14ac:dyDescent="0.35">
      <c r="A132" s="9"/>
      <c r="Q132" s="10"/>
    </row>
    <row r="133" spans="1:17" x14ac:dyDescent="0.35">
      <c r="A133" s="9"/>
      <c r="Q133" s="10"/>
    </row>
    <row r="134" spans="1:17" x14ac:dyDescent="0.35">
      <c r="A134" s="9"/>
      <c r="Q134" s="10"/>
    </row>
    <row r="135" spans="1:17" x14ac:dyDescent="0.35">
      <c r="A135" s="9"/>
      <c r="Q135" s="10"/>
    </row>
    <row r="136" spans="1:17" x14ac:dyDescent="0.35">
      <c r="A136" s="9"/>
      <c r="Q136" s="10"/>
    </row>
    <row r="137" spans="1:17" x14ac:dyDescent="0.35">
      <c r="A137" s="9"/>
      <c r="Q137" s="10"/>
    </row>
    <row r="138" spans="1:17" x14ac:dyDescent="0.35">
      <c r="A138" s="9"/>
      <c r="Q138" s="10"/>
    </row>
    <row r="139" spans="1:17" x14ac:dyDescent="0.35">
      <c r="A139" s="9"/>
      <c r="Q139" s="10"/>
    </row>
    <row r="140" spans="1:17" x14ac:dyDescent="0.35">
      <c r="A140" s="9"/>
      <c r="Q140" s="10"/>
    </row>
    <row r="141" spans="1:17" x14ac:dyDescent="0.35">
      <c r="A141" s="9"/>
      <c r="Q141" s="10"/>
    </row>
    <row r="142" spans="1:17" x14ac:dyDescent="0.35">
      <c r="A142" s="9"/>
      <c r="Q142" s="10"/>
    </row>
    <row r="143" spans="1:17" x14ac:dyDescent="0.35">
      <c r="A143" s="9"/>
      <c r="Q143" s="10"/>
    </row>
    <row r="144" spans="1:17" x14ac:dyDescent="0.35">
      <c r="A144" s="9"/>
      <c r="Q144" s="10"/>
    </row>
    <row r="145" spans="1:17" x14ac:dyDescent="0.35">
      <c r="A145" s="9"/>
      <c r="Q145" s="10"/>
    </row>
    <row r="146" spans="1:17" x14ac:dyDescent="0.35">
      <c r="A146" s="9"/>
      <c r="Q146" s="10"/>
    </row>
    <row r="147" spans="1:17" x14ac:dyDescent="0.35">
      <c r="A147" s="9"/>
      <c r="Q147" s="10"/>
    </row>
    <row r="148" spans="1:17" x14ac:dyDescent="0.35">
      <c r="A148" s="9"/>
      <c r="Q148" s="10"/>
    </row>
    <row r="149" spans="1:17" x14ac:dyDescent="0.35">
      <c r="A149" s="9"/>
      <c r="Q149" s="10"/>
    </row>
    <row r="150" spans="1:17" x14ac:dyDescent="0.35">
      <c r="A150" s="9"/>
      <c r="Q150" s="10"/>
    </row>
    <row r="151" spans="1:17" x14ac:dyDescent="0.35">
      <c r="A151" s="9"/>
      <c r="Q151" s="10"/>
    </row>
    <row r="152" spans="1:17" x14ac:dyDescent="0.35">
      <c r="A152" s="9"/>
      <c r="Q152" s="10"/>
    </row>
    <row r="153" spans="1:17" x14ac:dyDescent="0.35">
      <c r="A153" s="9"/>
      <c r="Q153" s="10"/>
    </row>
    <row r="154" spans="1:17" x14ac:dyDescent="0.35">
      <c r="A154" s="9"/>
      <c r="Q154" s="10"/>
    </row>
    <row r="155" spans="1:17" x14ac:dyDescent="0.35">
      <c r="A155" s="9"/>
      <c r="Q155" s="10"/>
    </row>
    <row r="156" spans="1:17" x14ac:dyDescent="0.35">
      <c r="A156" s="9"/>
      <c r="Q156" s="10"/>
    </row>
    <row r="157" spans="1:17" x14ac:dyDescent="0.35">
      <c r="A157" s="9"/>
      <c r="Q157" s="10"/>
    </row>
    <row r="158" spans="1:17" x14ac:dyDescent="0.35">
      <c r="A158" s="9"/>
      <c r="Q158" s="10"/>
    </row>
    <row r="159" spans="1:17" x14ac:dyDescent="0.35">
      <c r="A159" s="9"/>
      <c r="Q159" s="10"/>
    </row>
    <row r="160" spans="1:17" x14ac:dyDescent="0.35">
      <c r="A160" s="9"/>
      <c r="Q160" s="10"/>
    </row>
    <row r="161" spans="1:17" x14ac:dyDescent="0.35">
      <c r="A161" s="9"/>
      <c r="Q161" s="10"/>
    </row>
    <row r="162" spans="1:17" x14ac:dyDescent="0.35">
      <c r="A162" s="9"/>
      <c r="Q162" s="10"/>
    </row>
    <row r="163" spans="1:17" x14ac:dyDescent="0.35">
      <c r="A163" s="9"/>
      <c r="Q163" s="10"/>
    </row>
    <row r="164" spans="1:17" x14ac:dyDescent="0.35">
      <c r="A164" s="9"/>
      <c r="Q164" s="10"/>
    </row>
    <row r="165" spans="1:17" x14ac:dyDescent="0.35">
      <c r="A165" s="9"/>
      <c r="Q165" s="10"/>
    </row>
    <row r="166" spans="1:17" x14ac:dyDescent="0.35">
      <c r="A166" s="9"/>
      <c r="Q166" s="10"/>
    </row>
    <row r="167" spans="1:17" x14ac:dyDescent="0.35">
      <c r="A167" s="9"/>
      <c r="Q167" s="10"/>
    </row>
    <row r="168" spans="1:17" x14ac:dyDescent="0.35">
      <c r="A168" s="9"/>
      <c r="Q168" s="10"/>
    </row>
    <row r="169" spans="1:17" x14ac:dyDescent="0.35">
      <c r="A169" s="9"/>
      <c r="Q169" s="10"/>
    </row>
    <row r="170" spans="1:17" x14ac:dyDescent="0.35">
      <c r="A170" s="9"/>
      <c r="Q170" s="10"/>
    </row>
    <row r="171" spans="1:17" x14ac:dyDescent="0.35">
      <c r="A171" s="9"/>
      <c r="Q171" s="10"/>
    </row>
    <row r="172" spans="1:17" x14ac:dyDescent="0.35">
      <c r="A172" s="9"/>
      <c r="Q172" s="10"/>
    </row>
    <row r="173" spans="1:17" x14ac:dyDescent="0.35">
      <c r="A173" s="9"/>
      <c r="Q173" s="10"/>
    </row>
    <row r="174" spans="1:17" x14ac:dyDescent="0.35">
      <c r="A174" s="9"/>
      <c r="Q174" s="10"/>
    </row>
    <row r="175" spans="1:17" x14ac:dyDescent="0.35">
      <c r="A175" s="9"/>
      <c r="Q175" s="10"/>
    </row>
    <row r="176" spans="1:17" x14ac:dyDescent="0.35">
      <c r="A176" s="9"/>
      <c r="Q176" s="10"/>
    </row>
    <row r="177" spans="1:17" x14ac:dyDescent="0.35">
      <c r="A177" s="9"/>
      <c r="Q177" s="10"/>
    </row>
    <row r="178" spans="1:17" x14ac:dyDescent="0.35">
      <c r="A178" s="9"/>
      <c r="Q178" s="10"/>
    </row>
    <row r="179" spans="1:17" x14ac:dyDescent="0.35">
      <c r="A179" s="9"/>
      <c r="Q179" s="10"/>
    </row>
    <row r="180" spans="1:17" x14ac:dyDescent="0.35">
      <c r="A180" s="9"/>
      <c r="Q180" s="10"/>
    </row>
    <row r="181" spans="1:17" x14ac:dyDescent="0.35">
      <c r="A181" s="9"/>
      <c r="Q181" s="10"/>
    </row>
    <row r="182" spans="1:17" x14ac:dyDescent="0.35">
      <c r="A182" s="9"/>
      <c r="Q182" s="10"/>
    </row>
    <row r="183" spans="1:17" x14ac:dyDescent="0.35">
      <c r="A183" s="9"/>
      <c r="Q183" s="10"/>
    </row>
    <row r="184" spans="1:17" x14ac:dyDescent="0.35">
      <c r="A184" s="9"/>
      <c r="Q184" s="10"/>
    </row>
    <row r="185" spans="1:17" x14ac:dyDescent="0.35">
      <c r="A185" s="9"/>
      <c r="Q185" s="10"/>
    </row>
    <row r="186" spans="1:17" x14ac:dyDescent="0.35">
      <c r="A186" s="9"/>
      <c r="Q186" s="10"/>
    </row>
    <row r="187" spans="1:17" x14ac:dyDescent="0.35">
      <c r="A187" s="9"/>
      <c r="Q187" s="10"/>
    </row>
    <row r="188" spans="1:17" x14ac:dyDescent="0.35">
      <c r="A188" s="9"/>
      <c r="Q188" s="10"/>
    </row>
    <row r="189" spans="1:17" x14ac:dyDescent="0.35">
      <c r="A189" s="9"/>
      <c r="Q189" s="10"/>
    </row>
    <row r="190" spans="1:17" x14ac:dyDescent="0.35">
      <c r="A190" s="9"/>
      <c r="Q190" s="10"/>
    </row>
    <row r="191" spans="1:17" x14ac:dyDescent="0.35">
      <c r="A191" s="9"/>
      <c r="Q191" s="10"/>
    </row>
    <row r="192" spans="1:17" x14ac:dyDescent="0.35">
      <c r="A192" s="9"/>
      <c r="Q192" s="10"/>
    </row>
    <row r="193" spans="1:17" x14ac:dyDescent="0.35">
      <c r="A193" s="9"/>
      <c r="Q193" s="10"/>
    </row>
    <row r="194" spans="1:17" x14ac:dyDescent="0.35">
      <c r="A194" s="9"/>
      <c r="Q194" s="10"/>
    </row>
    <row r="195" spans="1:17" x14ac:dyDescent="0.35">
      <c r="A195" s="9"/>
      <c r="Q195" s="10"/>
    </row>
    <row r="196" spans="1:17" x14ac:dyDescent="0.35">
      <c r="A196" s="9"/>
      <c r="Q196" s="10"/>
    </row>
    <row r="197" spans="1:17" x14ac:dyDescent="0.35">
      <c r="A197" s="9"/>
      <c r="Q197" s="10"/>
    </row>
    <row r="198" spans="1:17" x14ac:dyDescent="0.35">
      <c r="A198" s="9"/>
      <c r="Q198" s="10"/>
    </row>
    <row r="199" spans="1:17" x14ac:dyDescent="0.35">
      <c r="A199" s="9"/>
      <c r="Q199" s="10"/>
    </row>
    <row r="200" spans="1:17" ht="15" thickBot="1" x14ac:dyDescent="0.4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/>
    </row>
  </sheetData>
  <mergeCells count="53">
    <mergeCell ref="F4:H4"/>
    <mergeCell ref="A3:J3"/>
    <mergeCell ref="A6:C6"/>
    <mergeCell ref="F6:H6"/>
    <mergeCell ref="B8:D8"/>
    <mergeCell ref="G8:I8"/>
    <mergeCell ref="B4:D4"/>
    <mergeCell ref="A22:G22"/>
    <mergeCell ref="A21:J21"/>
    <mergeCell ref="A20:B20"/>
    <mergeCell ref="B9:D9"/>
    <mergeCell ref="G9:I9"/>
    <mergeCell ref="F20:G20"/>
    <mergeCell ref="G18:I18"/>
    <mergeCell ref="G10:I10"/>
    <mergeCell ref="B10:D10"/>
    <mergeCell ref="B12:D12"/>
    <mergeCell ref="B17:D17"/>
    <mergeCell ref="B18:D18"/>
    <mergeCell ref="B15:C15"/>
    <mergeCell ref="B16:C16"/>
    <mergeCell ref="G16:I16"/>
    <mergeCell ref="G17:I17"/>
    <mergeCell ref="B23:G23"/>
    <mergeCell ref="A25:C25"/>
    <mergeCell ref="A27:G27"/>
    <mergeCell ref="A28:G28"/>
    <mergeCell ref="A29:G29"/>
    <mergeCell ref="A24:G24"/>
    <mergeCell ref="A52:J53"/>
    <mergeCell ref="A33:G33"/>
    <mergeCell ref="A34:G34"/>
    <mergeCell ref="A41:J41"/>
    <mergeCell ref="I42:J42"/>
    <mergeCell ref="A43:D43"/>
    <mergeCell ref="E43:J43"/>
    <mergeCell ref="A44:J44"/>
    <mergeCell ref="A45:J45"/>
    <mergeCell ref="H47:I47"/>
    <mergeCell ref="B48:E48"/>
    <mergeCell ref="H49:I49"/>
    <mergeCell ref="A47:B47"/>
    <mergeCell ref="A49:B49"/>
    <mergeCell ref="A51:B51"/>
    <mergeCell ref="A50:B50"/>
    <mergeCell ref="H50:I50"/>
    <mergeCell ref="H48:I48"/>
    <mergeCell ref="F48:G49"/>
    <mergeCell ref="A37:B37"/>
    <mergeCell ref="A26:G26"/>
    <mergeCell ref="A32:G32"/>
    <mergeCell ref="A30:G30"/>
    <mergeCell ref="A31:G31"/>
  </mergeCells>
  <dataValidations count="3">
    <dataValidation allowBlank="1" showInputMessage="1" showErrorMessage="1" prompt="Enter a Phase Number" sqref="I6" xr:uid="{8ACE7671-8E0C-4D4C-8C0B-CA24DEBA9689}"/>
    <dataValidation allowBlank="1" showInputMessage="1" showErrorMessage="1" prompt="Enter a new purchase order number." sqref="D6" xr:uid="{49A93CFD-D821-40A6-9B9C-A76D1201CB5E}"/>
    <dataValidation allowBlank="1" showInputMessage="1" showErrorMessage="1" prompt="Select this cell and paste the URL of your attachment in the formula bar. File must be stored on One Drive or other web server and shareable." sqref="G42" xr:uid="{A808F094-D8C4-4577-B072-965FEF1C4C4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312D10-FFF3-4009-8B32-04E74A419485}">
          <x14:formula1>
            <xm:f>Contacts!$F$2:$F$2000</xm:f>
          </x14:formula1>
          <xm:sqref>B8:D8 G16:I16 G8:I8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7AC3-AA91-423A-B1C6-DFA8ACE58C04}">
  <dimension ref="A1:Q200"/>
  <sheetViews>
    <sheetView workbookViewId="0">
      <selection activeCell="B2" sqref="B2:L2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ht="16" x14ac:dyDescent="0.35">
      <c r="A1" s="3">
        <f>View_Print!B2</f>
        <v>0</v>
      </c>
      <c r="B1" s="179" t="str">
        <f>HYPERLINK("https://datamateapp.github.io/Donate%205%20per%20mo.html", "All Apps are free of charge with no ads. Please support DataMateApp and help us grow!")</f>
        <v>All Apps are free of charge with no ads. Please support DataMateApp and help us grow!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3" t="str">
        <f>Input!M1</f>
        <v>Date Signed:</v>
      </c>
      <c r="N1" s="3" t="str">
        <f>Input!N1</f>
        <v>Acknowledged By:</v>
      </c>
      <c r="O1" s="3" t="str">
        <f>Input!O1</f>
        <v>Update 3</v>
      </c>
      <c r="P1" s="3"/>
      <c r="Q1" s="3"/>
    </row>
    <row r="2" spans="1:17" x14ac:dyDescent="0.35">
      <c r="A2" s="3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P2" s="3"/>
      <c r="Q2" s="3"/>
    </row>
    <row r="3" spans="1:17" ht="25" x14ac:dyDescent="0.5">
      <c r="A3" s="160" t="e">
        <f>VLOOKUP(A1,Data!$A$1:$DZU$999999,36,FALSE)</f>
        <v>#N/A</v>
      </c>
      <c r="B3" s="161"/>
      <c r="C3" s="161"/>
      <c r="D3" s="161"/>
      <c r="E3" s="161"/>
      <c r="F3" s="161"/>
      <c r="G3" s="161"/>
      <c r="H3" s="161"/>
      <c r="I3" s="161"/>
      <c r="J3" s="162"/>
      <c r="K3" s="1" t="e">
        <f>VLOOKUP(A1,Data!$A$1:$DZU$999999,46,FALSE)</f>
        <v>#N/A</v>
      </c>
      <c r="L3" s="1" t="e">
        <f>VLOOKUP(A1,Data!$A$1:$DZU$999999,47,FALSE)</f>
        <v>#N/A</v>
      </c>
      <c r="M3" s="1" t="e">
        <f>VLOOKUP(A1,Data!$A$1:$DZU$999999,48,FALSE)</f>
        <v>#N/A</v>
      </c>
      <c r="N3" s="1" t="e">
        <f>VLOOKUP(A1,Data!$A$1:$DZU$999999,49,FALSE)</f>
        <v>#N/A</v>
      </c>
      <c r="O3" s="1" t="e">
        <f>VLOOKUP(A1,Data!$A$1:$DZU$999999,50,FALSE)</f>
        <v>#N/A</v>
      </c>
      <c r="P3" s="1" t="e">
        <f>VLOOKUP(A1,Data!$A$1:$DZU$999999,51,FALSE)</f>
        <v>#N/A</v>
      </c>
      <c r="Q3" s="1" t="e">
        <f>VLOOKUP(A1,Data!$A$1:$DZU$999999,52,FALSE)</f>
        <v>#N/A</v>
      </c>
    </row>
    <row r="4" spans="1:17" ht="15.5" x14ac:dyDescent="0.35">
      <c r="A4" s="21" t="e">
        <f>VLOOKUP(A1,Data!$A$1:$DZU$999999,53,FALSE)</f>
        <v>#N/A</v>
      </c>
      <c r="B4" s="163" t="e">
        <f>VLOOKUP(A1,Data!$A$1:$DZU$999999,54,FALSE)</f>
        <v>#N/A</v>
      </c>
      <c r="C4" s="111"/>
      <c r="D4" s="111"/>
      <c r="E4" s="22" t="e">
        <f>VLOOKUP(A1,Data!$A$1:$DZU$999999,57,FALSE)</f>
        <v>#N/A</v>
      </c>
      <c r="F4" s="164" t="e">
        <f>VLOOKUP(A1,Data!$A$1:$DZU$999999,58,FALSE)</f>
        <v>#N/A</v>
      </c>
      <c r="G4" s="111"/>
      <c r="H4" s="111"/>
      <c r="I4" s="22" t="e">
        <f>VLOOKUP(A1,Data!$A$1:$DZU$999999,61,FALSE)</f>
        <v>#N/A</v>
      </c>
      <c r="J4" s="23" t="e">
        <f>VLOOKUP(A1,Data!$A$1:$DZU$999999,62,FALSE)</f>
        <v>#N/A</v>
      </c>
      <c r="K4" s="1" t="e">
        <f>VLOOKUP(A1,Data!$A$1:$DZU$999999,63,FALSE)</f>
        <v>#N/A</v>
      </c>
      <c r="L4" s="1" t="e">
        <f>VLOOKUP(A1,Data!$A$1:$DZU$999999,64,FALSE)</f>
        <v>#N/A</v>
      </c>
      <c r="M4" s="1" t="e">
        <f>VLOOKUP(A1,Data!$A$1:$DZU$999999,65,FALSE)</f>
        <v>#N/A</v>
      </c>
      <c r="N4" s="1" t="e">
        <f>VLOOKUP(A1,Data!$A$1:$DZU$999999,66,FALSE)</f>
        <v>#N/A</v>
      </c>
      <c r="O4" s="1" t="e">
        <f>VLOOKUP(A1,Data!$A$1:$DZU$999999,67,FALSE)</f>
        <v>#N/A</v>
      </c>
      <c r="P4" s="1" t="e">
        <f>VLOOKUP(A1,Data!$A$1:$DZU$999999,68,FALSE)</f>
        <v>#N/A</v>
      </c>
      <c r="Q4" s="1" t="e">
        <f>VLOOKUP(A1,Data!$A$1:$DZU$999999,69,FALSE)</f>
        <v>#N/A</v>
      </c>
    </row>
    <row r="5" spans="1:17" x14ac:dyDescent="0.35">
      <c r="A5" s="25" t="e">
        <f>VLOOKUP(A1,Data!$A$1:$DZU$999999,70,FALSE)</f>
        <v>#N/A</v>
      </c>
      <c r="B5" s="26" t="e">
        <f>VLOOKUP(A1,Data!$A$1:$DZU$999999,71,FALSE)</f>
        <v>#N/A</v>
      </c>
      <c r="C5" s="26" t="e">
        <f>VLOOKUP(A1,Data!$A$1:$DZU$999999,72,FALSE)</f>
        <v>#N/A</v>
      </c>
      <c r="D5" s="27" t="e">
        <f>VLOOKUP(A1,Data!$A$1:$DZU$999999,73,FALSE)</f>
        <v>#N/A</v>
      </c>
      <c r="E5" s="26" t="e">
        <f>VLOOKUP(A1,Data!$A$1:$DZU$999999,74,FALSE)</f>
        <v>#N/A</v>
      </c>
      <c r="F5" s="26" t="e">
        <f>VLOOKUP(A1,Data!$A$1:$DZU$999999,75,FALSE)</f>
        <v>#N/A</v>
      </c>
      <c r="G5" s="26" t="e">
        <f>VLOOKUP(A1,Data!$A$1:$DZU$999999,76,FALSE)</f>
        <v>#N/A</v>
      </c>
      <c r="H5" s="26" t="e">
        <f>VLOOKUP(A1,Data!$A$1:$DZU$999999,77,FALSE)</f>
        <v>#N/A</v>
      </c>
      <c r="I5" s="27" t="e">
        <f>VLOOKUP(A1,Data!$A$1:$DZU$999999,78,FALSE)</f>
        <v>#N/A</v>
      </c>
      <c r="J5" s="28" t="e">
        <f>VLOOKUP(A1,Data!$A$1:$DZU$999999,79,FALSE)</f>
        <v>#N/A</v>
      </c>
      <c r="K5" s="1" t="e">
        <f>VLOOKUP(A1,Data!$A$1:$DZU$999999,80,FALSE)</f>
        <v>#N/A</v>
      </c>
      <c r="L5" s="1" t="e">
        <f>VLOOKUP(A1,Data!$A$1:$DZU$999999,81,FALSE)</f>
        <v>#N/A</v>
      </c>
      <c r="M5" s="1" t="e">
        <f>VLOOKUP(A1,Data!$A$1:$DZU$999999,82,FALSE)</f>
        <v>#N/A</v>
      </c>
      <c r="N5" s="1" t="e">
        <f>VLOOKUP(A1,Data!$A$1:$DZU$999999,83,FALSE)</f>
        <v>#N/A</v>
      </c>
      <c r="O5" s="1" t="e">
        <f>VLOOKUP(A1,Data!$A$1:$DZU$999999,84,FALSE)</f>
        <v>#N/A</v>
      </c>
      <c r="P5" s="1" t="e">
        <f>VLOOKUP(A1,Data!$A$1:$DZU$999999,85,FALSE)</f>
        <v>#N/A</v>
      </c>
      <c r="Q5" s="1" t="e">
        <f>VLOOKUP(A1,Data!$A$1:$DZU$999999,86,FALSE)</f>
        <v>#N/A</v>
      </c>
    </row>
    <row r="6" spans="1:17" ht="15.5" x14ac:dyDescent="0.35">
      <c r="A6" s="165" t="e">
        <f>VLOOKUP(A1,Data!$A$1:$DZU$999999,87,FALSE)</f>
        <v>#N/A</v>
      </c>
      <c r="B6" s="166"/>
      <c r="C6" s="166"/>
      <c r="D6" s="29" t="e">
        <f>VLOOKUP(A1,Data!$A$1:$DZU$999999,90,FALSE)</f>
        <v>#N/A</v>
      </c>
      <c r="E6" s="30" t="e">
        <f>VLOOKUP(A1,Data!$A$1:$DZU$999999,91,FALSE)</f>
        <v>#N/A</v>
      </c>
      <c r="F6" s="167" t="e">
        <f>VLOOKUP(A1,Data!$A$1:$DZU$999999,92,FALSE)</f>
        <v>#N/A</v>
      </c>
      <c r="G6" s="168"/>
      <c r="H6" s="168"/>
      <c r="I6" s="31" t="e">
        <f>VLOOKUP(A1,Data!$A$1:$DZU$999999,95,FALSE)</f>
        <v>#N/A</v>
      </c>
      <c r="J6" s="30" t="e">
        <f>VLOOKUP(A1,Data!$A$1:$DZU$999999,96,FALSE)</f>
        <v>#N/A</v>
      </c>
      <c r="K6" s="1" t="e">
        <f>VLOOKUP(A1,Data!$A$1:$DZU$999999,97,FALSE)</f>
        <v>#N/A</v>
      </c>
      <c r="L6" s="1" t="e">
        <f>VLOOKUP(A1,Data!$A$1:$DZU$999999,98,FALSE)</f>
        <v>#N/A</v>
      </c>
      <c r="M6" s="1" t="e">
        <f>VLOOKUP(A1,Data!$A$1:$DZU$999999,99,FALSE)</f>
        <v>#N/A</v>
      </c>
      <c r="N6" s="1" t="e">
        <f>VLOOKUP(A1,Data!$A$1:$DZU$999999,100,FALSE)</f>
        <v>#N/A</v>
      </c>
      <c r="O6" s="1" t="e">
        <f>VLOOKUP(A1,Data!$A$1:$DZU$999999,101,FALSE)</f>
        <v>#N/A</v>
      </c>
      <c r="P6" s="1" t="e">
        <f>VLOOKUP(A1,Data!$A$1:$DZU$999999,102,FALSE)</f>
        <v>#N/A</v>
      </c>
      <c r="Q6" s="1" t="e">
        <f>VLOOKUP(A1,Data!$A$1:$DZU$999999,103,FALSE)</f>
        <v>#N/A</v>
      </c>
    </row>
    <row r="7" spans="1:17" x14ac:dyDescent="0.35">
      <c r="A7" s="32" t="e">
        <f>VLOOKUP(A1,Data!$A$1:$DZU$999999,104,FALSE)</f>
        <v>#N/A</v>
      </c>
      <c r="B7" s="24" t="e">
        <f>VLOOKUP(A1,Data!$A$1:$DZU$999999,105,FALSE)</f>
        <v>#N/A</v>
      </c>
      <c r="C7" s="24" t="e">
        <f>VLOOKUP(A1,Data!$A$1:$DZU$999999,106,FALSE)</f>
        <v>#N/A</v>
      </c>
      <c r="D7" s="33" t="e">
        <f>VLOOKUP(A1,Data!$A$1:$DZU$999999,107,FALSE)</f>
        <v>#N/A</v>
      </c>
      <c r="E7" s="30" t="e">
        <f>VLOOKUP(A1,Data!$A$1:$DZU$999999,108,FALSE)</f>
        <v>#N/A</v>
      </c>
      <c r="F7" s="24" t="e">
        <f>VLOOKUP(A1,Data!$A$1:$DZU$999999,109,FALSE)</f>
        <v>#N/A</v>
      </c>
      <c r="G7" s="24" t="e">
        <f>VLOOKUP(A1,Data!$A$1:$DZU$999999,110,FALSE)</f>
        <v>#N/A</v>
      </c>
      <c r="H7" s="24" t="e">
        <f>VLOOKUP(A1,Data!$A$1:$DZU$999999,111,FALSE)</f>
        <v>#N/A</v>
      </c>
      <c r="I7" s="33" t="e">
        <f>VLOOKUP(A1,Data!$A$1:$DZU$999999,112,FALSE)</f>
        <v>#N/A</v>
      </c>
      <c r="J7" s="30" t="e">
        <f>VLOOKUP(A1,Data!$A$1:$DZU$999999,113,FALSE)</f>
        <v>#N/A</v>
      </c>
      <c r="K7" s="1" t="e">
        <f>VLOOKUP(A1,Data!$A$1:$DZU$999999,114,FALSE)</f>
        <v>#N/A</v>
      </c>
      <c r="L7" s="1" t="e">
        <f>VLOOKUP(A1,Data!$A$1:$DZU$999999,115,FALSE)</f>
        <v>#N/A</v>
      </c>
      <c r="M7" s="1" t="e">
        <f>VLOOKUP(A1,Data!$A$1:$DZU$999999,116,FALSE)</f>
        <v>#N/A</v>
      </c>
      <c r="N7" s="1" t="e">
        <f>VLOOKUP(A1,Data!$A$1:$DZU$999999,117,FALSE)</f>
        <v>#N/A</v>
      </c>
      <c r="O7" s="1" t="e">
        <f>VLOOKUP(A1,Data!$A$1:$DZU$999999,118,FALSE)</f>
        <v>#N/A</v>
      </c>
      <c r="P7" s="1" t="e">
        <f>VLOOKUP(A1,Data!$A$1:$DZU$999999,119,FALSE)</f>
        <v>#N/A</v>
      </c>
      <c r="Q7" s="1" t="e">
        <f>VLOOKUP(A1,Data!$A$1:$DZU$999999,120,FALSE)</f>
        <v>#N/A</v>
      </c>
    </row>
    <row r="8" spans="1:17" x14ac:dyDescent="0.35">
      <c r="A8" s="32" t="e">
        <f>VLOOKUP(A1,Data!$A$1:$DZU$999999,121,FALSE)</f>
        <v>#N/A</v>
      </c>
      <c r="B8" s="169" t="e">
        <f>VLOOKUP(A1,Data!$A$1:$DZU$999999,122,FALSE)</f>
        <v>#N/A</v>
      </c>
      <c r="C8" s="169"/>
      <c r="D8" s="169"/>
      <c r="E8" s="30" t="e">
        <f>VLOOKUP(A1,Data!$A$1:$DZU$999999,125,FALSE)</f>
        <v>#N/A</v>
      </c>
      <c r="F8" s="24" t="e">
        <f>VLOOKUP(A1,Data!$A$1:$DZU$999999,126,FALSE)</f>
        <v>#N/A</v>
      </c>
      <c r="G8" s="169" t="e">
        <f>VLOOKUP(A1,Data!$A$1:$DZU$999999,127,FALSE)</f>
        <v>#N/A</v>
      </c>
      <c r="H8" s="169"/>
      <c r="I8" s="169"/>
      <c r="J8" s="30" t="e">
        <f>VLOOKUP(A1,Data!$A$1:$DZU$999999,130,FALSE)</f>
        <v>#N/A</v>
      </c>
      <c r="K8" s="1" t="e">
        <f>VLOOKUP(A1,Data!$A$1:$DZU$999999,131,FALSE)</f>
        <v>#N/A</v>
      </c>
      <c r="L8" s="1" t="e">
        <f>VLOOKUP(A1,Data!$A$1:$DZU$999999,132,FALSE)</f>
        <v>#N/A</v>
      </c>
      <c r="M8" s="1" t="e">
        <f>VLOOKUP(A1,Data!$A$1:$DZU$999999,133,FALSE)</f>
        <v>#N/A</v>
      </c>
      <c r="N8" s="1" t="e">
        <f>VLOOKUP(A1,Data!$A$1:$DZU$999999,134,FALSE)</f>
        <v>#N/A</v>
      </c>
      <c r="O8" s="1" t="e">
        <f>VLOOKUP(A1,Data!$A$1:$DZU$999999,135,FALSE)</f>
        <v>#N/A</v>
      </c>
      <c r="P8" s="1" t="e">
        <f>VLOOKUP(A1,Data!$A$1:$DZU$999999,136,FALSE)</f>
        <v>#N/A</v>
      </c>
      <c r="Q8" s="1" t="e">
        <f>VLOOKUP(A1,Data!$A$1:$DZU$999999,137,FALSE)</f>
        <v>#N/A</v>
      </c>
    </row>
    <row r="9" spans="1:17" x14ac:dyDescent="0.35">
      <c r="A9" s="32" t="e">
        <f>VLOOKUP(A1,Data!$A$1:$DZU$999999,138,FALSE)</f>
        <v>#N/A</v>
      </c>
      <c r="B9" s="126" t="e">
        <f>VLOOKUP(A1,Data!$A$1:$DZU$999999,139,FALSE)</f>
        <v>#N/A</v>
      </c>
      <c r="C9" s="126"/>
      <c r="D9" s="126"/>
      <c r="E9" s="30" t="e">
        <f>VLOOKUP(A1,Data!$A$1:$DZU$999999,142,FALSE)</f>
        <v>#N/A</v>
      </c>
      <c r="F9" s="24" t="e">
        <f>VLOOKUP(A1,Data!$A$1:$DZU$999999,143,FALSE)</f>
        <v>#N/A</v>
      </c>
      <c r="G9" s="126" t="e">
        <f>VLOOKUP(A1,Data!$A$1:$DZU$999999,144,FALSE)</f>
        <v>#N/A</v>
      </c>
      <c r="H9" s="126"/>
      <c r="I9" s="126"/>
      <c r="J9" s="30" t="e">
        <f>VLOOKUP(A1,Data!$A$1:$DZU$999999,147,FALSE)</f>
        <v>#N/A</v>
      </c>
      <c r="K9" s="1" t="e">
        <f>VLOOKUP(A1,Data!$A$1:$DZU$999999,148,FALSE)</f>
        <v>#N/A</v>
      </c>
      <c r="L9" s="1" t="e">
        <f>VLOOKUP(A1,Data!$A$1:$DZU$999999,149,FALSE)</f>
        <v>#N/A</v>
      </c>
      <c r="M9" s="1" t="e">
        <f>VLOOKUP(A1,Data!$A$1:$DZU$999999,150,FALSE)</f>
        <v>#N/A</v>
      </c>
      <c r="N9" s="1" t="e">
        <f>VLOOKUP(A1,Data!$A$1:$DZU$999999,151,FALSE)</f>
        <v>#N/A</v>
      </c>
      <c r="O9" s="1" t="e">
        <f>VLOOKUP(A1,Data!$A$1:$DZU$999999,152,FALSE)</f>
        <v>#N/A</v>
      </c>
      <c r="P9" s="1" t="e">
        <f>VLOOKUP(A1,Data!$A$1:$DZU$999999,153,FALSE)</f>
        <v>#N/A</v>
      </c>
      <c r="Q9" s="1" t="e">
        <f>VLOOKUP(A1,Data!$A$1:$DZU$999999,154,FALSE)</f>
        <v>#N/A</v>
      </c>
    </row>
    <row r="10" spans="1:17" x14ac:dyDescent="0.35">
      <c r="A10" s="32" t="e">
        <f>VLOOKUP(A1,Data!$A$1:$DZU$999999,155,FALSE)</f>
        <v>#N/A</v>
      </c>
      <c r="B10" s="126" t="e">
        <f>VLOOKUP(A1,Data!$A$1:$DZU$999999,156,FALSE)</f>
        <v>#N/A</v>
      </c>
      <c r="C10" s="127"/>
      <c r="D10" s="127"/>
      <c r="E10" s="30" t="e">
        <f>VLOOKUP(A1,Data!$A$1:$DZU$999999,159,FALSE)</f>
        <v>#N/A</v>
      </c>
      <c r="F10" s="24" t="e">
        <f>VLOOKUP(A1,Data!$A$1:$DZU$999999,160,FALSE)</f>
        <v>#N/A</v>
      </c>
      <c r="G10" s="126" t="e">
        <f>VLOOKUP(A1,Data!$A$1:$DZU$999999,161,FALSE)</f>
        <v>#N/A</v>
      </c>
      <c r="H10" s="127"/>
      <c r="I10" s="127"/>
      <c r="J10" s="30" t="e">
        <f>VLOOKUP(A1,Data!$A$1:$DZU$999999,164,FALSE)</f>
        <v>#N/A</v>
      </c>
      <c r="K10" s="1" t="e">
        <f>VLOOKUP(A1,Data!$A$1:$DZU$999999,165,FALSE)</f>
        <v>#N/A</v>
      </c>
      <c r="L10" s="1" t="e">
        <f>VLOOKUP(A1,Data!$A$1:$DZU$999999,166,FALSE)</f>
        <v>#N/A</v>
      </c>
      <c r="M10" s="1" t="e">
        <f>VLOOKUP(A1,Data!$A$1:$DZU$999999,167,FALSE)</f>
        <v>#N/A</v>
      </c>
      <c r="N10" s="1" t="e">
        <f>VLOOKUP(A1,Data!$A$1:$DZU$999999,168,FALSE)</f>
        <v>#N/A</v>
      </c>
      <c r="O10" s="1" t="e">
        <f>VLOOKUP(A1,Data!$A$1:$DZU$999999,169,FALSE)</f>
        <v>#N/A</v>
      </c>
      <c r="P10" s="1" t="e">
        <f>VLOOKUP(A1,Data!$A$1:$DZU$999999,170,FALSE)</f>
        <v>#N/A</v>
      </c>
      <c r="Q10" s="1" t="e">
        <f>VLOOKUP(A1,Data!$A$1:$DZU$999999,171,FALSE)</f>
        <v>#N/A</v>
      </c>
    </row>
    <row r="11" spans="1:17" x14ac:dyDescent="0.35">
      <c r="A11" s="32" t="e">
        <f>VLOOKUP(A1,Data!$A$1:$DZU$999999,172,FALSE)</f>
        <v>#N/A</v>
      </c>
      <c r="B11" s="35" t="e">
        <f>VLOOKUP(A1,Data!$A$1:$DZU$999999,173,FALSE)</f>
        <v>#N/A</v>
      </c>
      <c r="C11" s="35" t="e">
        <f>VLOOKUP(A1,Data!$A$1:$DZU$999999,174,FALSE)</f>
        <v>#N/A</v>
      </c>
      <c r="D11" s="35" t="e">
        <f>VLOOKUP(A1,Data!$A$1:$DZU$999999,175,FALSE)</f>
        <v>#N/A</v>
      </c>
      <c r="E11" s="30" t="e">
        <f>VLOOKUP(A1,Data!$A$1:$DZU$999999,176,FALSE)</f>
        <v>#N/A</v>
      </c>
      <c r="F11" s="24" t="e">
        <f>VLOOKUP(A1,Data!$A$1:$DZU$999999,177,FALSE)</f>
        <v>#N/A</v>
      </c>
      <c r="G11" s="36" t="e">
        <f>VLOOKUP(A1,Data!$A$1:$DZU$999999,178,FALSE)</f>
        <v>#N/A</v>
      </c>
      <c r="H11" s="24" t="e">
        <f>VLOOKUP(A1,Data!$A$1:$DZU$999999,179,FALSE)</f>
        <v>#N/A</v>
      </c>
      <c r="I11" s="24" t="e">
        <f>VLOOKUP(A1,Data!$A$1:$DZU$999999,180,FALSE)</f>
        <v>#N/A</v>
      </c>
      <c r="J11" s="30" t="e">
        <f>VLOOKUP(A1,Data!$A$1:$DZU$999999,181,FALSE)</f>
        <v>#N/A</v>
      </c>
      <c r="K11" s="1" t="e">
        <f>VLOOKUP(A1,Data!$A$1:$DZU$999999,182,FALSE)</f>
        <v>#N/A</v>
      </c>
      <c r="L11" s="1" t="e">
        <f>VLOOKUP(A1,Data!$A$1:$DZU$999999,183,FALSE)</f>
        <v>#N/A</v>
      </c>
      <c r="M11" s="1" t="e">
        <f>VLOOKUP(A1,Data!$A$1:$DZU$999999,184,FALSE)</f>
        <v>#N/A</v>
      </c>
      <c r="N11" s="1" t="e">
        <f>VLOOKUP(A1,Data!$A$1:$DZU$999999,185,FALSE)</f>
        <v>#N/A</v>
      </c>
      <c r="O11" s="1" t="e">
        <f>VLOOKUP(A1,Data!$A$1:$DZU$999999,186,FALSE)</f>
        <v>#N/A</v>
      </c>
      <c r="P11" s="1" t="e">
        <f>VLOOKUP(A1,Data!$A$1:$DZU$999999,187,FALSE)</f>
        <v>#N/A</v>
      </c>
      <c r="Q11" s="1" t="e">
        <f>VLOOKUP(A1,Data!$A$1:$DZU$999999,188,FALSE)</f>
        <v>#N/A</v>
      </c>
    </row>
    <row r="12" spans="1:17" x14ac:dyDescent="0.35">
      <c r="A12" s="32" t="e">
        <f>VLOOKUP(A1,Data!$A$1:$DZU$999999,189,FALSE)</f>
        <v>#N/A</v>
      </c>
      <c r="B12" s="126" t="e">
        <f>VLOOKUP(A1,Data!$A$1:$DZU$999999,190,FALSE)</f>
        <v>#N/A</v>
      </c>
      <c r="C12" s="127"/>
      <c r="D12" s="127"/>
      <c r="E12" s="30" t="e">
        <f>VLOOKUP(A1,Data!$A$1:$DZU$999999,193,FALSE)</f>
        <v>#N/A</v>
      </c>
      <c r="F12" s="24" t="e">
        <f>VLOOKUP(A1,Data!$A$1:$DZU$999999,194,FALSE)</f>
        <v>#N/A</v>
      </c>
      <c r="G12" s="24" t="e">
        <f>VLOOKUP(A1,Data!$A$1:$DZU$999999,195,FALSE)</f>
        <v>#N/A</v>
      </c>
      <c r="H12" s="24" t="e">
        <f>VLOOKUP(A1,Data!$A$1:$DZU$999999,196,FALSE)</f>
        <v>#N/A</v>
      </c>
      <c r="I12" s="24" t="e">
        <f>VLOOKUP(A1,Data!$A$1:$DZU$999999,197,FALSE)</f>
        <v>#N/A</v>
      </c>
      <c r="J12" s="30" t="e">
        <f>VLOOKUP(A1,Data!$A$1:$DZU$999999,198,FALSE)</f>
        <v>#N/A</v>
      </c>
      <c r="K12" s="1" t="e">
        <f>VLOOKUP(A1,Data!$A$1:$DZU$999999,199,FALSE)</f>
        <v>#N/A</v>
      </c>
      <c r="L12" s="1" t="e">
        <f>VLOOKUP(A1,Data!$A$1:$DZU$999999,200,FALSE)</f>
        <v>#N/A</v>
      </c>
      <c r="M12" s="1" t="e">
        <f>VLOOKUP(A1,Data!$A$1:$DZU$999999,201,FALSE)</f>
        <v>#N/A</v>
      </c>
      <c r="N12" s="1" t="e">
        <f>VLOOKUP(A1,Data!$A$1:$DZU$999999,202,FALSE)</f>
        <v>#N/A</v>
      </c>
      <c r="O12" s="1" t="e">
        <f>VLOOKUP(A1,Data!$A$1:$DZU$999999,203,FALSE)</f>
        <v>#N/A</v>
      </c>
      <c r="P12" s="1" t="e">
        <f>VLOOKUP(A1,Data!$A$1:$DZU$999999,204,FALSE)</f>
        <v>#N/A</v>
      </c>
      <c r="Q12" s="1" t="e">
        <f>VLOOKUP(A1,Data!$A$1:$DZU$999999,205,FALSE)</f>
        <v>#N/A</v>
      </c>
    </row>
    <row r="13" spans="1:17" x14ac:dyDescent="0.35">
      <c r="A13" s="32" t="e">
        <f>VLOOKUP(A1,Data!$A$1:$DZU$999999,206,FALSE)</f>
        <v>#N/A</v>
      </c>
      <c r="B13" s="36" t="e">
        <f>VLOOKUP(A1,Data!$A$1:$DZU$999999,207,FALSE)</f>
        <v>#N/A</v>
      </c>
      <c r="C13" s="36" t="e">
        <f>VLOOKUP(A1,Data!$A$1:$DZU$999999,208,FALSE)</f>
        <v>#N/A</v>
      </c>
      <c r="D13" s="36" t="e">
        <f>VLOOKUP(A1,Data!$A$1:$DZU$999999,209,FALSE)</f>
        <v>#N/A</v>
      </c>
      <c r="E13" s="30" t="e">
        <f>VLOOKUP(A1,Data!$A$1:$DZU$999999,210,FALSE)</f>
        <v>#N/A</v>
      </c>
      <c r="F13" s="24" t="e">
        <f>VLOOKUP(A1,Data!$A$1:$DZU$999999,211,FALSE)</f>
        <v>#N/A</v>
      </c>
      <c r="G13" s="37" t="e">
        <f>VLOOKUP(A1,Data!$A$1:$DZU$999999,212,FALSE)</f>
        <v>#N/A</v>
      </c>
      <c r="H13" s="36" t="e">
        <f>VLOOKUP(A1,Data!$A$1:$DZU$999999,213,FALSE)</f>
        <v>#N/A</v>
      </c>
      <c r="I13" s="24" t="e">
        <f>VLOOKUP(A1,Data!$A$1:$DZU$999999,214,FALSE)</f>
        <v>#N/A</v>
      </c>
      <c r="J13" s="30" t="e">
        <f>VLOOKUP(A1,Data!$A$1:$DZU$999999,215,FALSE)</f>
        <v>#N/A</v>
      </c>
      <c r="K13" s="1" t="e">
        <f>VLOOKUP(A1,Data!$A$1:$DZU$999999,216,FALSE)</f>
        <v>#N/A</v>
      </c>
      <c r="L13" s="1" t="e">
        <f>VLOOKUP(A1,Data!$A$1:$DZU$999999,217,FALSE)</f>
        <v>#N/A</v>
      </c>
      <c r="M13" s="1" t="e">
        <f>VLOOKUP(A1,Data!$A$1:$DZU$999999,218,FALSE)</f>
        <v>#N/A</v>
      </c>
      <c r="N13" s="1" t="e">
        <f>VLOOKUP(A1,Data!$A$1:$DZU$999999,219,FALSE)</f>
        <v>#N/A</v>
      </c>
      <c r="O13" s="1" t="e">
        <f>VLOOKUP(A1,Data!$A$1:$DZU$999999,220,FALSE)</f>
        <v>#N/A</v>
      </c>
      <c r="P13" s="1" t="e">
        <f>VLOOKUP(A1,Data!$A$1:$DZU$999999,221,FALSE)</f>
        <v>#N/A</v>
      </c>
      <c r="Q13" s="1" t="e">
        <f>VLOOKUP(A1,Data!$A$1:$DZU$999999,222,FALSE)</f>
        <v>#N/A</v>
      </c>
    </row>
    <row r="14" spans="1:17" x14ac:dyDescent="0.35">
      <c r="A14" s="32" t="e">
        <f>VLOOKUP(A1,Data!$A$1:$DZU$999999,223,FALSE)</f>
        <v>#N/A</v>
      </c>
      <c r="B14" s="36" t="e">
        <f>VLOOKUP(A1,Data!$A$1:$DZU$999999,224,FALSE)</f>
        <v>#N/A</v>
      </c>
      <c r="C14" s="36" t="e">
        <f>VLOOKUP(A1,Data!$A$1:$DZU$999999,225,FALSE)</f>
        <v>#N/A</v>
      </c>
      <c r="D14" s="36" t="e">
        <f>VLOOKUP(A1,Data!$A$1:$DZU$999999,226,FALSE)</f>
        <v>#N/A</v>
      </c>
      <c r="E14" s="30" t="e">
        <f>VLOOKUP(A1,Data!$A$1:$DZU$999999,227,FALSE)</f>
        <v>#N/A</v>
      </c>
      <c r="F14" s="24" t="e">
        <f>VLOOKUP(A1,Data!$A$1:$DZU$999999,228,FALSE)</f>
        <v>#N/A</v>
      </c>
      <c r="G14" s="24" t="e">
        <f>VLOOKUP(A1,Data!$A$1:$DZU$999999,229,FALSE)</f>
        <v>#N/A</v>
      </c>
      <c r="H14" s="36" t="e">
        <f>VLOOKUP(A1,Data!$A$1:$DZU$999999,230,FALSE)</f>
        <v>#N/A</v>
      </c>
      <c r="I14" s="24" t="e">
        <f>VLOOKUP(A1,Data!$A$1:$DZU$999999,231,FALSE)</f>
        <v>#N/A</v>
      </c>
      <c r="J14" s="30" t="e">
        <f>VLOOKUP(A1,Data!$A$1:$DZU$999999,232,FALSE)</f>
        <v>#N/A</v>
      </c>
      <c r="K14" s="1" t="e">
        <f>VLOOKUP(A1,Data!$A$1:$DZU$999999,233,FALSE)</f>
        <v>#N/A</v>
      </c>
      <c r="L14" s="1" t="e">
        <f>VLOOKUP(A1,Data!$A$1:$DZU$999999,234,FALSE)</f>
        <v>#N/A</v>
      </c>
      <c r="M14" s="1" t="e">
        <f>VLOOKUP(A1,Data!$A$1:$DZU$999999,235,FALSE)</f>
        <v>#N/A</v>
      </c>
      <c r="N14" s="1" t="e">
        <f>VLOOKUP(A1,Data!$A$1:$DZU$999999,236,FALSE)</f>
        <v>#N/A</v>
      </c>
      <c r="O14" s="1" t="e">
        <f>VLOOKUP(A1,Data!$A$1:$DZU$999999,237,FALSE)</f>
        <v>#N/A</v>
      </c>
      <c r="P14" s="1" t="e">
        <f>VLOOKUP(A1,Data!$A$1:$DZU$999999,238,FALSE)</f>
        <v>#N/A</v>
      </c>
      <c r="Q14" s="1" t="e">
        <f>VLOOKUP(A1,Data!$A$1:$DZU$999999,239,FALSE)</f>
        <v>#N/A</v>
      </c>
    </row>
    <row r="15" spans="1:17" x14ac:dyDescent="0.35">
      <c r="A15" s="32" t="e">
        <f>VLOOKUP(A1,Data!$A$1:$DZU$999999,240,FALSE)</f>
        <v>#N/A</v>
      </c>
      <c r="B15" s="170" t="e">
        <f>VLOOKUP(A1,Data!$A$1:$DZU$999999,241,FALSE)</f>
        <v>#N/A</v>
      </c>
      <c r="C15" s="126"/>
      <c r="D15" s="35" t="e">
        <f>VLOOKUP(A1,Data!$A$1:$DZU$999999,243,FALSE)</f>
        <v>#N/A</v>
      </c>
      <c r="E15" s="30" t="e">
        <f>VLOOKUP(A1,Data!$A$1:$DZU$999999,244,FALSE)</f>
        <v>#N/A</v>
      </c>
      <c r="F15" s="24" t="e">
        <f>VLOOKUP(A1,Data!$A$1:$DZU$999999,245,FALSE)</f>
        <v>#N/A</v>
      </c>
      <c r="G15" s="24" t="e">
        <f>VLOOKUP(A1,Data!$A$1:$DZU$999999,246,FALSE)</f>
        <v>#N/A</v>
      </c>
      <c r="H15" s="24" t="e">
        <f>VLOOKUP(A1,Data!$A$1:$DZU$999999,247,FALSE)</f>
        <v>#N/A</v>
      </c>
      <c r="I15" s="24" t="e">
        <f>VLOOKUP(A1,Data!$A$1:$DZU$999999,248,FALSE)</f>
        <v>#N/A</v>
      </c>
      <c r="J15" s="30" t="e">
        <f>VLOOKUP(A1,Data!$A$1:$DZU$999999,249,FALSE)</f>
        <v>#N/A</v>
      </c>
      <c r="K15" s="1" t="e">
        <f>VLOOKUP(A1,Data!$A$1:$DZU$999999,250,FALSE)</f>
        <v>#N/A</v>
      </c>
      <c r="L15" s="1" t="e">
        <f>VLOOKUP(A1,Data!$A$1:$DZU$999999,251,FALSE)</f>
        <v>#N/A</v>
      </c>
      <c r="M15" s="1" t="e">
        <f>VLOOKUP(A1,Data!$A$1:$DZU$999999,252,FALSE)</f>
        <v>#N/A</v>
      </c>
      <c r="N15" s="1" t="e">
        <f>VLOOKUP(A1,Data!$A$1:$DZU$999999,253,FALSE)</f>
        <v>#N/A</v>
      </c>
      <c r="O15" s="1" t="e">
        <f>VLOOKUP(A1,Data!$A$1:$DZU$999999,254,FALSE)</f>
        <v>#N/A</v>
      </c>
      <c r="P15" s="1" t="e">
        <f>VLOOKUP(A1,Data!$A$1:$DZU$999999,255,FALSE)</f>
        <v>#N/A</v>
      </c>
      <c r="Q15" s="1" t="e">
        <f>VLOOKUP(A1,Data!$A$1:$DZU$999999,256,FALSE)</f>
        <v>#N/A</v>
      </c>
    </row>
    <row r="16" spans="1:17" x14ac:dyDescent="0.35">
      <c r="A16" s="32" t="e">
        <f>VLOOKUP(A1,Data!$A$1:$DZU$999999,257,FALSE)</f>
        <v>#N/A</v>
      </c>
      <c r="B16" s="170" t="e">
        <f>VLOOKUP(A1,Data!$A$1:$DZU$999999,258,FALSE)</f>
        <v>#N/A</v>
      </c>
      <c r="C16" s="126"/>
      <c r="D16" s="35" t="e">
        <f>VLOOKUP(A1,Data!$A$1:$DZU$999999,260,FALSE)</f>
        <v>#N/A</v>
      </c>
      <c r="E16" s="30" t="e">
        <f>VLOOKUP(A1,Data!$A$1:$DZU$999999,261,FALSE)</f>
        <v>#N/A</v>
      </c>
      <c r="F16" s="24" t="e">
        <f>VLOOKUP(A1,Data!$A$1:$DZU$999999,262,FALSE)</f>
        <v>#N/A</v>
      </c>
      <c r="G16" s="169" t="e">
        <f>VLOOKUP(A1,Data!$A$1:$DZU$999999,263,FALSE)</f>
        <v>#N/A</v>
      </c>
      <c r="H16" s="169"/>
      <c r="I16" s="169"/>
      <c r="J16" s="30" t="e">
        <f>VLOOKUP(A1,Data!$A$1:$DZU$999999,266,FALSE)</f>
        <v>#N/A</v>
      </c>
      <c r="K16" s="1" t="e">
        <f>VLOOKUP(A1,Data!$A$1:$DZU$999999,267,FALSE)</f>
        <v>#N/A</v>
      </c>
      <c r="L16" s="1" t="e">
        <f>VLOOKUP(A1,Data!$A$1:$DZU$999999,268,FALSE)</f>
        <v>#N/A</v>
      </c>
      <c r="M16" s="1" t="e">
        <f>VLOOKUP(A1,Data!$A$1:$DZU$999999,269,FALSE)</f>
        <v>#N/A</v>
      </c>
      <c r="N16" s="1" t="e">
        <f>VLOOKUP(A1,Data!$A$1:$DZU$999999,270,FALSE)</f>
        <v>#N/A</v>
      </c>
      <c r="O16" s="1" t="e">
        <f>VLOOKUP(A1,Data!$A$1:$DZU$999999,271,FALSE)</f>
        <v>#N/A</v>
      </c>
      <c r="P16" s="1" t="e">
        <f>VLOOKUP(A1,Data!$A$1:$DZU$999999,272,FALSE)</f>
        <v>#N/A</v>
      </c>
      <c r="Q16" s="1" t="e">
        <f>VLOOKUP(A1,Data!$A$1:$DZU$999999,273,FALSE)</f>
        <v>#N/A</v>
      </c>
    </row>
    <row r="17" spans="1:17" x14ac:dyDescent="0.35">
      <c r="A17" s="32" t="e">
        <f>VLOOKUP(A1,Data!$A$1:$DZU$999999,274,FALSE)</f>
        <v>#N/A</v>
      </c>
      <c r="B17" s="128" t="e">
        <f>VLOOKUP(A1,Data!$A$1:$DZU$999999,275,FALSE)</f>
        <v>#N/A</v>
      </c>
      <c r="C17" s="108"/>
      <c r="D17" s="108"/>
      <c r="E17" s="30" t="e">
        <f>VLOOKUP(A1,Data!$A$1:$DZU$999999,278,FALSE)</f>
        <v>#N/A</v>
      </c>
      <c r="F17" s="24" t="e">
        <f>VLOOKUP(A1,Data!$A$1:$DZU$999999,279,FALSE)</f>
        <v>#N/A</v>
      </c>
      <c r="G17" s="126" t="e">
        <f>VLOOKUP(A1,Data!$A$1:$DZU$999999,280,FALSE)</f>
        <v>#N/A</v>
      </c>
      <c r="H17" s="126"/>
      <c r="I17" s="126"/>
      <c r="J17" s="30" t="e">
        <f>VLOOKUP(A1,Data!$A$1:$DZU$999999,283,FALSE)</f>
        <v>#N/A</v>
      </c>
      <c r="K17" s="1" t="e">
        <f>VLOOKUP(A1,Data!$A$1:$DZU$999999,284,FALSE)</f>
        <v>#N/A</v>
      </c>
      <c r="L17" s="1" t="e">
        <f>VLOOKUP(A1,Data!$A$1:$DZU$999999,285,FALSE)</f>
        <v>#N/A</v>
      </c>
      <c r="M17" s="1" t="e">
        <f>VLOOKUP(A1,Data!$A$1:$DZU$999999,286,FALSE)</f>
        <v>#N/A</v>
      </c>
      <c r="N17" s="1" t="e">
        <f>VLOOKUP(A1,Data!$A$1:$DZU$999999,287,FALSE)</f>
        <v>#N/A</v>
      </c>
      <c r="O17" s="1" t="e">
        <f>VLOOKUP(A1,Data!$A$1:$DZU$999999,288,FALSE)</f>
        <v>#N/A</v>
      </c>
      <c r="P17" s="1" t="e">
        <f>VLOOKUP(A1,Data!$A$1:$DZU$999999,289,FALSE)</f>
        <v>#N/A</v>
      </c>
      <c r="Q17" s="1" t="e">
        <f>VLOOKUP(A1,Data!$A$1:$DZU$999999,290,FALSE)</f>
        <v>#N/A</v>
      </c>
    </row>
    <row r="18" spans="1:17" x14ac:dyDescent="0.35">
      <c r="A18" s="32" t="e">
        <f>VLOOKUP(A1,Data!$A$1:$DZU$999999,291,FALSE)</f>
        <v>#N/A</v>
      </c>
      <c r="B18" s="128" t="e">
        <f>VLOOKUP(A1,Data!$A$1:$DZU$999999,292,FALSE)</f>
        <v>#N/A</v>
      </c>
      <c r="C18" s="108"/>
      <c r="D18" s="108"/>
      <c r="E18" s="30" t="e">
        <f>VLOOKUP(A1,Data!$A$1:$DZU$999999,295,FALSE)</f>
        <v>#N/A</v>
      </c>
      <c r="F18" s="24" t="e">
        <f>VLOOKUP(A1,Data!$A$1:$DZU$999999,296,FALSE)</f>
        <v>#N/A</v>
      </c>
      <c r="G18" s="126" t="e">
        <f>VLOOKUP(A1,Data!$A$1:$DZU$999999,297,FALSE)</f>
        <v>#N/A</v>
      </c>
      <c r="H18" s="127"/>
      <c r="I18" s="127"/>
      <c r="J18" s="30" t="e">
        <f>VLOOKUP(A1,Data!$A$1:$DZU$999999,300,FALSE)</f>
        <v>#N/A</v>
      </c>
      <c r="K18" s="1" t="e">
        <f>VLOOKUP(A1,Data!$A$1:$DZU$999999,301,FALSE)</f>
        <v>#N/A</v>
      </c>
      <c r="L18" s="1" t="e">
        <f>VLOOKUP(A1,Data!$A$1:$DZU$999999,302,FALSE)</f>
        <v>#N/A</v>
      </c>
      <c r="M18" s="1" t="e">
        <f>VLOOKUP(A1,Data!$A$1:$DZU$999999,303,FALSE)</f>
        <v>#N/A</v>
      </c>
      <c r="N18" s="1" t="e">
        <f>VLOOKUP(A1,Data!$A$1:$DZU$999999,304,FALSE)</f>
        <v>#N/A</v>
      </c>
      <c r="O18" s="1" t="e">
        <f>VLOOKUP(A1,Data!$A$1:$DZU$999999,305,FALSE)</f>
        <v>#N/A</v>
      </c>
      <c r="P18" s="1" t="e">
        <f>VLOOKUP(A1,Data!$A$1:$DZU$999999,306,FALSE)</f>
        <v>#N/A</v>
      </c>
      <c r="Q18" s="1" t="e">
        <f>VLOOKUP(A1,Data!$A$1:$DZU$999999,307,FALSE)</f>
        <v>#N/A</v>
      </c>
    </row>
    <row r="19" spans="1:17" x14ac:dyDescent="0.35">
      <c r="A19" s="32" t="e">
        <f>VLOOKUP(A1,Data!$A$1:$DZU$999999,308,FALSE)</f>
        <v>#N/A</v>
      </c>
      <c r="B19" s="24" t="e">
        <f>VLOOKUP(A1,Data!$A$1:$DZU$999999,309,FALSE)</f>
        <v>#N/A</v>
      </c>
      <c r="C19" s="24" t="e">
        <f>VLOOKUP(A1,Data!$A$1:$DZU$999999,310,FALSE)</f>
        <v>#N/A</v>
      </c>
      <c r="D19" s="24" t="e">
        <f>VLOOKUP(A1,Data!$A$1:$DZU$999999,311,FALSE)</f>
        <v>#N/A</v>
      </c>
      <c r="E19" s="30" t="e">
        <f>VLOOKUP(A1,Data!$A$1:$DZU$999999,312,FALSE)</f>
        <v>#N/A</v>
      </c>
      <c r="F19" s="24" t="e">
        <f>VLOOKUP(A1,Data!$A$1:$DZU$999999,313,FALSE)</f>
        <v>#N/A</v>
      </c>
      <c r="G19" s="36" t="e">
        <f>VLOOKUP(A1,Data!$A$1:$DZU$999999,314,FALSE)</f>
        <v>#N/A</v>
      </c>
      <c r="H19" s="24" t="e">
        <f>VLOOKUP(A1,Data!$A$1:$DZU$999999,315,FALSE)</f>
        <v>#N/A</v>
      </c>
      <c r="I19" s="24" t="e">
        <f>VLOOKUP(A1,Data!$A$1:$DZU$999999,316,FALSE)</f>
        <v>#N/A</v>
      </c>
      <c r="J19" s="30" t="e">
        <f>VLOOKUP(A1,Data!$A$1:$DZU$999999,317,FALSE)</f>
        <v>#N/A</v>
      </c>
      <c r="K19" s="1" t="e">
        <f>VLOOKUP(A1,Data!$A$1:$DZU$999999,318,FALSE)</f>
        <v>#N/A</v>
      </c>
      <c r="L19" s="1" t="e">
        <f>VLOOKUP(A1,Data!$A$1:$DZU$999999,319,FALSE)</f>
        <v>#N/A</v>
      </c>
      <c r="M19" s="1" t="e">
        <f>VLOOKUP(A1,Data!$A$1:$DZU$999999,320,FALSE)</f>
        <v>#N/A</v>
      </c>
      <c r="N19" s="1" t="e">
        <f>VLOOKUP(A1,Data!$A$1:$DZU$999999,321,FALSE)</f>
        <v>#N/A</v>
      </c>
      <c r="O19" s="1" t="e">
        <f>VLOOKUP(A1,Data!$A$1:$DZU$999999,322,FALSE)</f>
        <v>#N/A</v>
      </c>
      <c r="P19" s="1" t="e">
        <f>VLOOKUP(A1,Data!$A$1:$DZU$999999,323,FALSE)</f>
        <v>#N/A</v>
      </c>
      <c r="Q19" s="1" t="e">
        <f>VLOOKUP(A1,Data!$A$1:$DZU$999999,324,FALSE)</f>
        <v>#N/A</v>
      </c>
    </row>
    <row r="20" spans="1:17" x14ac:dyDescent="0.35">
      <c r="A20" s="129" t="e">
        <f>VLOOKUP(A1,Data!$A$1:$DZU$999999,325,FALSE)</f>
        <v>#N/A</v>
      </c>
      <c r="B20" s="112"/>
      <c r="C20" s="34" t="e">
        <f>VLOOKUP(A1,Data!$A$1:$DZU$999999,327,FALSE)</f>
        <v>#N/A</v>
      </c>
      <c r="D20" s="24" t="e">
        <f>VLOOKUP(A1,Data!$A$1:$DZU$999999,328,FALSE)</f>
        <v>#N/A</v>
      </c>
      <c r="E20" s="38" t="e">
        <f>VLOOKUP(A1,Data!$A$1:$DZU$999999,329,FALSE)</f>
        <v>#N/A</v>
      </c>
      <c r="F20" s="130" t="e">
        <f>VLOOKUP(A1,Data!$A$1:$DZU$999999,330,FALSE)</f>
        <v>#N/A</v>
      </c>
      <c r="G20" s="105"/>
      <c r="H20" s="39" t="e">
        <f>VLOOKUP(A1,Data!$A$1:$DZU$999999,332,FALSE)</f>
        <v>#N/A</v>
      </c>
      <c r="I20" s="39" t="e">
        <f>VLOOKUP(A1,Data!$A$1:$DZU$999999,333,FALSE)</f>
        <v>#N/A</v>
      </c>
      <c r="J20" s="34" t="e">
        <f>VLOOKUP(A1,Data!$A$1:$DZU$999999,334,FALSE)</f>
        <v>#N/A</v>
      </c>
      <c r="K20" s="1" t="e">
        <f>VLOOKUP(A1,Data!$A$1:$DZU$999999,335,FALSE)</f>
        <v>#N/A</v>
      </c>
      <c r="L20" s="1" t="e">
        <f>VLOOKUP(A1,Data!$A$1:$DZU$999999,336,FALSE)</f>
        <v>#N/A</v>
      </c>
      <c r="M20" s="1" t="e">
        <f>VLOOKUP(A1,Data!$A$1:$DZU$999999,337,FALSE)</f>
        <v>#N/A</v>
      </c>
      <c r="N20" s="1" t="e">
        <f>VLOOKUP(A1,Data!$A$1:$DZU$999999,338,FALSE)</f>
        <v>#N/A</v>
      </c>
      <c r="O20" s="1" t="e">
        <f>VLOOKUP(A1,Data!$A$1:$DZU$999999,339,FALSE)</f>
        <v>#N/A</v>
      </c>
      <c r="P20" s="1" t="e">
        <f>VLOOKUP(A1,Data!$A$1:$DZU$999999,340,FALSE)</f>
        <v>#N/A</v>
      </c>
      <c r="Q20" s="1" t="e">
        <f>VLOOKUP(A1,Data!$A$1:$DZU$999999,341,FALSE)</f>
        <v>#N/A</v>
      </c>
    </row>
    <row r="21" spans="1:17" ht="15.5" x14ac:dyDescent="0.35">
      <c r="A21" s="103" t="e">
        <f>VLOOKUP(A1,Data!$A$1:$DZU$999999,342,FALSE)</f>
        <v>#N/A</v>
      </c>
      <c r="B21" s="104"/>
      <c r="C21" s="104"/>
      <c r="D21" s="104"/>
      <c r="E21" s="104"/>
      <c r="F21" s="104"/>
      <c r="G21" s="104"/>
      <c r="H21" s="104"/>
      <c r="I21" s="104"/>
      <c r="J21" s="105"/>
      <c r="K21" s="1" t="e">
        <f>VLOOKUP(A1,Data!$A$1:$DZU$999999,352,FALSE)</f>
        <v>#N/A</v>
      </c>
      <c r="L21" s="1" t="e">
        <f>VLOOKUP(A1,Data!$A$1:$DZU$999999,353,FALSE)</f>
        <v>#N/A</v>
      </c>
      <c r="M21" s="1" t="e">
        <f>VLOOKUP(A1,Data!$A$1:$DZU$999999,354,FALSE)</f>
        <v>#N/A</v>
      </c>
      <c r="N21" s="1" t="e">
        <f>VLOOKUP(A1,Data!$A$1:$DZU$999999,355,FALSE)</f>
        <v>#N/A</v>
      </c>
      <c r="O21" s="1" t="e">
        <f>VLOOKUP(A1,Data!$A$1:$DZU$999999,356,FALSE)</f>
        <v>#N/A</v>
      </c>
      <c r="P21" s="1" t="e">
        <f>VLOOKUP(A1,Data!$A$1:$DZU$999999,357,FALSE)</f>
        <v>#N/A</v>
      </c>
      <c r="Q21" s="1" t="e">
        <f>VLOOKUP(A1,Data!$A$1:$DZU$999999,358,FALSE)</f>
        <v>#N/A</v>
      </c>
    </row>
    <row r="22" spans="1:17" x14ac:dyDescent="0.35">
      <c r="A22" s="106" t="e">
        <f>VLOOKUP(A1,Data!$A$1:$DZU$999999,359,FALSE)</f>
        <v>#N/A</v>
      </c>
      <c r="B22" s="104"/>
      <c r="C22" s="104"/>
      <c r="D22" s="104"/>
      <c r="E22" s="104"/>
      <c r="F22" s="104"/>
      <c r="G22" s="105"/>
      <c r="H22" s="40" t="e">
        <f>VLOOKUP(A1,Data!$A$1:$DZU$999999,366,FALSE)</f>
        <v>#N/A</v>
      </c>
      <c r="I22" s="40" t="e">
        <f>VLOOKUP(A1,Data!$A$1:$DZU$999999,367,FALSE)</f>
        <v>#N/A</v>
      </c>
      <c r="J22" s="40" t="e">
        <f>VLOOKUP(A1,Data!$A$1:$DZU$999999,368,FALSE)</f>
        <v>#N/A</v>
      </c>
      <c r="K22" s="1" t="e">
        <f>VLOOKUP(A1,Data!$A$1:$DZU$999999,369,FALSE)</f>
        <v>#N/A</v>
      </c>
      <c r="L22" s="1" t="e">
        <f>VLOOKUP(A1,Data!$A$1:$DZU$999999,370,FALSE)</f>
        <v>#N/A</v>
      </c>
      <c r="M22" s="1" t="e">
        <f>VLOOKUP(A1,Data!$A$1:$DZU$999999,371,FALSE)</f>
        <v>#N/A</v>
      </c>
      <c r="N22" s="1" t="e">
        <f>VLOOKUP(A1,Data!$A$1:$DZU$999999,372,FALSE)</f>
        <v>#N/A</v>
      </c>
      <c r="O22" s="1" t="e">
        <f>VLOOKUP(A1,Data!$A$1:$DZU$999999,373,FALSE)</f>
        <v>#N/A</v>
      </c>
      <c r="P22" s="1" t="e">
        <f>VLOOKUP(A1,Data!$A$1:$DZU$999999,374,FALSE)</f>
        <v>#N/A</v>
      </c>
      <c r="Q22" s="1" t="e">
        <f>VLOOKUP(A1,Data!$A$1:$DZU$999999,375,FALSE)</f>
        <v>#N/A</v>
      </c>
    </row>
    <row r="23" spans="1:17" ht="15.5" x14ac:dyDescent="0.35">
      <c r="A23" s="41" t="e">
        <f>VLOOKUP(A1,Data!$A$1:$DZU$999999,376,FALSE)</f>
        <v>#N/A</v>
      </c>
      <c r="B23" s="155" t="e">
        <f>VLOOKUP(A1,Data!$A$1:$DZU$999999,377,FALSE)</f>
        <v>#N/A</v>
      </c>
      <c r="C23" s="156"/>
      <c r="D23" s="156"/>
      <c r="E23" s="156"/>
      <c r="F23" s="156"/>
      <c r="G23" s="157"/>
      <c r="H23" s="43" t="e">
        <f>VLOOKUP(A1,Data!$A$1:$DZU$999999,383,FALSE)</f>
        <v>#N/A</v>
      </c>
      <c r="I23" s="44" t="e">
        <f>VLOOKUP(A1,Data!$A$1:$DZU$999999,384,FALSE)</f>
        <v>#N/A</v>
      </c>
      <c r="J23" s="45" t="e">
        <f>VLOOKUP(A1,Data!$A$1:$DZU$999999,385,FALSE)</f>
        <v>#N/A</v>
      </c>
      <c r="K23" s="1" t="e">
        <f>VLOOKUP(A1,Data!$A$1:$DZU$999999,386,FALSE)</f>
        <v>#N/A</v>
      </c>
      <c r="L23" s="1" t="e">
        <f>VLOOKUP(A1,Data!$A$1:$DZU$999999,387,FALSE)</f>
        <v>#N/A</v>
      </c>
      <c r="M23" s="1" t="e">
        <f>VLOOKUP(A1,Data!$A$1:$DZU$999999,388,FALSE)</f>
        <v>#N/A</v>
      </c>
      <c r="N23" s="1" t="e">
        <f>VLOOKUP(A1,Data!$A$1:$DZU$999999,389,FALSE)</f>
        <v>#N/A</v>
      </c>
      <c r="O23" s="1" t="e">
        <f>VLOOKUP(A1,Data!$A$1:$DZU$999999,390,FALSE)</f>
        <v>#N/A</v>
      </c>
      <c r="P23" s="1" t="e">
        <f>VLOOKUP(A1,Data!$A$1:$DZU$999999,391,FALSE)</f>
        <v>#N/A</v>
      </c>
      <c r="Q23" s="1" t="e">
        <f>VLOOKUP(A1,Data!$A$1:$DZU$999999,392,FALSE)</f>
        <v>#N/A</v>
      </c>
    </row>
    <row r="24" spans="1:17" x14ac:dyDescent="0.35">
      <c r="A24" s="107" t="e">
        <f>VLOOKUP(A1,Data!$A$1:$DZU$999999,393,FALSE)</f>
        <v>#N/A</v>
      </c>
      <c r="B24" s="108"/>
      <c r="C24" s="108"/>
      <c r="D24" s="108"/>
      <c r="E24" s="108"/>
      <c r="F24" s="108"/>
      <c r="G24" s="109"/>
      <c r="H24" s="46" t="e">
        <f>VLOOKUP(A1,Data!$A$1:$DZU$999999,400,FALSE)</f>
        <v>#N/A</v>
      </c>
      <c r="I24" s="47" t="e">
        <f>VLOOKUP(A1,Data!$A$1:$DZU$999999,401,FALSE)</f>
        <v>#N/A</v>
      </c>
      <c r="J24" s="48" t="e">
        <f>VLOOKUP(A1,Data!$A$1:$DZU$999999,402,FALSE)</f>
        <v>#N/A</v>
      </c>
      <c r="K24" s="1" t="e">
        <f>VLOOKUP(A1,Data!$A$1:$DZU$999999,403,FALSE)</f>
        <v>#N/A</v>
      </c>
      <c r="L24" s="1" t="e">
        <f>VLOOKUP(A1,Data!$A$1:$DZU$999999,404,FALSE)</f>
        <v>#N/A</v>
      </c>
      <c r="M24" s="1" t="e">
        <f>VLOOKUP(A1,Data!$A$1:$DZU$999999,405,FALSE)</f>
        <v>#N/A</v>
      </c>
      <c r="N24" s="1" t="e">
        <f>VLOOKUP(A1,Data!$A$1:$DZU$999999,406,FALSE)</f>
        <v>#N/A</v>
      </c>
      <c r="O24" s="1" t="e">
        <f>VLOOKUP(A1,Data!$A$1:$DZU$999999,407,FALSE)</f>
        <v>#N/A</v>
      </c>
      <c r="P24" s="1" t="e">
        <f>VLOOKUP(A1,Data!$A$1:$DZU$999999,408,FALSE)</f>
        <v>#N/A</v>
      </c>
      <c r="Q24" s="1" t="e">
        <f>VLOOKUP(A1,Data!$A$1:$DZU$999999,409,FALSE)</f>
        <v>#N/A</v>
      </c>
    </row>
    <row r="25" spans="1:17" x14ac:dyDescent="0.35">
      <c r="A25" s="158" t="e">
        <f>VLOOKUP(A1,Data!$A$1:$DZU$999999,410,FALSE)</f>
        <v>#N/A</v>
      </c>
      <c r="B25" s="159"/>
      <c r="C25" s="159"/>
      <c r="D25" s="49" t="e">
        <f>VLOOKUP(A1,Data!$A$1:$DZU$999999,413,FALSE)</f>
        <v>#N/A</v>
      </c>
      <c r="E25" s="50" t="e">
        <f>VLOOKUP(A1,Data!$A$1:$DZU$999999,414,FALSE)</f>
        <v>#N/A</v>
      </c>
      <c r="F25" s="51" t="e">
        <f>VLOOKUP(A1,Data!$A$1:$DZU$999999,415,FALSE)</f>
        <v>#N/A</v>
      </c>
      <c r="G25" s="52" t="e">
        <f>VLOOKUP(A1,Data!$A$1:$DZU$999999,416,FALSE)</f>
        <v>#N/A</v>
      </c>
      <c r="H25" s="53" t="e">
        <f>VLOOKUP(A1,Data!$A$1:$DZU$999999,417,FALSE)</f>
        <v>#N/A</v>
      </c>
      <c r="I25" s="54" t="e">
        <f>VLOOKUP(A1,Data!$A$1:$DZU$999999,418,FALSE)</f>
        <v>#N/A</v>
      </c>
      <c r="J25" s="55" t="e">
        <f>VLOOKUP(A1,Data!$A$1:$DZU$999999,419,FALSE)</f>
        <v>#N/A</v>
      </c>
      <c r="K25" s="1" t="e">
        <f>VLOOKUP(A1,Data!$A$1:$DZU$999999,420,FALSE)</f>
        <v>#N/A</v>
      </c>
      <c r="L25" s="1" t="e">
        <f>VLOOKUP(A1,Data!$A$1:$DZU$999999,421,FALSE)</f>
        <v>#N/A</v>
      </c>
      <c r="M25" s="1" t="e">
        <f>VLOOKUP(A1,Data!$A$1:$DZU$999999,422,FALSE)</f>
        <v>#N/A</v>
      </c>
      <c r="N25" s="1" t="e">
        <f>VLOOKUP(A1,Data!$A$1:$DZU$999999,423,FALSE)</f>
        <v>#N/A</v>
      </c>
      <c r="O25" s="1" t="e">
        <f>VLOOKUP(A1,Data!$A$1:$DZU$999999,424,FALSE)</f>
        <v>#N/A</v>
      </c>
      <c r="P25" s="1" t="e">
        <f>VLOOKUP(A1,Data!$A$1:$DZU$999999,425,FALSE)</f>
        <v>#N/A</v>
      </c>
      <c r="Q25" s="1" t="e">
        <f>VLOOKUP(A1,Data!$A$1:$DZU$999999,426,FALSE)</f>
        <v>#N/A</v>
      </c>
    </row>
    <row r="26" spans="1:17" x14ac:dyDescent="0.35">
      <c r="A26" s="110" t="e">
        <f>VLOOKUP(A1,Data!$A$1:$DZU$999999,427,FALSE)</f>
        <v>#N/A</v>
      </c>
      <c r="B26" s="111"/>
      <c r="C26" s="111"/>
      <c r="D26" s="111"/>
      <c r="E26" s="111"/>
      <c r="F26" s="111"/>
      <c r="G26" s="112"/>
      <c r="H26" s="46" t="e">
        <f>VLOOKUP(A1,Data!$A$1:$DZU$999999,434,FALSE)</f>
        <v>#N/A</v>
      </c>
      <c r="I26" s="47" t="e">
        <f>VLOOKUP(A1,Data!$A$1:$DZU$999999,435,FALSE)</f>
        <v>#N/A</v>
      </c>
      <c r="J26" s="48" t="e">
        <f>VLOOKUP(A1,Data!$A$1:$DZU$999999,436,FALSE)</f>
        <v>#N/A</v>
      </c>
      <c r="K26" s="1" t="e">
        <f>VLOOKUP(A1,Data!$A$1:$DZU$999999,437,FALSE)</f>
        <v>#N/A</v>
      </c>
      <c r="L26" s="1" t="e">
        <f>VLOOKUP(A1,Data!$A$1:$DZU$999999,438,FALSE)</f>
        <v>#N/A</v>
      </c>
      <c r="M26" s="1" t="e">
        <f>VLOOKUP(A1,Data!$A$1:$DZU$999999,439,FALSE)</f>
        <v>#N/A</v>
      </c>
      <c r="N26" s="1" t="e">
        <f>VLOOKUP(A1,Data!$A$1:$DZU$999999,440,FALSE)</f>
        <v>#N/A</v>
      </c>
      <c r="O26" s="1" t="e">
        <f>VLOOKUP(A1,Data!$A$1:$DZU$999999,441,FALSE)</f>
        <v>#N/A</v>
      </c>
      <c r="P26" s="1" t="e">
        <f>VLOOKUP(A1,Data!$A$1:$DZU$999999,442,FALSE)</f>
        <v>#N/A</v>
      </c>
      <c r="Q26" s="1" t="e">
        <f>VLOOKUP(A1,Data!$A$1:$DZU$999999,443,FALSE)</f>
        <v>#N/A</v>
      </c>
    </row>
    <row r="27" spans="1:17" x14ac:dyDescent="0.35">
      <c r="A27" s="114" t="e">
        <f>VLOOKUP(A1,Data!$A$1:$DZU$999999,444,FALSE)</f>
        <v>#N/A</v>
      </c>
      <c r="B27" s="115"/>
      <c r="C27" s="115"/>
      <c r="D27" s="115"/>
      <c r="E27" s="115"/>
      <c r="F27" s="115"/>
      <c r="G27" s="115"/>
      <c r="H27" s="56" t="e">
        <f>VLOOKUP(A1,Data!$A$1:$DZU$999999,451,FALSE)</f>
        <v>#N/A</v>
      </c>
      <c r="I27" s="56" t="e">
        <f>VLOOKUP(A1,Data!$A$1:$DZU$999999,452,FALSE)</f>
        <v>#N/A</v>
      </c>
      <c r="J27" s="57" t="e">
        <f>VLOOKUP(A1,Data!$A$1:$DZU$999999,453,FALSE)</f>
        <v>#N/A</v>
      </c>
      <c r="K27" s="1" t="e">
        <f>VLOOKUP(A1,Data!$A$1:$DZU$999999,454,FALSE)</f>
        <v>#N/A</v>
      </c>
      <c r="L27" s="1" t="e">
        <f>VLOOKUP(A1,Data!$A$1:$DZU$999999,455,FALSE)</f>
        <v>#N/A</v>
      </c>
      <c r="M27" s="1" t="e">
        <f>VLOOKUP(A1,Data!$A$1:$DZU$999999,456,FALSE)</f>
        <v>#N/A</v>
      </c>
      <c r="N27" s="1" t="e">
        <f>VLOOKUP(A1,Data!$A$1:$DZU$999999,457,FALSE)</f>
        <v>#N/A</v>
      </c>
      <c r="O27" s="1" t="e">
        <f>VLOOKUP(A1,Data!$A$1:$DZU$999999,458,FALSE)</f>
        <v>#N/A</v>
      </c>
      <c r="P27" s="1" t="e">
        <f>VLOOKUP(A1,Data!$A$1:$DZU$999999,459,FALSE)</f>
        <v>#N/A</v>
      </c>
      <c r="Q27" s="1" t="e">
        <f>VLOOKUP(A1,Data!$A$1:$DZU$999999,460,FALSE)</f>
        <v>#N/A</v>
      </c>
    </row>
    <row r="28" spans="1:17" x14ac:dyDescent="0.35">
      <c r="A28" s="114" t="e">
        <f>VLOOKUP(A1,Data!$A$1:$DZU$999999,461,FALSE)</f>
        <v>#N/A</v>
      </c>
      <c r="B28" s="115"/>
      <c r="C28" s="115"/>
      <c r="D28" s="115"/>
      <c r="E28" s="115"/>
      <c r="F28" s="115"/>
      <c r="G28" s="115"/>
      <c r="H28" s="56" t="e">
        <f>VLOOKUP(A1,Data!$A$1:$DZU$999999,468,FALSE)</f>
        <v>#N/A</v>
      </c>
      <c r="I28" s="56" t="e">
        <f>VLOOKUP(A1,Data!$A$1:$DZU$999999,469,FALSE)</f>
        <v>#N/A</v>
      </c>
      <c r="J28" s="57" t="e">
        <f>VLOOKUP(A1,Data!$A$1:$DZU$999999,470,FALSE)</f>
        <v>#N/A</v>
      </c>
      <c r="K28" s="1" t="e">
        <f>VLOOKUP(A1,Data!$A$1:$DZU$999999,471,FALSE)</f>
        <v>#N/A</v>
      </c>
      <c r="L28" s="1" t="e">
        <f>VLOOKUP(A1,Data!$A$1:$DZU$999999,472,FALSE)</f>
        <v>#N/A</v>
      </c>
      <c r="M28" s="1" t="e">
        <f>VLOOKUP(A1,Data!$A$1:$DZU$999999,473,FALSE)</f>
        <v>#N/A</v>
      </c>
      <c r="N28" s="1" t="e">
        <f>VLOOKUP(A1,Data!$A$1:$DZU$999999,474,FALSE)</f>
        <v>#N/A</v>
      </c>
      <c r="O28" s="1" t="e">
        <f>VLOOKUP(A1,Data!$A$1:$DZU$999999,475,FALSE)</f>
        <v>#N/A</v>
      </c>
      <c r="P28" s="1" t="e">
        <f>VLOOKUP(A1,Data!$A$1:$DZU$999999,476,FALSE)</f>
        <v>#N/A</v>
      </c>
      <c r="Q28" s="1" t="e">
        <f>VLOOKUP(A1,Data!$A$1:$DZU$999999,477,FALSE)</f>
        <v>#N/A</v>
      </c>
    </row>
    <row r="29" spans="1:17" x14ac:dyDescent="0.35">
      <c r="A29" s="114" t="e">
        <f>VLOOKUP(A1,Data!$A$1:$DZU$999999,478,FALSE)</f>
        <v>#N/A</v>
      </c>
      <c r="B29" s="115"/>
      <c r="C29" s="115"/>
      <c r="D29" s="115"/>
      <c r="E29" s="115"/>
      <c r="F29" s="115"/>
      <c r="G29" s="115"/>
      <c r="H29" s="56" t="e">
        <f>VLOOKUP(A1,Data!$A$1:$DZU$999999,485,FALSE)</f>
        <v>#N/A</v>
      </c>
      <c r="I29" s="56" t="e">
        <f>VLOOKUP(A1,Data!$A$1:$DZU$999999,486,FALSE)</f>
        <v>#N/A</v>
      </c>
      <c r="J29" s="57" t="e">
        <f>VLOOKUP(A1,Data!$A$1:$DZU$999999,487,FALSE)</f>
        <v>#N/A</v>
      </c>
      <c r="K29" s="1" t="e">
        <f>VLOOKUP(A1,Data!$A$1:$DZU$999999,488,FALSE)</f>
        <v>#N/A</v>
      </c>
      <c r="L29" s="1" t="e">
        <f>VLOOKUP(A1,Data!$A$1:$DZU$999999,489,FALSE)</f>
        <v>#N/A</v>
      </c>
      <c r="M29" s="1" t="e">
        <f>VLOOKUP(A1,Data!$A$1:$DZU$999999,490,FALSE)</f>
        <v>#N/A</v>
      </c>
      <c r="N29" s="1" t="e">
        <f>VLOOKUP(A1,Data!$A$1:$DZU$999999,491,FALSE)</f>
        <v>#N/A</v>
      </c>
      <c r="O29" s="1" t="e">
        <f>VLOOKUP(A1,Data!$A$1:$DZU$999999,492,FALSE)</f>
        <v>#N/A</v>
      </c>
      <c r="P29" s="1" t="e">
        <f>VLOOKUP(A1,Data!$A$1:$DZU$999999,493,FALSE)</f>
        <v>#N/A</v>
      </c>
      <c r="Q29" s="1" t="e">
        <f>VLOOKUP(A1,Data!$A$1:$DZU$999999,494,FALSE)</f>
        <v>#N/A</v>
      </c>
    </row>
    <row r="30" spans="1:17" x14ac:dyDescent="0.35">
      <c r="A30" s="114" t="e">
        <f>VLOOKUP(A1,Data!$A$1:$DZU$999999,495,FALSE)</f>
        <v>#N/A</v>
      </c>
      <c r="B30" s="115"/>
      <c r="C30" s="115"/>
      <c r="D30" s="115"/>
      <c r="E30" s="115"/>
      <c r="F30" s="115"/>
      <c r="G30" s="115"/>
      <c r="H30" s="56" t="e">
        <f>VLOOKUP(A1,Data!$A$1:$DZU$999999,502,FALSE)</f>
        <v>#N/A</v>
      </c>
      <c r="I30" s="56" t="e">
        <f>VLOOKUP(A1,Data!$A$1:$DZU$999999,503,FALSE)</f>
        <v>#N/A</v>
      </c>
      <c r="J30" s="57" t="e">
        <f>VLOOKUP(A1,Data!$A$1:$DZU$999999,504,FALSE)</f>
        <v>#N/A</v>
      </c>
      <c r="K30" s="1" t="e">
        <f>VLOOKUP(A1,Data!$A$1:$DZU$999999,505,FALSE)</f>
        <v>#N/A</v>
      </c>
      <c r="L30" s="1" t="e">
        <f>VLOOKUP(A1,Data!$A$1:$DZU$999999,506,FALSE)</f>
        <v>#N/A</v>
      </c>
      <c r="M30" s="1" t="e">
        <f>VLOOKUP(A1,Data!$A$1:$DZU$999999,507,FALSE)</f>
        <v>#N/A</v>
      </c>
      <c r="N30" s="1" t="e">
        <f>VLOOKUP(A1,Data!$A$1:$DZU$999999,508,FALSE)</f>
        <v>#N/A</v>
      </c>
      <c r="O30" s="1" t="e">
        <f>VLOOKUP(A1,Data!$A$1:$DZU$999999,509,FALSE)</f>
        <v>#N/A</v>
      </c>
      <c r="P30" s="1" t="e">
        <f>VLOOKUP(A1,Data!$A$1:$DZU$999999,510,FALSE)</f>
        <v>#N/A</v>
      </c>
      <c r="Q30" s="1" t="e">
        <f>VLOOKUP(A1,Data!$A$1:$DZU$999999,511,FALSE)</f>
        <v>#N/A</v>
      </c>
    </row>
    <row r="31" spans="1:17" x14ac:dyDescent="0.35">
      <c r="A31" s="114" t="e">
        <f>VLOOKUP(A1,Data!$A$1:$DZU$999999,512,FALSE)</f>
        <v>#N/A</v>
      </c>
      <c r="B31" s="115"/>
      <c r="C31" s="115"/>
      <c r="D31" s="115"/>
      <c r="E31" s="115"/>
      <c r="F31" s="115"/>
      <c r="G31" s="115"/>
      <c r="H31" s="56" t="e">
        <f>VLOOKUP(A1,Data!$A$1:$DZU$999999,519,FALSE)</f>
        <v>#N/A</v>
      </c>
      <c r="I31" s="56" t="e">
        <f>VLOOKUP(A1,Data!$A$1:$DZU$999999,520,FALSE)</f>
        <v>#N/A</v>
      </c>
      <c r="J31" s="57" t="e">
        <f>VLOOKUP(A1,Data!$A$1:$DZU$999999,521,FALSE)</f>
        <v>#N/A</v>
      </c>
      <c r="K31" s="1" t="e">
        <f>VLOOKUP(A1,Data!$A$1:$DZU$999999,522,FALSE)</f>
        <v>#N/A</v>
      </c>
      <c r="L31" s="1" t="e">
        <f>VLOOKUP(A1,Data!$A$1:$DZU$999999,523,FALSE)</f>
        <v>#N/A</v>
      </c>
      <c r="M31" s="1" t="e">
        <f>VLOOKUP(A1,Data!$A$1:$DZU$999999,524,FALSE)</f>
        <v>#N/A</v>
      </c>
      <c r="N31" s="1" t="e">
        <f>VLOOKUP(A1,Data!$A$1:$DZU$999999,525,FALSE)</f>
        <v>#N/A</v>
      </c>
      <c r="O31" s="1" t="e">
        <f>VLOOKUP(A1,Data!$A$1:$DZU$999999,526,FALSE)</f>
        <v>#N/A</v>
      </c>
      <c r="P31" s="1" t="e">
        <f>VLOOKUP(A1,Data!$A$1:$DZU$999999,527,FALSE)</f>
        <v>#N/A</v>
      </c>
      <c r="Q31" s="1" t="e">
        <f>VLOOKUP(A1,Data!$A$1:$DZU$999999,528,FALSE)</f>
        <v>#N/A</v>
      </c>
    </row>
    <row r="32" spans="1:17" x14ac:dyDescent="0.35">
      <c r="A32" s="114" t="e">
        <f>VLOOKUP(A1,Data!$A$1:$DZU$999999,529,FALSE)</f>
        <v>#N/A</v>
      </c>
      <c r="B32" s="115"/>
      <c r="C32" s="115"/>
      <c r="D32" s="115"/>
      <c r="E32" s="115"/>
      <c r="F32" s="115"/>
      <c r="G32" s="115"/>
      <c r="H32" s="56" t="e">
        <f>VLOOKUP(A1,Data!$A$1:$DZU$999999,536,FALSE)</f>
        <v>#N/A</v>
      </c>
      <c r="I32" s="56" t="e">
        <f>VLOOKUP(A1,Data!$A$1:$DZU$999999,537,FALSE)</f>
        <v>#N/A</v>
      </c>
      <c r="J32" s="57" t="e">
        <f>VLOOKUP(A1,Data!$A$1:$DZU$999999,538,FALSE)</f>
        <v>#N/A</v>
      </c>
      <c r="K32" s="1" t="e">
        <f>VLOOKUP(A1,Data!$A$1:$DZU$999999,539,FALSE)</f>
        <v>#N/A</v>
      </c>
      <c r="L32" s="1" t="e">
        <f>VLOOKUP(A1,Data!$A$1:$DZU$999999,540,FALSE)</f>
        <v>#N/A</v>
      </c>
      <c r="M32" s="1" t="e">
        <f>VLOOKUP(A1,Data!$A$1:$DZU$999999,541,FALSE)</f>
        <v>#N/A</v>
      </c>
      <c r="N32" s="1" t="e">
        <f>VLOOKUP(A1,Data!$A$1:$DZU$999999,542,FALSE)</f>
        <v>#N/A</v>
      </c>
      <c r="O32" s="1" t="e">
        <f>VLOOKUP(A1,Data!$A$1:$DZU$999999,543,FALSE)</f>
        <v>#N/A</v>
      </c>
      <c r="P32" s="1" t="e">
        <f>VLOOKUP(A1,Data!$A$1:$DZU$999999,544,FALSE)</f>
        <v>#N/A</v>
      </c>
      <c r="Q32" s="1" t="e">
        <f>VLOOKUP(A1,Data!$A$1:$DZU$999999,545,FALSE)</f>
        <v>#N/A</v>
      </c>
    </row>
    <row r="33" spans="1:17" x14ac:dyDescent="0.35">
      <c r="A33" s="114" t="e">
        <f>VLOOKUP(A1,Data!$A$1:$DZU$999999,546,FALSE)</f>
        <v>#N/A</v>
      </c>
      <c r="B33" s="115"/>
      <c r="C33" s="115"/>
      <c r="D33" s="115"/>
      <c r="E33" s="115"/>
      <c r="F33" s="115"/>
      <c r="G33" s="115"/>
      <c r="H33" s="56" t="e">
        <f>VLOOKUP(A1,Data!$A$1:$DZU$999999,553,FALSE)</f>
        <v>#N/A</v>
      </c>
      <c r="I33" s="56" t="e">
        <f>VLOOKUP(A1,Data!$A$1:$DZU$999999,554,FALSE)</f>
        <v>#N/A</v>
      </c>
      <c r="J33" s="57" t="e">
        <f>VLOOKUP(A1,Data!$A$1:$DZU$999999,555,FALSE)</f>
        <v>#N/A</v>
      </c>
      <c r="K33" s="1" t="e">
        <f>VLOOKUP(A1,Data!$A$1:$DZU$999999,556,FALSE)</f>
        <v>#N/A</v>
      </c>
      <c r="L33" s="1" t="e">
        <f>VLOOKUP(A1,Data!$A$1:$DZU$999999,557,FALSE)</f>
        <v>#N/A</v>
      </c>
      <c r="M33" s="1" t="e">
        <f>VLOOKUP(A1,Data!$A$1:$DZU$999999,558,FALSE)</f>
        <v>#N/A</v>
      </c>
      <c r="N33" s="1" t="e">
        <f>VLOOKUP(A1,Data!$A$1:$DZU$999999,559,FALSE)</f>
        <v>#N/A</v>
      </c>
      <c r="O33" s="1" t="e">
        <f>VLOOKUP(A1,Data!$A$1:$DZU$999999,560,FALSE)</f>
        <v>#N/A</v>
      </c>
      <c r="P33" s="1" t="e">
        <f>VLOOKUP(A1,Data!$A$1:$DZU$999999,561,FALSE)</f>
        <v>#N/A</v>
      </c>
      <c r="Q33" s="1" t="e">
        <f>VLOOKUP(A1,Data!$A$1:$DZU$999999,562,FALSE)</f>
        <v>#N/A</v>
      </c>
    </row>
    <row r="34" spans="1:17" x14ac:dyDescent="0.35">
      <c r="A34" s="116" t="e">
        <f>VLOOKUP(A1,Data!$A$1:$DZU$999999,563,FALSE)</f>
        <v>#N/A</v>
      </c>
      <c r="B34" s="117"/>
      <c r="C34" s="117"/>
      <c r="D34" s="117"/>
      <c r="E34" s="117"/>
      <c r="F34" s="117"/>
      <c r="G34" s="118"/>
      <c r="H34" s="46" t="e">
        <f>VLOOKUP(A1,Data!$A$1:$DZU$999999,570,FALSE)</f>
        <v>#N/A</v>
      </c>
      <c r="I34" s="47" t="e">
        <f>VLOOKUP(A1,Data!$A$1:$DZU$999999,571,FALSE)</f>
        <v>#N/A</v>
      </c>
      <c r="J34" s="59" t="e">
        <f>VLOOKUP(A1,Data!$A$1:$DZU$999999,572,FALSE)</f>
        <v>#N/A</v>
      </c>
      <c r="K34" s="1" t="e">
        <f>VLOOKUP(A1,Data!$A$1:$DZU$999999,573,FALSE)</f>
        <v>#N/A</v>
      </c>
      <c r="L34" s="1" t="e">
        <f>VLOOKUP(A1,Data!$A$1:$DZU$999999,574,FALSE)</f>
        <v>#N/A</v>
      </c>
      <c r="M34" s="1" t="e">
        <f>VLOOKUP(A1,Data!$A$1:$DZU$999999,575,FALSE)</f>
        <v>#N/A</v>
      </c>
      <c r="N34" s="1" t="e">
        <f>VLOOKUP(A1,Data!$A$1:$DZU$999999,576,FALSE)</f>
        <v>#N/A</v>
      </c>
      <c r="O34" s="1" t="e">
        <f>VLOOKUP(A1,Data!$A$1:$DZU$999999,577,FALSE)</f>
        <v>#N/A</v>
      </c>
      <c r="P34" s="1" t="e">
        <f>VLOOKUP(A1,Data!$A$1:$DZU$999999,578,FALSE)</f>
        <v>#N/A</v>
      </c>
      <c r="Q34" s="1" t="e">
        <f>VLOOKUP(A1,Data!$A$1:$DZU$999999,579,FALSE)</f>
        <v>#N/A</v>
      </c>
    </row>
    <row r="35" spans="1:17" x14ac:dyDescent="0.35">
      <c r="A35" s="32" t="e">
        <f>VLOOKUP(A1,Data!$A$1:$DZU$999999,580,FALSE)</f>
        <v>#N/A</v>
      </c>
      <c r="B35" s="58" t="e">
        <f>VLOOKUP(A1,Data!$A$1:$DZU$999999,581,FALSE)</f>
        <v>#N/A</v>
      </c>
      <c r="C35" s="36" t="e">
        <f>VLOOKUP(A1,Data!$A$1:$DZU$999999,582,FALSE)</f>
        <v>#N/A</v>
      </c>
      <c r="D35" s="24" t="e">
        <f>VLOOKUP(A1,Data!$A$1:$DZU$999999,583,FALSE)</f>
        <v>#N/A</v>
      </c>
      <c r="E35" s="24" t="e">
        <f>VLOOKUP(A1,Data!$A$1:$DZU$999999,584,FALSE)</f>
        <v>#N/A</v>
      </c>
      <c r="F35" s="24" t="e">
        <f>VLOOKUP(A1,Data!$A$1:$DZU$999999,585,FALSE)</f>
        <v>#N/A</v>
      </c>
      <c r="G35" s="36" t="e">
        <f>VLOOKUP(A1,Data!$A$1:$DZU$999999,586,FALSE)</f>
        <v>#N/A</v>
      </c>
      <c r="H35" s="46" t="e">
        <f>VLOOKUP(A1,Data!$A$1:$DZU$999999,587,FALSE)</f>
        <v>#N/A</v>
      </c>
      <c r="I35" s="47" t="e">
        <f>VLOOKUP(A1,Data!$A$1:$DZU$999999,588,FALSE)</f>
        <v>#N/A</v>
      </c>
      <c r="J35" s="59" t="e">
        <f>VLOOKUP(A1,Data!$A$1:$DZU$999999,589,FALSE)</f>
        <v>#N/A</v>
      </c>
      <c r="K35" s="1" t="e">
        <f>VLOOKUP(A1,Data!$A$1:$DZU$999999,590,FALSE)</f>
        <v>#N/A</v>
      </c>
      <c r="L35" s="1" t="e">
        <f>VLOOKUP(A1,Data!$A$1:$DZU$999999,591,FALSE)</f>
        <v>#N/A</v>
      </c>
      <c r="M35" s="1" t="e">
        <f>VLOOKUP(A1,Data!$A$1:$DZU$999999,592,FALSE)</f>
        <v>#N/A</v>
      </c>
      <c r="N35" s="1" t="e">
        <f>VLOOKUP(A1,Data!$A$1:$DZU$999999,593,FALSE)</f>
        <v>#N/A</v>
      </c>
      <c r="O35" s="1" t="e">
        <f>VLOOKUP(A1,Data!$A$1:$DZU$999999,594,FALSE)</f>
        <v>#N/A</v>
      </c>
      <c r="P35" s="1" t="e">
        <f>VLOOKUP(A1,Data!$A$1:$DZU$999999,595,FALSE)</f>
        <v>#N/A</v>
      </c>
      <c r="Q35" s="1" t="e">
        <f>VLOOKUP(A1,Data!$A$1:$DZU$999999,596,FALSE)</f>
        <v>#N/A</v>
      </c>
    </row>
    <row r="36" spans="1:17" x14ac:dyDescent="0.35">
      <c r="A36" s="32" t="e">
        <f>VLOOKUP(A1,Data!$A$1:$DZU$999999,597,FALSE)</f>
        <v>#N/A</v>
      </c>
      <c r="B36" s="24" t="e">
        <f>VLOOKUP(A1,Data!$A$1:$DZU$999999,598,FALSE)</f>
        <v>#N/A</v>
      </c>
      <c r="C36" s="24" t="e">
        <f>VLOOKUP(A1,Data!$A$1:$DZU$999999,599,FALSE)</f>
        <v>#N/A</v>
      </c>
      <c r="D36" s="24" t="e">
        <f>VLOOKUP(A1,Data!$A$1:$DZU$999999,600,FALSE)</f>
        <v>#N/A</v>
      </c>
      <c r="E36" s="24" t="e">
        <f>VLOOKUP(A1,Data!$A$1:$DZU$999999,601,FALSE)</f>
        <v>#N/A</v>
      </c>
      <c r="F36" s="24" t="e">
        <f>VLOOKUP(A1,Data!$A$1:$DZU$999999,602,FALSE)</f>
        <v>#N/A</v>
      </c>
      <c r="G36" s="36" t="e">
        <f>VLOOKUP(A1,Data!$A$1:$DZU$999999,603,FALSE)</f>
        <v>#N/A</v>
      </c>
      <c r="H36" s="46" t="e">
        <f>VLOOKUP(A1,Data!$A$1:$DZU$999999,604,FALSE)</f>
        <v>#N/A</v>
      </c>
      <c r="I36" s="47" t="e">
        <f>VLOOKUP(A1,Data!$A$1:$DZU$999999,605,FALSE)</f>
        <v>#N/A</v>
      </c>
      <c r="J36" s="48" t="e">
        <f>VLOOKUP(A1,Data!$A$1:$DZU$999999,606,FALSE)</f>
        <v>#N/A</v>
      </c>
      <c r="K36" s="1" t="e">
        <f>VLOOKUP(A1,Data!$A$1:$DZU$999999,607,FALSE)</f>
        <v>#N/A</v>
      </c>
      <c r="L36" s="1" t="e">
        <f>VLOOKUP(A1,Data!$A$1:$DZU$999999,608,FALSE)</f>
        <v>#N/A</v>
      </c>
      <c r="M36" s="1" t="e">
        <f>VLOOKUP(A1,Data!$A$1:$DZU$999999,609,FALSE)</f>
        <v>#N/A</v>
      </c>
      <c r="N36" s="1" t="e">
        <f>VLOOKUP(A1,Data!$A$1:$DZU$999999,610,FALSE)</f>
        <v>#N/A</v>
      </c>
      <c r="O36" s="1" t="e">
        <f>VLOOKUP(A1,Data!$A$1:$DZU$999999,611,FALSE)</f>
        <v>#N/A</v>
      </c>
      <c r="P36" s="1" t="e">
        <f>VLOOKUP(A1,Data!$A$1:$DZU$999999,612,FALSE)</f>
        <v>#N/A</v>
      </c>
      <c r="Q36" s="1" t="e">
        <f>VLOOKUP(A1,Data!$A$1:$DZU$999999,613,FALSE)</f>
        <v>#N/A</v>
      </c>
    </row>
    <row r="37" spans="1:17" x14ac:dyDescent="0.35">
      <c r="A37" s="113" t="e">
        <f>VLOOKUP(A1,Data!$A$1:$DZU$999999,614,FALSE)</f>
        <v>#N/A</v>
      </c>
      <c r="B37" s="108"/>
      <c r="C37" s="24" t="e">
        <f>VLOOKUP(A1,Data!$A$1:$DZU$999999,616,FALSE)</f>
        <v>#N/A</v>
      </c>
      <c r="D37" s="24" t="e">
        <f>VLOOKUP(A1,Data!$A$1:$DZU$999999,617,FALSE)</f>
        <v>#N/A</v>
      </c>
      <c r="E37" s="24" t="e">
        <f>VLOOKUP(A1,Data!$A$1:$DZU$999999,618,FALSE)</f>
        <v>#N/A</v>
      </c>
      <c r="F37" s="24" t="e">
        <f>VLOOKUP(A1,Data!$A$1:$DZU$999999,619,FALSE)</f>
        <v>#N/A</v>
      </c>
      <c r="G37" s="36" t="e">
        <f>VLOOKUP(A1,Data!$A$1:$DZU$999999,620,FALSE)</f>
        <v>#N/A</v>
      </c>
      <c r="H37" s="46" t="e">
        <f>VLOOKUP(A1,Data!$A$1:$DZU$999999,621,FALSE)</f>
        <v>#N/A</v>
      </c>
      <c r="I37" s="47" t="e">
        <f>VLOOKUP(A1,Data!$A$1:$DZU$999999,622,FALSE)</f>
        <v>#N/A</v>
      </c>
      <c r="J37" s="48" t="e">
        <f>VLOOKUP(A1,Data!$A$1:$DZU$999999,623,FALSE)</f>
        <v>#N/A</v>
      </c>
      <c r="K37" s="1" t="e">
        <f>VLOOKUP(A1,Data!$A$1:$DZU$999999,624,FALSE)</f>
        <v>#N/A</v>
      </c>
      <c r="L37" s="1" t="e">
        <f>VLOOKUP(A1,Data!$A$1:$DZU$999999,625,FALSE)</f>
        <v>#N/A</v>
      </c>
      <c r="M37" s="1" t="e">
        <f>VLOOKUP(A1,Data!$A$1:$DZU$999999,626,FALSE)</f>
        <v>#N/A</v>
      </c>
      <c r="N37" s="1" t="e">
        <f>VLOOKUP(A1,Data!$A$1:$DZU$999999,627,FALSE)</f>
        <v>#N/A</v>
      </c>
      <c r="O37" s="1" t="e">
        <f>VLOOKUP(A1,Data!$A$1:$DZU$999999,628,FALSE)</f>
        <v>#N/A</v>
      </c>
      <c r="P37" s="1" t="e">
        <f>VLOOKUP(A1,Data!$A$1:$DZU$999999,629,FALSE)</f>
        <v>#N/A</v>
      </c>
      <c r="Q37" s="1" t="e">
        <f>VLOOKUP(A1,Data!$A$1:$DZU$999999,630,FALSE)</f>
        <v>#N/A</v>
      </c>
    </row>
    <row r="38" spans="1:17" x14ac:dyDescent="0.35">
      <c r="A38" s="61" t="e">
        <f>VLOOKUP(A1,Data!$A$1:$DZU$999999,631,FALSE)</f>
        <v>#N/A</v>
      </c>
      <c r="B38" s="34" t="e">
        <f>VLOOKUP(A1,Data!$A$1:$DZU$999999,632,FALSE)</f>
        <v>#N/A</v>
      </c>
      <c r="C38" s="24" t="e">
        <f>VLOOKUP(A1,Data!$A$1:$DZU$999999,633,FALSE)</f>
        <v>#N/A</v>
      </c>
      <c r="D38" s="24" t="e">
        <f>VLOOKUP(A1,Data!$A$1:$DZU$999999,634,FALSE)</f>
        <v>#N/A</v>
      </c>
      <c r="E38" s="24" t="e">
        <f>VLOOKUP(A1,Data!$A$1:$DZU$999999,635,FALSE)</f>
        <v>#N/A</v>
      </c>
      <c r="F38" s="24" t="e">
        <f>VLOOKUP(A1,Data!$A$1:$DZU$999999,636,FALSE)</f>
        <v>#N/A</v>
      </c>
      <c r="G38" s="24" t="e">
        <f>VLOOKUP(A1,Data!$A$1:$DZU$999999,637,FALSE)</f>
        <v>#N/A</v>
      </c>
      <c r="H38" s="62" t="e">
        <f>VLOOKUP(A1,Data!$A$1:$DZU$999999,638,FALSE)</f>
        <v>#N/A</v>
      </c>
      <c r="I38" s="63" t="e">
        <f>VLOOKUP(A1,Data!$A$1:$DZU$999999,639,FALSE)</f>
        <v>#N/A</v>
      </c>
      <c r="J38" s="64" t="e">
        <f>VLOOKUP(A1,Data!$A$1:$DZU$999999,640,FALSE)</f>
        <v>#N/A</v>
      </c>
      <c r="K38" s="1" t="e">
        <f>VLOOKUP(A1,Data!$A$1:$DZU$999999,641,FALSE)</f>
        <v>#N/A</v>
      </c>
      <c r="L38" s="1" t="e">
        <f>VLOOKUP(A1,Data!$A$1:$DZU$999999,642,FALSE)</f>
        <v>#N/A</v>
      </c>
      <c r="M38" s="1" t="e">
        <f>VLOOKUP(A1,Data!$A$1:$DZU$999999,643,FALSE)</f>
        <v>#N/A</v>
      </c>
      <c r="N38" s="1" t="e">
        <f>VLOOKUP(A1,Data!$A$1:$DZU$999999,644,FALSE)</f>
        <v>#N/A</v>
      </c>
      <c r="O38" s="1" t="e">
        <f>VLOOKUP(A1,Data!$A$1:$DZU$999999,645,FALSE)</f>
        <v>#N/A</v>
      </c>
      <c r="P38" s="1" t="e">
        <f>VLOOKUP(A1,Data!$A$1:$DZU$999999,646,FALSE)</f>
        <v>#N/A</v>
      </c>
      <c r="Q38" s="1" t="e">
        <f>VLOOKUP(A1,Data!$A$1:$DZU$999999,647,FALSE)</f>
        <v>#N/A</v>
      </c>
    </row>
    <row r="39" spans="1:17" ht="15" thickBot="1" x14ac:dyDescent="0.4">
      <c r="A39" s="32" t="e">
        <f>VLOOKUP(A1,Data!$A$1:$DZU$999999,648,FALSE)</f>
        <v>#N/A</v>
      </c>
      <c r="B39" s="24" t="e">
        <f>VLOOKUP(A1,Data!$A$1:$DZU$999999,649,FALSE)</f>
        <v>#N/A</v>
      </c>
      <c r="C39" s="24" t="e">
        <f>VLOOKUP(A1,Data!$A$1:$DZU$999999,650,FALSE)</f>
        <v>#N/A</v>
      </c>
      <c r="D39" s="24" t="e">
        <f>VLOOKUP(A1,Data!$A$1:$DZU$999999,651,FALSE)</f>
        <v>#N/A</v>
      </c>
      <c r="E39" s="24" t="e">
        <f>VLOOKUP(A1,Data!$A$1:$DZU$999999,652,FALSE)</f>
        <v>#N/A</v>
      </c>
      <c r="F39" s="24" t="e">
        <f>VLOOKUP(A1,Data!$A$1:$DZU$999999,653,FALSE)</f>
        <v>#N/A</v>
      </c>
      <c r="G39" s="24" t="e">
        <f>VLOOKUP(A1,Data!$A$1:$DZU$999999,654,FALSE)</f>
        <v>#N/A</v>
      </c>
      <c r="H39" s="65" t="e">
        <f>VLOOKUP(A1,Data!$A$1:$DZU$999999,655,FALSE)</f>
        <v>#N/A</v>
      </c>
      <c r="I39" s="66" t="e">
        <f>VLOOKUP(A1,Data!$A$1:$DZU$999999,656,FALSE)</f>
        <v>#N/A</v>
      </c>
      <c r="J39" s="67" t="e">
        <f>VLOOKUP(A1,Data!$A$1:$DZU$999999,657,FALSE)</f>
        <v>#N/A</v>
      </c>
      <c r="K39" s="1" t="e">
        <f>VLOOKUP(A1,Data!$A$1:$DZU$999999,658,FALSE)</f>
        <v>#N/A</v>
      </c>
      <c r="L39" s="1" t="e">
        <f>VLOOKUP(A1,Data!$A$1:$DZU$999999,659,FALSE)</f>
        <v>#N/A</v>
      </c>
      <c r="M39" s="1" t="e">
        <f>VLOOKUP(A1,Data!$A$1:$DZU$999999,660,FALSE)</f>
        <v>#N/A</v>
      </c>
      <c r="N39" s="1" t="e">
        <f>VLOOKUP(A1,Data!$A$1:$DZU$999999,661,FALSE)</f>
        <v>#N/A</v>
      </c>
      <c r="O39" s="1" t="e">
        <f>VLOOKUP(A1,Data!$A$1:$DZU$999999,662,FALSE)</f>
        <v>#N/A</v>
      </c>
      <c r="P39" s="1" t="e">
        <f>VLOOKUP(A1,Data!$A$1:$DZU$999999,663,FALSE)</f>
        <v>#N/A</v>
      </c>
      <c r="Q39" s="1" t="e">
        <f>VLOOKUP(A1,Data!$A$1:$DZU$999999,664,FALSE)</f>
        <v>#N/A</v>
      </c>
    </row>
    <row r="40" spans="1:17" ht="15.5" thickTop="1" thickBot="1" x14ac:dyDescent="0.4">
      <c r="A40" s="32" t="e">
        <f>VLOOKUP(A1,Data!$A$1:$DZU$999999,665,FALSE)</f>
        <v>#N/A</v>
      </c>
      <c r="B40" s="24" t="e">
        <f>VLOOKUP(A1,Data!$A$1:$DZU$999999,666,FALSE)</f>
        <v>#N/A</v>
      </c>
      <c r="C40" s="24" t="e">
        <f>VLOOKUP(A1,Data!$A$1:$DZU$999999,667,FALSE)</f>
        <v>#N/A</v>
      </c>
      <c r="D40" s="24" t="e">
        <f>VLOOKUP(A1,Data!$A$1:$DZU$999999,668,FALSE)</f>
        <v>#N/A</v>
      </c>
      <c r="E40" s="24" t="e">
        <f>VLOOKUP(A1,Data!$A$1:$DZU$999999,669,FALSE)</f>
        <v>#N/A</v>
      </c>
      <c r="F40" s="24" t="e">
        <f>VLOOKUP(A1,Data!$A$1:$DZU$999999,670,FALSE)</f>
        <v>#N/A</v>
      </c>
      <c r="G40" s="24" t="e">
        <f>VLOOKUP(A1,Data!$A$1:$DZU$999999,671,FALSE)</f>
        <v>#N/A</v>
      </c>
      <c r="H40" s="24" t="e">
        <f>VLOOKUP(A1,Data!$A$1:$DZU$999999,672,FALSE)</f>
        <v>#N/A</v>
      </c>
      <c r="I40" s="24" t="e">
        <f>VLOOKUP(A1,Data!$A$1:$DZU$999999,673,FALSE)</f>
        <v>#N/A</v>
      </c>
      <c r="J40" s="30" t="e">
        <f>VLOOKUP(A1,Data!$A$1:$DZU$999999,674,FALSE)</f>
        <v>#N/A</v>
      </c>
      <c r="K40" s="1" t="e">
        <f>VLOOKUP(A1,Data!$A$1:$DZU$999999,675,FALSE)</f>
        <v>#N/A</v>
      </c>
      <c r="L40" s="1" t="e">
        <f>VLOOKUP(A1,Data!$A$1:$DZU$999999,676,FALSE)</f>
        <v>#N/A</v>
      </c>
      <c r="M40" s="1" t="e">
        <f>VLOOKUP(A1,Data!$A$1:$DZU$999999,677,FALSE)</f>
        <v>#N/A</v>
      </c>
      <c r="N40" s="1" t="e">
        <f>VLOOKUP(A1,Data!$A$1:$DZU$999999,678,FALSE)</f>
        <v>#N/A</v>
      </c>
      <c r="O40" s="1" t="e">
        <f>VLOOKUP(A1,Data!$A$1:$DZU$999999,679,FALSE)</f>
        <v>#N/A</v>
      </c>
      <c r="P40" s="1" t="e">
        <f>VLOOKUP(A1,Data!$A$1:$DZU$999999,680,FALSE)</f>
        <v>#N/A</v>
      </c>
      <c r="Q40" s="1" t="e">
        <f>VLOOKUP(A1,Data!$A$1:$DZU$999999,681,FALSE)</f>
        <v>#N/A</v>
      </c>
    </row>
    <row r="41" spans="1:17" ht="15.5" thickTop="1" thickBot="1" x14ac:dyDescent="0.4">
      <c r="A41" s="147" t="e">
        <f>VLOOKUP(A1,Data!$A$1:$DZU$999999,682,FALSE)</f>
        <v>#N/A</v>
      </c>
      <c r="B41" s="148"/>
      <c r="C41" s="148"/>
      <c r="D41" s="148"/>
      <c r="E41" s="148"/>
      <c r="F41" s="148"/>
      <c r="G41" s="140"/>
      <c r="H41" s="148"/>
      <c r="I41" s="140"/>
      <c r="J41" s="153"/>
      <c r="K41" s="1" t="e">
        <f>VLOOKUP(A1,Data!$A$1:$DZU$999999,692,FALSE)</f>
        <v>#N/A</v>
      </c>
      <c r="L41" s="1" t="e">
        <f>VLOOKUP(A1,Data!$A$1:$DZU$999999,693,FALSE)</f>
        <v>#N/A</v>
      </c>
      <c r="M41" s="1" t="e">
        <f>VLOOKUP(A1,Data!$A$1:$DZU$999999,694,FALSE)</f>
        <v>#N/A</v>
      </c>
      <c r="N41" s="1" t="e">
        <f>VLOOKUP(A1,Data!$A$1:$DZU$999999,695,FALSE)</f>
        <v>#N/A</v>
      </c>
      <c r="O41" s="1" t="e">
        <f>VLOOKUP(A1,Data!$A$1:$DZU$999999,696,FALSE)</f>
        <v>#N/A</v>
      </c>
      <c r="P41" s="1" t="e">
        <f>VLOOKUP(A1,Data!$A$1:$DZU$999999,697,FALSE)</f>
        <v>#N/A</v>
      </c>
      <c r="Q41" s="1" t="e">
        <f>VLOOKUP(A1,Data!$A$1:$DZU$999999,698,FALSE)</f>
        <v>#N/A</v>
      </c>
    </row>
    <row r="42" spans="1:17" ht="15.5" thickTop="1" thickBot="1" x14ac:dyDescent="0.4">
      <c r="A42" s="68" t="e">
        <f>VLOOKUP(A1,Data!$A$1:$DZU$999999,699,FALSE)</f>
        <v>#N/A</v>
      </c>
      <c r="B42" s="69" t="e">
        <f>VLOOKUP(A1,Data!$A$1:$DZU$999999,700,FALSE)</f>
        <v>#N/A</v>
      </c>
      <c r="C42" s="69" t="e">
        <f>VLOOKUP(A1,Data!$A$1:$DZU$999999,701,FALSE)</f>
        <v>#N/A</v>
      </c>
      <c r="D42" s="69" t="e">
        <f>VLOOKUP(A1,Data!$A$1:$DZU$999999,702,FALSE)</f>
        <v>#N/A</v>
      </c>
      <c r="E42" s="69" t="e">
        <f>VLOOKUP(A1,Data!$A$1:$DZU$999999,703,FALSE)</f>
        <v>#N/A</v>
      </c>
      <c r="F42" s="69" t="e">
        <f>VLOOKUP(A1,Data!$A$1:$DZU$999999,704,FALSE)</f>
        <v>#N/A</v>
      </c>
      <c r="G42" s="70" t="e">
        <f>VLOOKUP(A1,Data!$A$1:$DZU$999999,705,FALSE)</f>
        <v>#N/A</v>
      </c>
      <c r="H42" s="69" t="e">
        <f>VLOOKUP(A1,Data!$A$1:$DZU$999999,706,FALSE)</f>
        <v>#N/A</v>
      </c>
      <c r="I42" s="154" t="e">
        <f>VLOOKUP(A1,Data!$A$1:$DZU$999999,707,FALSE)</f>
        <v>#N/A</v>
      </c>
      <c r="J42" s="154"/>
      <c r="K42" s="1" t="e">
        <f>VLOOKUP(A1,Data!$A$1:$DZU$999999,709,FALSE)</f>
        <v>#N/A</v>
      </c>
      <c r="L42" s="1" t="e">
        <f>VLOOKUP(A1,Data!$A$1:$DZU$999999,710,FALSE)</f>
        <v>#N/A</v>
      </c>
      <c r="M42" s="1" t="e">
        <f>VLOOKUP(A1,Data!$A$1:$DZU$999999,711,FALSE)</f>
        <v>#N/A</v>
      </c>
      <c r="N42" s="1" t="e">
        <f>VLOOKUP(A1,Data!$A$1:$DZU$999999,712,FALSE)</f>
        <v>#N/A</v>
      </c>
      <c r="O42" s="1" t="e">
        <f>VLOOKUP(A1,Data!$A$1:$DZU$999999,713,FALSE)</f>
        <v>#N/A</v>
      </c>
      <c r="P42" s="1" t="e">
        <f>VLOOKUP(A1,Data!$A$1:$DZU$999999,714,FALSE)</f>
        <v>#N/A</v>
      </c>
      <c r="Q42" s="1" t="e">
        <f>VLOOKUP(A1,Data!$A$1:$DZU$999999,715,FALSE)</f>
        <v>#N/A</v>
      </c>
    </row>
    <row r="43" spans="1:17" ht="15" thickTop="1" x14ac:dyDescent="0.35">
      <c r="A43" s="139" t="e">
        <f>VLOOKUP(A1,Data!$A$1:$DZU$999999,716,FALSE)</f>
        <v>#N/A</v>
      </c>
      <c r="B43" s="140"/>
      <c r="C43" s="140"/>
      <c r="D43" s="140"/>
      <c r="E43" s="141" t="e">
        <f>VLOOKUP(A1,Data!$A$1:$DZU$999999,720,FALSE)</f>
        <v>#N/A</v>
      </c>
      <c r="F43" s="141"/>
      <c r="G43" s="117"/>
      <c r="H43" s="140"/>
      <c r="I43" s="142"/>
      <c r="J43" s="143"/>
      <c r="K43" s="1" t="e">
        <f>VLOOKUP(A1,Data!$A$1:$DZU$999999,726,FALSE)</f>
        <v>#N/A</v>
      </c>
      <c r="L43" s="1" t="e">
        <f>VLOOKUP(A1,Data!$A$1:$DZU$999999,727,FALSE)</f>
        <v>#N/A</v>
      </c>
      <c r="M43" s="1" t="e">
        <f>VLOOKUP(A1,Data!$A$1:$DZU$999999,728,FALSE)</f>
        <v>#N/A</v>
      </c>
      <c r="N43" s="1" t="e">
        <f>VLOOKUP(A1,Data!$A$1:$DZU$999999,729,FALSE)</f>
        <v>#N/A</v>
      </c>
      <c r="O43" s="1" t="e">
        <f>VLOOKUP(A1,Data!$A$1:$DZU$999999,730,FALSE)</f>
        <v>#N/A</v>
      </c>
      <c r="P43" s="1" t="e">
        <f>VLOOKUP(A1,Data!$A$1:$DZU$999999,731,FALSE)</f>
        <v>#N/A</v>
      </c>
      <c r="Q43" s="1" t="e">
        <f>VLOOKUP(A1,Data!$A$1:$DZU$999999,732,FALSE)</f>
        <v>#N/A</v>
      </c>
    </row>
    <row r="44" spans="1:17" ht="15" thickBot="1" x14ac:dyDescent="0.4">
      <c r="A44" s="144" t="e">
        <f>VLOOKUP(A1,Data!$A$1:$DZU$999999,733,FALSE)</f>
        <v>#N/A</v>
      </c>
      <c r="B44" s="145"/>
      <c r="C44" s="145"/>
      <c r="D44" s="145"/>
      <c r="E44" s="145"/>
      <c r="F44" s="145"/>
      <c r="G44" s="145"/>
      <c r="H44" s="145"/>
      <c r="I44" s="145"/>
      <c r="J44" s="146"/>
      <c r="K44" s="1" t="e">
        <f>VLOOKUP(A1,Data!$A$1:$DZU$999999,743,FALSE)</f>
        <v>#N/A</v>
      </c>
      <c r="L44" s="1" t="e">
        <f>VLOOKUP(A1,Data!$A$1:$DZU$999999,744,FALSE)</f>
        <v>#N/A</v>
      </c>
      <c r="M44" s="1" t="e">
        <f>VLOOKUP(A1,Data!$A$1:$DZU$999999,745,FALSE)</f>
        <v>#N/A</v>
      </c>
      <c r="N44" s="1" t="e">
        <f>VLOOKUP(A1,Data!$A$1:$DZU$999999,746,FALSE)</f>
        <v>#N/A</v>
      </c>
      <c r="O44" s="1" t="e">
        <f>VLOOKUP(A1,Data!$A$1:$DZU$999999,747,FALSE)</f>
        <v>#N/A</v>
      </c>
      <c r="P44" s="1" t="e">
        <f>VLOOKUP(A1,Data!$A$1:$DZU$999999,748,FALSE)</f>
        <v>#N/A</v>
      </c>
      <c r="Q44" s="1" t="e">
        <f>VLOOKUP(A1,Data!$A$1:$DZU$999999,749,FALSE)</f>
        <v>#N/A</v>
      </c>
    </row>
    <row r="45" spans="1:17" ht="15.5" thickTop="1" thickBot="1" x14ac:dyDescent="0.4">
      <c r="A45" s="147" t="e">
        <f>VLOOKUP(A1,Data!$A$1:$DZU$999999,750,FALSE)</f>
        <v>#N/A</v>
      </c>
      <c r="B45" s="148"/>
      <c r="C45" s="148"/>
      <c r="D45" s="148"/>
      <c r="E45" s="148"/>
      <c r="F45" s="148"/>
      <c r="G45" s="148"/>
      <c r="H45" s="148"/>
      <c r="I45" s="148"/>
      <c r="J45" s="149"/>
      <c r="K45" s="1" t="e">
        <f>VLOOKUP(A1,Data!$A$1:$DZU$999999,760,FALSE)</f>
        <v>#N/A</v>
      </c>
      <c r="L45" s="1" t="e">
        <f>VLOOKUP(A1,Data!$A$1:$DZU$999999,761,FALSE)</f>
        <v>#N/A</v>
      </c>
      <c r="M45" s="1" t="e">
        <f>VLOOKUP(A1,Data!$A$1:$DZU$999999,762,FALSE)</f>
        <v>#N/A</v>
      </c>
      <c r="N45" s="1" t="e">
        <f>VLOOKUP(A1,Data!$A$1:$DZU$999999,763,FALSE)</f>
        <v>#N/A</v>
      </c>
      <c r="O45" s="1" t="e">
        <f>VLOOKUP(A1,Data!$A$1:$DZU$999999,764,FALSE)</f>
        <v>#N/A</v>
      </c>
      <c r="P45" s="1" t="e">
        <f>VLOOKUP(A1,Data!$A$1:$DZU$999999,765,FALSE)</f>
        <v>#N/A</v>
      </c>
      <c r="Q45" s="1" t="e">
        <f>VLOOKUP(A1,Data!$A$1:$DZU$999999,766,FALSE)</f>
        <v>#N/A</v>
      </c>
    </row>
    <row r="46" spans="1:17" ht="15" thickTop="1" x14ac:dyDescent="0.35">
      <c r="A46" s="32" t="e">
        <f>VLOOKUP(A1,Data!$A$1:$DZU$999999,767,FALSE)</f>
        <v>#N/A</v>
      </c>
      <c r="B46" s="24" t="e">
        <f>VLOOKUP(A1,Data!$A$1:$DZU$999999,768,FALSE)</f>
        <v>#N/A</v>
      </c>
      <c r="C46" s="24" t="e">
        <f>VLOOKUP(A1,Data!$A$1:$DZU$999999,769,FALSE)</f>
        <v>#N/A</v>
      </c>
      <c r="D46" s="24" t="e">
        <f>VLOOKUP(A1,Data!$A$1:$DZU$999999,770,FALSE)</f>
        <v>#N/A</v>
      </c>
      <c r="E46" s="24" t="e">
        <f>VLOOKUP(A1,Data!$A$1:$DZU$999999,771,FALSE)</f>
        <v>#N/A</v>
      </c>
      <c r="F46" s="24" t="e">
        <f>VLOOKUP(A1,Data!$A$1:$DZU$999999,772,FALSE)</f>
        <v>#N/A</v>
      </c>
      <c r="G46" s="24" t="e">
        <f>VLOOKUP(A1,Data!$A$1:$DZU$999999,773,FALSE)</f>
        <v>#N/A</v>
      </c>
      <c r="H46" s="24" t="e">
        <f>VLOOKUP(A1,Data!$A$1:$DZU$999999,774,FALSE)</f>
        <v>#N/A</v>
      </c>
      <c r="I46" s="24" t="e">
        <f>VLOOKUP(A1,Data!$A$1:$DZU$999999,775,FALSE)</f>
        <v>#N/A</v>
      </c>
      <c r="J46" s="30" t="e">
        <f>VLOOKUP(A1,Data!$A$1:$DZU$999999,776,FALSE)</f>
        <v>#N/A</v>
      </c>
      <c r="K46" s="1" t="e">
        <f>VLOOKUP(A1,Data!$A$1:$DZU$999999,777,FALSE)</f>
        <v>#N/A</v>
      </c>
      <c r="L46" s="1" t="e">
        <f>VLOOKUP(A1,Data!$A$1:$DZU$999999,778,FALSE)</f>
        <v>#N/A</v>
      </c>
      <c r="M46" s="1" t="e">
        <f>VLOOKUP(A1,Data!$A$1:$DZU$999999,779,FALSE)</f>
        <v>#N/A</v>
      </c>
      <c r="N46" s="1" t="e">
        <f>VLOOKUP(A1,Data!$A$1:$DZU$999999,780,FALSE)</f>
        <v>#N/A</v>
      </c>
      <c r="O46" s="1" t="e">
        <f>VLOOKUP(A1,Data!$A$1:$DZU$999999,781,FALSE)</f>
        <v>#N/A</v>
      </c>
      <c r="P46" s="1" t="e">
        <f>VLOOKUP(A1,Data!$A$1:$DZU$999999,782,FALSE)</f>
        <v>#N/A</v>
      </c>
      <c r="Q46" s="1" t="e">
        <f>VLOOKUP(A1,Data!$A$1:$DZU$999999,783,FALSE)</f>
        <v>#N/A</v>
      </c>
    </row>
    <row r="47" spans="1:17" ht="21" x14ac:dyDescent="0.5">
      <c r="A47" s="150" t="e">
        <f>VLOOKUP(A1,Data!$A$1:$DZU$999999,784,FALSE)</f>
        <v>#N/A</v>
      </c>
      <c r="B47" s="108"/>
      <c r="C47" s="24" t="e">
        <f>VLOOKUP(A1,Data!$A$1:$DZU$999999,786,FALSE)</f>
        <v>#N/A</v>
      </c>
      <c r="D47" s="18" t="e">
        <f>VLOOKUP(A1,Data!$A$1:$DZU$999999,787,FALSE)</f>
        <v>#N/A</v>
      </c>
      <c r="E47" s="24" t="e">
        <f>VLOOKUP(A1,Data!$A$1:$DZU$999999,788,FALSE)</f>
        <v>#N/A</v>
      </c>
      <c r="F47" s="24" t="e">
        <f>VLOOKUP(A1,Data!$A$1:$DZU$999999,789,FALSE)</f>
        <v>#N/A</v>
      </c>
      <c r="G47" s="24" t="e">
        <f>VLOOKUP(A1,Data!$A$1:$DZU$999999,790,FALSE)</f>
        <v>#N/A</v>
      </c>
      <c r="H47" s="151" t="e">
        <f>VLOOKUP(A1,Data!$A$1:$DZU$999999,791,FALSE)</f>
        <v>#N/A</v>
      </c>
      <c r="I47" s="152"/>
      <c r="J47" s="71" t="e">
        <f>VLOOKUP(A1,Data!$A$1:$DZU$999999,793,FALSE)</f>
        <v>#N/A</v>
      </c>
      <c r="K47" s="1" t="e">
        <f>VLOOKUP(A1,Data!$A$1:$DZU$999999,794,FALSE)</f>
        <v>#N/A</v>
      </c>
      <c r="L47" s="1" t="e">
        <f>VLOOKUP(A1,Data!$A$1:$DZU$999999,795,FALSE)</f>
        <v>#N/A</v>
      </c>
      <c r="M47" s="1" t="e">
        <f>VLOOKUP(A1,Data!$A$1:$DZU$999999,796,FALSE)</f>
        <v>#N/A</v>
      </c>
      <c r="N47" s="1" t="e">
        <f>VLOOKUP(A1,Data!$A$1:$DZU$999999,797,FALSE)</f>
        <v>#N/A</v>
      </c>
      <c r="O47" s="1" t="e">
        <f>VLOOKUP(A1,Data!$A$1:$DZU$999999,798,FALSE)</f>
        <v>#N/A</v>
      </c>
      <c r="P47" s="1" t="e">
        <f>VLOOKUP(A1,Data!$A$1:$DZU$999999,799,FALSE)</f>
        <v>#N/A</v>
      </c>
      <c r="Q47" s="1" t="e">
        <f>VLOOKUP(A1,Data!$A$1:$DZU$999999,800,FALSE)</f>
        <v>#N/A</v>
      </c>
    </row>
    <row r="48" spans="1:17" x14ac:dyDescent="0.35">
      <c r="A48" s="60" t="e">
        <f>VLOOKUP(A1,Data!$A$1:$DZU$999999,801,FALSE)</f>
        <v>#N/A</v>
      </c>
      <c r="B48" s="131" t="e">
        <f>VLOOKUP(A1,Data!$A$1:$DZU$999999,802,FALSE)</f>
        <v>#N/A</v>
      </c>
      <c r="C48" s="132"/>
      <c r="D48" s="132"/>
      <c r="E48" s="132"/>
      <c r="F48" s="133" t="e">
        <f>VLOOKUP(A1,Data!$A$1:$DZU$999999,806,FALSE)</f>
        <v>#N/A</v>
      </c>
      <c r="G48" s="134"/>
      <c r="H48" s="130" t="e">
        <f>VLOOKUP(A1,Data!$A$1:$DZU$999999,808,FALSE)</f>
        <v>#N/A</v>
      </c>
      <c r="I48" s="104"/>
      <c r="J48" s="30" t="e">
        <f>VLOOKUP(A1,Data!$A$1:$DZU$999999,810,FALSE)</f>
        <v>#N/A</v>
      </c>
      <c r="K48" s="1" t="e">
        <f>VLOOKUP(A1,Data!$A$1:$DZU$999999,811,FALSE)</f>
        <v>#N/A</v>
      </c>
      <c r="L48" s="1" t="e">
        <f>VLOOKUP(A1,Data!$A$1:$DZU$999999,812,FALSE)</f>
        <v>#N/A</v>
      </c>
      <c r="M48" s="1" t="e">
        <f>VLOOKUP(A1,Data!$A$1:$DZU$999999,813,FALSE)</f>
        <v>#N/A</v>
      </c>
      <c r="N48" s="1" t="e">
        <f>VLOOKUP(A1,Data!$A$1:$DZU$999999,814,FALSE)</f>
        <v>#N/A</v>
      </c>
      <c r="O48" s="1" t="e">
        <f>VLOOKUP(A1,Data!$A$1:$DZU$999999,815,FALSE)</f>
        <v>#N/A</v>
      </c>
      <c r="P48" s="1" t="e">
        <f>VLOOKUP(A1,Data!$A$1:$DZU$999999,816,FALSE)</f>
        <v>#N/A</v>
      </c>
      <c r="Q48" s="1" t="e">
        <f>VLOOKUP(A1,Data!$A$1:$DZU$999999,817,FALSE)</f>
        <v>#N/A</v>
      </c>
    </row>
    <row r="49" spans="1:17" x14ac:dyDescent="0.35">
      <c r="A49" s="113" t="e">
        <f>VLOOKUP(A1,Data!$A$1:$DZU$999999,818,FALSE)</f>
        <v>#N/A</v>
      </c>
      <c r="B49" s="108"/>
      <c r="C49" s="24" t="e">
        <f>VLOOKUP(A1,Data!$A$1:$DZU$999999,820,FALSE)</f>
        <v>#N/A</v>
      </c>
      <c r="D49" s="72" t="e">
        <f>VLOOKUP(A1,Data!$A$1:$DZU$999999,821,FALSE)</f>
        <v>#N/A</v>
      </c>
      <c r="E49" s="24" t="e">
        <f>VLOOKUP(A1,Data!$A$1:$DZU$999999,822,FALSE)</f>
        <v>#N/A</v>
      </c>
      <c r="F49" s="134"/>
      <c r="G49" s="134"/>
      <c r="H49" s="135" t="e">
        <f>VLOOKUP(A1,Data!$A$1:$DZU$999999,825,FALSE)</f>
        <v>#N/A</v>
      </c>
      <c r="I49" s="136"/>
      <c r="J49" s="30" t="e">
        <f>VLOOKUP(A1,Data!$A$1:$DZU$999999,827,FALSE)</f>
        <v>#N/A</v>
      </c>
      <c r="K49" s="1" t="e">
        <f>VLOOKUP(A1,Data!$A$1:$DZU$999999,828,FALSE)</f>
        <v>#N/A</v>
      </c>
      <c r="L49" s="1" t="e">
        <f>VLOOKUP(A1,Data!$A$1:$DZU$999999,829,FALSE)</f>
        <v>#N/A</v>
      </c>
      <c r="M49" s="1" t="e">
        <f>VLOOKUP(A1,Data!$A$1:$DZU$999999,830,FALSE)</f>
        <v>#N/A</v>
      </c>
      <c r="N49" s="1" t="e">
        <f>VLOOKUP(A1,Data!$A$1:$DZU$999999,831,FALSE)</f>
        <v>#N/A</v>
      </c>
      <c r="O49" s="1" t="e">
        <f>VLOOKUP(A1,Data!$A$1:$DZU$999999,832,FALSE)</f>
        <v>#N/A</v>
      </c>
      <c r="P49" s="1" t="e">
        <f>VLOOKUP(A1,Data!$A$1:$DZU$999999,833,FALSE)</f>
        <v>#N/A</v>
      </c>
      <c r="Q49" s="1" t="e">
        <f>VLOOKUP(A1,Data!$A$1:$DZU$999999,834,FALSE)</f>
        <v>#N/A</v>
      </c>
    </row>
    <row r="50" spans="1:17" x14ac:dyDescent="0.35">
      <c r="A50" s="113" t="e">
        <f>VLOOKUP(A1,Data!$A$1:$DZU$999999,835,FALSE)</f>
        <v>#N/A</v>
      </c>
      <c r="B50" s="108"/>
      <c r="C50" s="24" t="e">
        <f>VLOOKUP(A1,Data!$A$1:$DZU$999999,837,FALSE)</f>
        <v>#N/A</v>
      </c>
      <c r="D50" s="73" t="e">
        <f>VLOOKUP(A1,Data!$A$1:$DZU$999999,838,FALSE)</f>
        <v>#N/A</v>
      </c>
      <c r="E50" s="24" t="e">
        <f>VLOOKUP(A1,Data!$A$1:$DZU$999999,839,FALSE)</f>
        <v>#N/A</v>
      </c>
      <c r="F50" s="24" t="e">
        <f>VLOOKUP(A1,Data!$A$1:$DZU$999999,840,FALSE)</f>
        <v>#N/A</v>
      </c>
      <c r="G50" s="24" t="e">
        <f>VLOOKUP(A1,Data!$A$1:$DZU$999999,841,FALSE)</f>
        <v>#N/A</v>
      </c>
      <c r="H50" s="137" t="e">
        <f>VLOOKUP(A1,Data!$A$1:$DZU$999999,842,FALSE)</f>
        <v>#N/A</v>
      </c>
      <c r="I50" s="138"/>
      <c r="J50" s="30" t="e">
        <f>VLOOKUP(A1,Data!$A$1:$DZU$999999,844,FALSE)</f>
        <v>#N/A</v>
      </c>
      <c r="K50" s="1" t="e">
        <f>VLOOKUP(A1,Data!$A$1:$DZU$999999,845,FALSE)</f>
        <v>#N/A</v>
      </c>
      <c r="L50" s="1" t="e">
        <f>VLOOKUP(A1,Data!$A$1:$DZU$999999,846,FALSE)</f>
        <v>#N/A</v>
      </c>
      <c r="M50" s="1" t="e">
        <f>VLOOKUP(A1,Data!$A$1:$DZU$999999,847,FALSE)</f>
        <v>#N/A</v>
      </c>
      <c r="N50" s="1" t="e">
        <f>VLOOKUP(A1,Data!$A$1:$DZU$999999,848,FALSE)</f>
        <v>#N/A</v>
      </c>
      <c r="O50" s="1" t="e">
        <f>VLOOKUP(A1,Data!$A$1:$DZU$999999,849,FALSE)</f>
        <v>#N/A</v>
      </c>
      <c r="P50" s="1" t="e">
        <f>VLOOKUP(A1,Data!$A$1:$DZU$999999,850,FALSE)</f>
        <v>#N/A</v>
      </c>
      <c r="Q50" s="1" t="e">
        <f>VLOOKUP(A1,Data!$A$1:$DZU$999999,851,FALSE)</f>
        <v>#N/A</v>
      </c>
    </row>
    <row r="51" spans="1:17" x14ac:dyDescent="0.35">
      <c r="A51" s="119" t="e">
        <f>VLOOKUP(A1,Data!$A$1:$DZU$999999,852,FALSE)</f>
        <v>#N/A</v>
      </c>
      <c r="B51" s="111"/>
      <c r="C51" s="18" t="e">
        <f>VLOOKUP(A1,Data!$A$1:$DZU$999999,854,FALSE)</f>
        <v>#N/A</v>
      </c>
      <c r="D51" s="74" t="e">
        <f>VLOOKUP(A1,Data!$A$1:$DZU$999999,855,FALSE)</f>
        <v>#N/A</v>
      </c>
      <c r="E51" s="18" t="e">
        <f>VLOOKUP(A1,Data!$A$1:$DZU$999999,856,FALSE)</f>
        <v>#N/A</v>
      </c>
      <c r="F51" s="18" t="e">
        <f>VLOOKUP(A1,Data!$A$1:$DZU$999999,857,FALSE)</f>
        <v>#N/A</v>
      </c>
      <c r="G51" s="18" t="e">
        <f>VLOOKUP(A1,Data!$A$1:$DZU$999999,858,FALSE)</f>
        <v>#N/A</v>
      </c>
      <c r="H51" s="18" t="e">
        <f>VLOOKUP(A1,Data!$A$1:$DZU$999999,859,FALSE)</f>
        <v>#N/A</v>
      </c>
      <c r="I51" s="18" t="e">
        <f>VLOOKUP(A1,Data!$A$1:$DZU$999999,860,FALSE)</f>
        <v>#N/A</v>
      </c>
      <c r="J51" s="19" t="e">
        <f>VLOOKUP(A1,Data!$A$1:$DZU$999999,861,FALSE)</f>
        <v>#N/A</v>
      </c>
      <c r="K51" s="1" t="e">
        <f>VLOOKUP(A1,Data!$A$1:$DZU$999999,862,FALSE)</f>
        <v>#N/A</v>
      </c>
      <c r="L51" s="1" t="e">
        <f>VLOOKUP(A1,Data!$A$1:$DZU$999999,863,FALSE)</f>
        <v>#N/A</v>
      </c>
      <c r="M51" s="1" t="e">
        <f>VLOOKUP(A1,Data!$A$1:$DZU$999999,864,FALSE)</f>
        <v>#N/A</v>
      </c>
      <c r="N51" s="1" t="e">
        <f>VLOOKUP(A1,Data!$A$1:$DZU$999999,865,FALSE)</f>
        <v>#N/A</v>
      </c>
      <c r="O51" s="1" t="e">
        <f>VLOOKUP(A1,Data!$A$1:$DZU$999999,866,FALSE)</f>
        <v>#N/A</v>
      </c>
      <c r="P51" s="1" t="e">
        <f>VLOOKUP(A1,Data!$A$1:$DZU$999999,867,FALSE)</f>
        <v>#N/A</v>
      </c>
      <c r="Q51" s="1" t="e">
        <f>VLOOKUP(A1,Data!$A$1:$DZU$999999,868,FALSE)</f>
        <v>#N/A</v>
      </c>
    </row>
    <row r="52" spans="1:17" x14ac:dyDescent="0.35">
      <c r="A52" s="120" t="e">
        <f>VLOOKUP(A1,Data!$A$1:$DZU$999999,869,FALSE)</f>
        <v>#N/A</v>
      </c>
      <c r="B52" s="121"/>
      <c r="C52" s="121"/>
      <c r="D52" s="121"/>
      <c r="E52" s="121"/>
      <c r="F52" s="121"/>
      <c r="G52" s="121"/>
      <c r="H52" s="121"/>
      <c r="I52" s="121"/>
      <c r="J52" s="122"/>
      <c r="K52" s="1" t="e">
        <f>VLOOKUP(A1,Data!$A$1:$DZU$999999,879,FALSE)</f>
        <v>#N/A</v>
      </c>
      <c r="L52" s="1" t="e">
        <f>VLOOKUP(A1,Data!$A$1:$DZU$999999,880,FALSE)</f>
        <v>#N/A</v>
      </c>
      <c r="M52" s="1" t="e">
        <f>VLOOKUP(A1,Data!$A$1:$DZU$999999,881,FALSE)</f>
        <v>#N/A</v>
      </c>
      <c r="N52" s="1" t="e">
        <f>VLOOKUP(A1,Data!$A$1:$DZU$999999,882,FALSE)</f>
        <v>#N/A</v>
      </c>
      <c r="O52" s="1" t="e">
        <f>VLOOKUP(A1,Data!$A$1:$DZU$999999,883,FALSE)</f>
        <v>#N/A</v>
      </c>
      <c r="P52" s="1" t="e">
        <f>VLOOKUP(A1,Data!$A$1:$DZU$999999,884,FALSE)</f>
        <v>#N/A</v>
      </c>
      <c r="Q52" s="1" t="e">
        <f>VLOOKUP(A1,Data!$A$1:$DZU$999999,885,FALSE)</f>
        <v>#N/A</v>
      </c>
    </row>
    <row r="53" spans="1:17" x14ac:dyDescent="0.35">
      <c r="A53" s="123"/>
      <c r="B53" s="124"/>
      <c r="C53" s="124"/>
      <c r="D53" s="124"/>
      <c r="E53" s="124"/>
      <c r="F53" s="124"/>
      <c r="G53" s="124"/>
      <c r="H53" s="124"/>
      <c r="I53" s="124"/>
      <c r="J53" s="125"/>
      <c r="K53" s="1" t="e">
        <f>VLOOKUP(A1,Data!$A$1:$DZU$999999,896,FALSE)</f>
        <v>#N/A</v>
      </c>
      <c r="L53" s="1" t="e">
        <f>VLOOKUP(A1,Data!$A$1:$DZU$999999,897,FALSE)</f>
        <v>#N/A</v>
      </c>
      <c r="M53" s="1" t="e">
        <f>VLOOKUP(A1,Data!$A$1:$DZU$999999,898,FALSE)</f>
        <v>#N/A</v>
      </c>
      <c r="N53" s="1" t="e">
        <f>VLOOKUP(A1,Data!$A$1:$DZU$999999,899,FALSE)</f>
        <v>#N/A</v>
      </c>
      <c r="O53" s="1" t="e">
        <f>VLOOKUP(A1,Data!$A$1:$DZU$999999,900,FALSE)</f>
        <v>#N/A</v>
      </c>
      <c r="P53" s="1" t="e">
        <f>VLOOKUP(A1,Data!$A$1:$DZU$999999,901,FALSE)</f>
        <v>#N/A</v>
      </c>
      <c r="Q53" s="1" t="e">
        <f>VLOOKUP(A1,Data!$A$1:$DZU$999999,902,FALSE)</f>
        <v>#N/A</v>
      </c>
    </row>
    <row r="54" spans="1:17" x14ac:dyDescent="0.35">
      <c r="A54" s="1" t="e">
        <f>VLOOKUP(A1,Data!$A$1:$DZU$999999,903,FALSE)</f>
        <v>#N/A</v>
      </c>
      <c r="B54" s="1" t="e">
        <f>VLOOKUP(A1,Data!$A$1:$DZU$999999,904,FALSE)</f>
        <v>#N/A</v>
      </c>
      <c r="C54" s="1" t="e">
        <f>VLOOKUP(A1,Data!$A$1:$DZU$999999,905,FALSE)</f>
        <v>#N/A</v>
      </c>
      <c r="D54" s="1" t="e">
        <f>VLOOKUP(A1,Data!$A$1:$DZU$999999,906,FALSE)</f>
        <v>#N/A</v>
      </c>
      <c r="E54" s="1" t="e">
        <f>VLOOKUP(A1,Data!$A$1:$DZU$999999,907,FALSE)</f>
        <v>#N/A</v>
      </c>
      <c r="F54" s="1" t="e">
        <f>VLOOKUP(A1,Data!$A$1:$DZU$999999,908,FALSE)</f>
        <v>#N/A</v>
      </c>
      <c r="G54" s="1" t="e">
        <f>VLOOKUP(A1,Data!$A$1:$DZU$999999,909,FALSE)</f>
        <v>#N/A</v>
      </c>
      <c r="H54" s="1" t="e">
        <f>VLOOKUP(A1,Data!$A$1:$DZU$999999,910,FALSE)</f>
        <v>#N/A</v>
      </c>
      <c r="I54" s="1" t="e">
        <f>VLOOKUP(A1,Data!$A$1:$DZU$999999,911,FALSE)</f>
        <v>#N/A</v>
      </c>
      <c r="J54" s="1" t="e">
        <f>VLOOKUP(A1,Data!$A$1:$DZU$999999,912,FALSE)</f>
        <v>#N/A</v>
      </c>
      <c r="K54" s="1" t="e">
        <f>VLOOKUP(A1,Data!$A$1:$DZU$999999,913,FALSE)</f>
        <v>#N/A</v>
      </c>
      <c r="L54" s="1" t="e">
        <f>VLOOKUP(A1,Data!$A$1:$DZU$999999,914,FALSE)</f>
        <v>#N/A</v>
      </c>
      <c r="M54" s="1" t="e">
        <f>VLOOKUP(A1,Data!$A$1:$DZU$999999,915,FALSE)</f>
        <v>#N/A</v>
      </c>
      <c r="N54" s="1" t="e">
        <f>VLOOKUP(A1,Data!$A$1:$DZU$999999,916,FALSE)</f>
        <v>#N/A</v>
      </c>
      <c r="O54" s="1" t="e">
        <f>VLOOKUP(A1,Data!$A$1:$DZU$999999,917,FALSE)</f>
        <v>#N/A</v>
      </c>
      <c r="P54" s="1" t="e">
        <f>VLOOKUP(A1,Data!$A$1:$DZU$999999,918,FALSE)</f>
        <v>#N/A</v>
      </c>
      <c r="Q54" s="1" t="e">
        <f>VLOOKUP(A1,Data!$A$1:$DZU$999999,919,FALSE)</f>
        <v>#N/A</v>
      </c>
    </row>
    <row r="55" spans="1:17" x14ac:dyDescent="0.35">
      <c r="A55" s="1" t="e">
        <f>VLOOKUP(A1,Data!$A$1:$DZU$999999,920,FALSE)</f>
        <v>#N/A</v>
      </c>
      <c r="B55" s="1" t="e">
        <f>VLOOKUP(A1,Data!$A$1:$DZU$999999,921,FALSE)</f>
        <v>#N/A</v>
      </c>
      <c r="C55" s="1" t="e">
        <f>VLOOKUP(A1,Data!$A$1:$DZU$999999,922,FALSE)</f>
        <v>#N/A</v>
      </c>
      <c r="D55" s="1" t="e">
        <f>VLOOKUP(A1,Data!$A$1:$DZU$999999,923,FALSE)</f>
        <v>#N/A</v>
      </c>
      <c r="E55" s="1" t="e">
        <f>VLOOKUP(A1,Data!$A$1:$DZU$999999,924,FALSE)</f>
        <v>#N/A</v>
      </c>
      <c r="F55" s="1" t="e">
        <f>VLOOKUP(A1,Data!$A$1:$DZU$999999,925,FALSE)</f>
        <v>#N/A</v>
      </c>
      <c r="G55" s="1" t="e">
        <f>VLOOKUP(A1,Data!$A$1:$DZU$999999,926,FALSE)</f>
        <v>#N/A</v>
      </c>
      <c r="H55" s="1" t="e">
        <f>VLOOKUP(A1,Data!$A$1:$DZU$999999,927,FALSE)</f>
        <v>#N/A</v>
      </c>
      <c r="I55" s="1" t="e">
        <f>VLOOKUP(A1,Data!$A$1:$DZU$999999,928,FALSE)</f>
        <v>#N/A</v>
      </c>
      <c r="J55" s="1" t="e">
        <f>VLOOKUP(A1,Data!$A$1:$DZU$999999,929,FALSE)</f>
        <v>#N/A</v>
      </c>
      <c r="K55" s="1" t="e">
        <f>VLOOKUP(A1,Data!$A$1:$DZU$999999,930,FALSE)</f>
        <v>#N/A</v>
      </c>
      <c r="L55" s="1" t="e">
        <f>VLOOKUP(A1,Data!$A$1:$DZU$999999,931,FALSE)</f>
        <v>#N/A</v>
      </c>
      <c r="M55" s="1" t="e">
        <f>VLOOKUP(A1,Data!$A$1:$DZU$999999,932,FALSE)</f>
        <v>#N/A</v>
      </c>
      <c r="N55" s="1" t="e">
        <f>VLOOKUP(A1,Data!$A$1:$DZU$999999,933,FALSE)</f>
        <v>#N/A</v>
      </c>
      <c r="O55" s="1" t="e">
        <f>VLOOKUP(A1,Data!$A$1:$DZU$999999,934,FALSE)</f>
        <v>#N/A</v>
      </c>
      <c r="P55" s="1" t="e">
        <f>VLOOKUP(A1,Data!$A$1:$DZU$999999,935,FALSE)</f>
        <v>#N/A</v>
      </c>
      <c r="Q55" s="1" t="e">
        <f>VLOOKUP(A1,Data!$A$1:$DZU$999999,936,FALSE)</f>
        <v>#N/A</v>
      </c>
    </row>
    <row r="56" spans="1:17" x14ac:dyDescent="0.35">
      <c r="A56" s="1" t="e">
        <f>VLOOKUP(A1,Data!$A$1:$DZU$999999,937,FALSE)</f>
        <v>#N/A</v>
      </c>
      <c r="B56" s="1" t="e">
        <f>VLOOKUP(A1,Data!$A$1:$DZU$999999,938,FALSE)</f>
        <v>#N/A</v>
      </c>
      <c r="C56" s="1" t="e">
        <f>VLOOKUP(A1,Data!$A$1:$DZU$999999,939,FALSE)</f>
        <v>#N/A</v>
      </c>
      <c r="D56" s="1" t="e">
        <f>VLOOKUP(A1,Data!$A$1:$DZU$999999,940,FALSE)</f>
        <v>#N/A</v>
      </c>
      <c r="E56" s="1" t="e">
        <f>VLOOKUP(A1,Data!$A$1:$DZU$999999,941,FALSE)</f>
        <v>#N/A</v>
      </c>
      <c r="F56" s="1" t="e">
        <f>VLOOKUP(A1,Data!$A$1:$DZU$999999,942,FALSE)</f>
        <v>#N/A</v>
      </c>
      <c r="G56" s="1" t="e">
        <f>VLOOKUP(A1,Data!$A$1:$DZU$999999,943,FALSE)</f>
        <v>#N/A</v>
      </c>
      <c r="H56" s="1" t="e">
        <f>VLOOKUP(A1,Data!$A$1:$DZU$999999,944,FALSE)</f>
        <v>#N/A</v>
      </c>
      <c r="I56" s="1" t="e">
        <f>VLOOKUP(A1,Data!$A$1:$DZU$999999,945,FALSE)</f>
        <v>#N/A</v>
      </c>
      <c r="J56" s="1" t="e">
        <f>VLOOKUP(A1,Data!$A$1:$DZU$999999,946,FALSE)</f>
        <v>#N/A</v>
      </c>
      <c r="K56" s="1" t="e">
        <f>VLOOKUP(A1,Data!$A$1:$DZU$999999,947,FALSE)</f>
        <v>#N/A</v>
      </c>
      <c r="L56" s="1" t="e">
        <f>VLOOKUP(A1,Data!$A$1:$DZU$999999,948,FALSE)</f>
        <v>#N/A</v>
      </c>
      <c r="M56" s="1" t="e">
        <f>VLOOKUP(A1,Data!$A$1:$DZU$999999,949,FALSE)</f>
        <v>#N/A</v>
      </c>
      <c r="N56" s="1" t="e">
        <f>VLOOKUP(A1,Data!$A$1:$DZU$999999,950,FALSE)</f>
        <v>#N/A</v>
      </c>
      <c r="O56" s="1" t="e">
        <f>VLOOKUP(A1,Data!$A$1:$DZU$999999,951,FALSE)</f>
        <v>#N/A</v>
      </c>
      <c r="P56" s="1" t="e">
        <f>VLOOKUP(A1,Data!$A$1:$DZU$999999,952,FALSE)</f>
        <v>#N/A</v>
      </c>
      <c r="Q56" s="1" t="e">
        <f>VLOOKUP(A1,Data!$A$1:$DZU$999999,953,FALSE)</f>
        <v>#N/A</v>
      </c>
    </row>
    <row r="57" spans="1:17" x14ac:dyDescent="0.35">
      <c r="A57" s="1" t="e">
        <f>VLOOKUP(A1,Data!$A$1:$DZU$999999,954,FALSE)</f>
        <v>#N/A</v>
      </c>
      <c r="B57" s="1" t="e">
        <f>VLOOKUP(A1,Data!$A$1:$DZU$999999,955,FALSE)</f>
        <v>#N/A</v>
      </c>
      <c r="C57" s="1" t="e">
        <f>VLOOKUP(A1,Data!$A$1:$DZU$999999,956,FALSE)</f>
        <v>#N/A</v>
      </c>
      <c r="D57" s="1" t="e">
        <f>VLOOKUP(A1,Data!$A$1:$DZU$999999,957,FALSE)</f>
        <v>#N/A</v>
      </c>
      <c r="E57" s="1" t="e">
        <f>VLOOKUP(A1,Data!$A$1:$DZU$999999,958,FALSE)</f>
        <v>#N/A</v>
      </c>
      <c r="F57" s="1" t="e">
        <f>VLOOKUP(A1,Data!$A$1:$DZU$999999,959,FALSE)</f>
        <v>#N/A</v>
      </c>
      <c r="G57" s="1" t="e">
        <f>VLOOKUP(A1,Data!$A$1:$DZU$999999,960,FALSE)</f>
        <v>#N/A</v>
      </c>
      <c r="H57" s="1" t="e">
        <f>VLOOKUP(A1,Data!$A$1:$DZU$999999,961,FALSE)</f>
        <v>#N/A</v>
      </c>
      <c r="I57" s="1" t="e">
        <f>VLOOKUP(A1,Data!$A$1:$DZU$999999,962,FALSE)</f>
        <v>#N/A</v>
      </c>
      <c r="J57" s="1" t="e">
        <f>VLOOKUP(A1,Data!$A$1:$DZU$999999,963,FALSE)</f>
        <v>#N/A</v>
      </c>
      <c r="K57" s="1" t="e">
        <f>VLOOKUP(A1,Data!$A$1:$DZU$999999,964,FALSE)</f>
        <v>#N/A</v>
      </c>
      <c r="L57" s="1" t="e">
        <f>VLOOKUP(A1,Data!$A$1:$DZU$999999,965,FALSE)</f>
        <v>#N/A</v>
      </c>
      <c r="M57" s="1" t="e">
        <f>VLOOKUP(A1,Data!$A$1:$DZU$999999,966,FALSE)</f>
        <v>#N/A</v>
      </c>
      <c r="N57" s="1" t="e">
        <f>VLOOKUP(A1,Data!$A$1:$DZU$999999,967,FALSE)</f>
        <v>#N/A</v>
      </c>
      <c r="O57" s="1" t="e">
        <f>VLOOKUP(A1,Data!$A$1:$DZU$999999,968,FALSE)</f>
        <v>#N/A</v>
      </c>
      <c r="P57" s="1" t="e">
        <f>VLOOKUP(A1,Data!$A$1:$DZU$999999,969,FALSE)</f>
        <v>#N/A</v>
      </c>
      <c r="Q57" s="1" t="e">
        <f>VLOOKUP(A1,Data!$A$1:$DZU$999999,970,FALSE)</f>
        <v>#N/A</v>
      </c>
    </row>
    <row r="58" spans="1:17" x14ac:dyDescent="0.35">
      <c r="A58" s="1" t="e">
        <f>VLOOKUP(A1,Data!$A$1:$DZU$999999,971,FALSE)</f>
        <v>#N/A</v>
      </c>
      <c r="B58" s="1" t="e">
        <f>VLOOKUP(A1,Data!$A$1:$DZU$999999,972,FALSE)</f>
        <v>#N/A</v>
      </c>
      <c r="C58" s="1" t="e">
        <f>VLOOKUP(A1,Data!$A$1:$DZU$999999,973,FALSE)</f>
        <v>#N/A</v>
      </c>
      <c r="D58" s="1" t="e">
        <f>VLOOKUP(A1,Data!$A$1:$DZU$999999,974,FALSE)</f>
        <v>#N/A</v>
      </c>
      <c r="E58" s="1" t="e">
        <f>VLOOKUP(A1,Data!$A$1:$DZU$999999,975,FALSE)</f>
        <v>#N/A</v>
      </c>
      <c r="F58" s="1" t="e">
        <f>VLOOKUP(A1,Data!$A$1:$DZU$999999,976,FALSE)</f>
        <v>#N/A</v>
      </c>
      <c r="G58" s="1" t="e">
        <f>VLOOKUP(A1,Data!$A$1:$DZU$999999,977,FALSE)</f>
        <v>#N/A</v>
      </c>
      <c r="H58" s="1" t="e">
        <f>VLOOKUP(A1,Data!$A$1:$DZU$999999,978,FALSE)</f>
        <v>#N/A</v>
      </c>
      <c r="I58" s="1" t="e">
        <f>VLOOKUP(A1,Data!$A$1:$DZU$999999,979,FALSE)</f>
        <v>#N/A</v>
      </c>
      <c r="J58" s="1" t="e">
        <f>VLOOKUP(A1,Data!$A$1:$DZU$999999,980,FALSE)</f>
        <v>#N/A</v>
      </c>
      <c r="K58" s="1" t="e">
        <f>VLOOKUP(A1,Data!$A$1:$DZU$999999,981,FALSE)</f>
        <v>#N/A</v>
      </c>
      <c r="L58" s="1" t="e">
        <f>VLOOKUP(A1,Data!$A$1:$DZU$999999,982,FALSE)</f>
        <v>#N/A</v>
      </c>
      <c r="M58" s="1" t="e">
        <f>VLOOKUP(A1,Data!$A$1:$DZU$999999,983,FALSE)</f>
        <v>#N/A</v>
      </c>
      <c r="N58" s="1" t="e">
        <f>VLOOKUP(A1,Data!$A$1:$DZU$999999,984,FALSE)</f>
        <v>#N/A</v>
      </c>
      <c r="O58" s="1" t="e">
        <f>VLOOKUP(A1,Data!$A$1:$DZU$999999,985,FALSE)</f>
        <v>#N/A</v>
      </c>
      <c r="P58" s="1" t="e">
        <f>VLOOKUP(A1,Data!$A$1:$DZU$999999,986,FALSE)</f>
        <v>#N/A</v>
      </c>
      <c r="Q58" s="1" t="e">
        <f>VLOOKUP(A1,Data!$A$1:$DZU$999999,987,FALSE)</f>
        <v>#N/A</v>
      </c>
    </row>
    <row r="59" spans="1:17" x14ac:dyDescent="0.35">
      <c r="A59" s="1" t="e">
        <f>VLOOKUP(A1,Data!$A$1:$DZU$999999,988,FALSE)</f>
        <v>#N/A</v>
      </c>
      <c r="B59" s="1" t="e">
        <f>VLOOKUP(A1,Data!$A$1:$DZU$999999,989,FALSE)</f>
        <v>#N/A</v>
      </c>
      <c r="C59" s="1" t="e">
        <f>VLOOKUP(A1,Data!$A$1:$DZU$999999,990,FALSE)</f>
        <v>#N/A</v>
      </c>
      <c r="D59" s="1" t="e">
        <f>VLOOKUP(A1,Data!$A$1:$DZU$999999,991,FALSE)</f>
        <v>#N/A</v>
      </c>
      <c r="E59" s="1" t="e">
        <f>VLOOKUP(A1,Data!$A$1:$DZU$999999,992,FALSE)</f>
        <v>#N/A</v>
      </c>
      <c r="F59" s="1" t="e">
        <f>VLOOKUP(A1,Data!$A$1:$DZU$999999,993,FALSE)</f>
        <v>#N/A</v>
      </c>
      <c r="G59" s="1" t="e">
        <f>VLOOKUP(A1,Data!$A$1:$DZU$999999,994,FALSE)</f>
        <v>#N/A</v>
      </c>
      <c r="H59" s="1" t="e">
        <f>VLOOKUP(A1,Data!$A$1:$DZU$999999,995,FALSE)</f>
        <v>#N/A</v>
      </c>
      <c r="I59" s="1" t="e">
        <f>VLOOKUP(A1,Data!$A$1:$DZU$999999,996,FALSE)</f>
        <v>#N/A</v>
      </c>
      <c r="J59" s="1" t="e">
        <f>VLOOKUP(A1,Data!$A$1:$DZU$999999,997,FALSE)</f>
        <v>#N/A</v>
      </c>
      <c r="K59" s="1" t="e">
        <f>VLOOKUP(A1,Data!$A$1:$DZU$999999,998,FALSE)</f>
        <v>#N/A</v>
      </c>
      <c r="L59" s="1" t="e">
        <f>VLOOKUP(A1,Data!$A$1:$DZU$999999,999,FALSE)</f>
        <v>#N/A</v>
      </c>
      <c r="M59" s="1" t="e">
        <f>VLOOKUP(A1,Data!$A$1:$DZU$999999,1000,FALSE)</f>
        <v>#N/A</v>
      </c>
      <c r="N59" s="1" t="e">
        <f>VLOOKUP(A1,Data!$A$1:$DZU$999999,1001,FALSE)</f>
        <v>#N/A</v>
      </c>
      <c r="O59" s="1" t="e">
        <f>VLOOKUP(A1,Data!$A$1:$DZU$999999,1002,FALSE)</f>
        <v>#N/A</v>
      </c>
      <c r="P59" s="1" t="e">
        <f>VLOOKUP(A1,Data!$A$1:$DZU$999999,1003,FALSE)</f>
        <v>#N/A</v>
      </c>
      <c r="Q59" s="1" t="e">
        <f>VLOOKUP(A1,Data!$A$1:$DZU$999999,1004,FALSE)</f>
        <v>#N/A</v>
      </c>
    </row>
    <row r="60" spans="1:17" x14ac:dyDescent="0.35">
      <c r="A60" s="1" t="e">
        <f>VLOOKUP(A1,Data!$A$1:$DZU$999999,1005,FALSE)</f>
        <v>#N/A</v>
      </c>
      <c r="B60" s="1" t="e">
        <f>VLOOKUP(A1,Data!$A$1:$DZU$999999,1006,FALSE)</f>
        <v>#N/A</v>
      </c>
      <c r="C60" s="1" t="e">
        <f>VLOOKUP(A1,Data!$A$1:$DZU$999999,1007,FALSE)</f>
        <v>#N/A</v>
      </c>
      <c r="D60" s="1" t="e">
        <f>VLOOKUP(A1,Data!$A$1:$DZU$999999,1008,FALSE)</f>
        <v>#N/A</v>
      </c>
      <c r="E60" s="1" t="e">
        <f>VLOOKUP(A1,Data!$A$1:$DZU$999999,1009,FALSE)</f>
        <v>#N/A</v>
      </c>
      <c r="F60" s="1" t="e">
        <f>VLOOKUP(A1,Data!$A$1:$DZU$999999,1010,FALSE)</f>
        <v>#N/A</v>
      </c>
      <c r="G60" s="1" t="e">
        <f>VLOOKUP(A1,Data!$A$1:$DZU$999999,1011,FALSE)</f>
        <v>#N/A</v>
      </c>
      <c r="H60" s="1" t="e">
        <f>VLOOKUP(A1,Data!$A$1:$DZU$999999,1012,FALSE)</f>
        <v>#N/A</v>
      </c>
      <c r="I60" s="1" t="e">
        <f>VLOOKUP(A1,Data!$A$1:$DZU$999999,1013,FALSE)</f>
        <v>#N/A</v>
      </c>
      <c r="J60" s="1" t="e">
        <f>VLOOKUP(A1,Data!$A$1:$DZU$999999,1014,FALSE)</f>
        <v>#N/A</v>
      </c>
      <c r="K60" s="1" t="e">
        <f>VLOOKUP(A1,Data!$A$1:$DZU$999999,1015,FALSE)</f>
        <v>#N/A</v>
      </c>
      <c r="L60" s="1" t="e">
        <f>VLOOKUP(A1,Data!$A$1:$DZU$999999,1016,FALSE)</f>
        <v>#N/A</v>
      </c>
      <c r="M60" s="1" t="e">
        <f>VLOOKUP(A1,Data!$A$1:$DZU$999999,1017,FALSE)</f>
        <v>#N/A</v>
      </c>
      <c r="N60" s="1" t="e">
        <f>VLOOKUP(A1,Data!$A$1:$DZU$999999,1018,FALSE)</f>
        <v>#N/A</v>
      </c>
      <c r="O60" s="1" t="e">
        <f>VLOOKUP(A1,Data!$A$1:$DZU$999999,1019,FALSE)</f>
        <v>#N/A</v>
      </c>
      <c r="P60" s="1" t="e">
        <f>VLOOKUP(A1,Data!$A$1:$DZU$999999,1020,FALSE)</f>
        <v>#N/A</v>
      </c>
      <c r="Q60" s="1" t="e">
        <f>VLOOKUP(A1,Data!$A$1:$DZU$999999,1021,FALSE)</f>
        <v>#N/A</v>
      </c>
    </row>
    <row r="61" spans="1:17" x14ac:dyDescent="0.35">
      <c r="A61" s="1" t="e">
        <f>VLOOKUP(A1,Data!$A$1:$DZU$999999,1022,FALSE)</f>
        <v>#N/A</v>
      </c>
      <c r="B61" s="1" t="e">
        <f>VLOOKUP(A1,Data!$A$1:$DZU$999999,1023,FALSE)</f>
        <v>#N/A</v>
      </c>
      <c r="C61" s="1" t="e">
        <f>VLOOKUP(A1,Data!$A$1:$DZU$999999,1024,FALSE)</f>
        <v>#N/A</v>
      </c>
      <c r="D61" s="1" t="e">
        <f>VLOOKUP(A1,Data!$A$1:$DZU$999999,1025,FALSE)</f>
        <v>#N/A</v>
      </c>
      <c r="E61" s="1" t="e">
        <f>VLOOKUP(A1,Data!$A$1:$DZU$999999,1026,FALSE)</f>
        <v>#N/A</v>
      </c>
      <c r="F61" s="1" t="e">
        <f>VLOOKUP(A1,Data!$A$1:$DZU$999999,1027,FALSE)</f>
        <v>#N/A</v>
      </c>
      <c r="G61" s="1" t="e">
        <f>VLOOKUP(A1,Data!$A$1:$DZU$999999,1028,FALSE)</f>
        <v>#N/A</v>
      </c>
      <c r="H61" s="1" t="e">
        <f>VLOOKUP(A1,Data!$A$1:$DZU$999999,1029,FALSE)</f>
        <v>#N/A</v>
      </c>
      <c r="I61" s="1" t="e">
        <f>VLOOKUP(A1,Data!$A$1:$DZU$999999,1030,FALSE)</f>
        <v>#N/A</v>
      </c>
      <c r="J61" s="1" t="e">
        <f>VLOOKUP(A1,Data!$A$1:$DZU$999999,1031,FALSE)</f>
        <v>#N/A</v>
      </c>
      <c r="K61" s="1" t="e">
        <f>VLOOKUP(A1,Data!$A$1:$DZU$999999,1032,FALSE)</f>
        <v>#N/A</v>
      </c>
      <c r="L61" s="1" t="e">
        <f>VLOOKUP(A1,Data!$A$1:$DZU$999999,1033,FALSE)</f>
        <v>#N/A</v>
      </c>
      <c r="M61" s="1" t="e">
        <f>VLOOKUP(A1,Data!$A$1:$DZU$999999,1034,FALSE)</f>
        <v>#N/A</v>
      </c>
      <c r="N61" s="1" t="e">
        <f>VLOOKUP(A1,Data!$A$1:$DZU$999999,1035,FALSE)</f>
        <v>#N/A</v>
      </c>
      <c r="O61" s="1" t="e">
        <f>VLOOKUP(A1,Data!$A$1:$DZU$999999,1036,FALSE)</f>
        <v>#N/A</v>
      </c>
      <c r="P61" s="1" t="e">
        <f>VLOOKUP(A1,Data!$A$1:$DZU$999999,1037,FALSE)</f>
        <v>#N/A</v>
      </c>
      <c r="Q61" s="1" t="e">
        <f>VLOOKUP(A1,Data!$A$1:$DZU$999999,1038,FALSE)</f>
        <v>#N/A</v>
      </c>
    </row>
    <row r="62" spans="1:17" x14ac:dyDescent="0.35">
      <c r="A62" s="1" t="e">
        <f>VLOOKUP(A1,Data!$A$1:$DZU$999999,1039,FALSE)</f>
        <v>#N/A</v>
      </c>
      <c r="B62" s="1" t="e">
        <f>VLOOKUP(A1,Data!$A$1:$DZU$999999,1040,FALSE)</f>
        <v>#N/A</v>
      </c>
      <c r="C62" s="1" t="e">
        <f>VLOOKUP(A1,Data!$A$1:$DZU$999999,1041,FALSE)</f>
        <v>#N/A</v>
      </c>
      <c r="D62" s="1" t="e">
        <f>VLOOKUP(A1,Data!$A$1:$DZU$999999,1042,FALSE)</f>
        <v>#N/A</v>
      </c>
      <c r="E62" s="1" t="e">
        <f>VLOOKUP(A1,Data!$A$1:$DZU$999999,1043,FALSE)</f>
        <v>#N/A</v>
      </c>
      <c r="F62" s="1" t="e">
        <f>VLOOKUP(A1,Data!$A$1:$DZU$999999,1044,FALSE)</f>
        <v>#N/A</v>
      </c>
      <c r="G62" s="1" t="e">
        <f>VLOOKUP(A1,Data!$A$1:$DZU$999999,1045,FALSE)</f>
        <v>#N/A</v>
      </c>
      <c r="H62" s="1" t="e">
        <f>VLOOKUP(A1,Data!$A$1:$DZU$999999,1046,FALSE)</f>
        <v>#N/A</v>
      </c>
      <c r="I62" s="1" t="e">
        <f>VLOOKUP(A1,Data!$A$1:$DZU$999999,1047,FALSE)</f>
        <v>#N/A</v>
      </c>
      <c r="J62" s="1" t="e">
        <f>VLOOKUP(A1,Data!$A$1:$DZU$999999,1048,FALSE)</f>
        <v>#N/A</v>
      </c>
      <c r="K62" s="1" t="e">
        <f>VLOOKUP(A1,Data!$A$1:$DZU$999999,1049,FALSE)</f>
        <v>#N/A</v>
      </c>
      <c r="L62" s="1" t="e">
        <f>VLOOKUP(A1,Data!$A$1:$DZU$999999,1050,FALSE)</f>
        <v>#N/A</v>
      </c>
      <c r="M62" s="1" t="e">
        <f>VLOOKUP(A1,Data!$A$1:$DZU$999999,1051,FALSE)</f>
        <v>#N/A</v>
      </c>
      <c r="N62" s="1" t="e">
        <f>VLOOKUP(A1,Data!$A$1:$DZU$999999,1052,FALSE)</f>
        <v>#N/A</v>
      </c>
      <c r="O62" s="1" t="e">
        <f>VLOOKUP(A1,Data!$A$1:$DZU$999999,1053,FALSE)</f>
        <v>#N/A</v>
      </c>
      <c r="P62" s="1" t="e">
        <f>VLOOKUP(A1,Data!$A$1:$DZU$999999,1054,FALSE)</f>
        <v>#N/A</v>
      </c>
      <c r="Q62" s="1" t="e">
        <f>VLOOKUP(A1,Data!$A$1:$DZU$999999,1055,FALSE)</f>
        <v>#N/A</v>
      </c>
    </row>
    <row r="63" spans="1:17" x14ac:dyDescent="0.35">
      <c r="A63" s="1" t="e">
        <f>VLOOKUP(A1,Data!$A$1:$DZU$999999,1056,FALSE)</f>
        <v>#N/A</v>
      </c>
      <c r="B63" s="1" t="e">
        <f>VLOOKUP(A1,Data!$A$1:$DZU$999999,1057,FALSE)</f>
        <v>#N/A</v>
      </c>
      <c r="C63" s="1" t="e">
        <f>VLOOKUP(A1,Data!$A$1:$DZU$999999,1058,FALSE)</f>
        <v>#N/A</v>
      </c>
      <c r="D63" s="1" t="e">
        <f>VLOOKUP(A1,Data!$A$1:$DZU$999999,1059,FALSE)</f>
        <v>#N/A</v>
      </c>
      <c r="E63" s="1" t="e">
        <f>VLOOKUP(A1,Data!$A$1:$DZU$999999,1060,FALSE)</f>
        <v>#N/A</v>
      </c>
      <c r="F63" s="1" t="e">
        <f>VLOOKUP(A1,Data!$A$1:$DZU$999999,1061,FALSE)</f>
        <v>#N/A</v>
      </c>
      <c r="G63" s="1" t="e">
        <f>VLOOKUP(A1,Data!$A$1:$DZU$999999,1062,FALSE)</f>
        <v>#N/A</v>
      </c>
      <c r="H63" s="1" t="e">
        <f>VLOOKUP(A1,Data!$A$1:$DZU$999999,1063,FALSE)</f>
        <v>#N/A</v>
      </c>
      <c r="I63" s="1" t="e">
        <f>VLOOKUP(A1,Data!$A$1:$DZU$999999,1064,FALSE)</f>
        <v>#N/A</v>
      </c>
      <c r="J63" s="1" t="e">
        <f>VLOOKUP(A1,Data!$A$1:$DZU$999999,1065,FALSE)</f>
        <v>#N/A</v>
      </c>
      <c r="K63" s="1" t="e">
        <f>VLOOKUP(A1,Data!$A$1:$DZU$999999,1066,FALSE)</f>
        <v>#N/A</v>
      </c>
      <c r="L63" s="1" t="e">
        <f>VLOOKUP(A1,Data!$A$1:$DZU$999999,1067,FALSE)</f>
        <v>#N/A</v>
      </c>
      <c r="M63" s="1" t="e">
        <f>VLOOKUP(A1,Data!$A$1:$DZU$999999,1068,FALSE)</f>
        <v>#N/A</v>
      </c>
      <c r="N63" s="1" t="e">
        <f>VLOOKUP(A1,Data!$A$1:$DZU$999999,1069,FALSE)</f>
        <v>#N/A</v>
      </c>
      <c r="O63" s="1" t="e">
        <f>VLOOKUP(A1,Data!$A$1:$DZU$999999,1070,FALSE)</f>
        <v>#N/A</v>
      </c>
      <c r="P63" s="1" t="e">
        <f>VLOOKUP(A1,Data!$A$1:$DZU$999999,1071,FALSE)</f>
        <v>#N/A</v>
      </c>
      <c r="Q63" s="1" t="e">
        <f>VLOOKUP(A1,Data!$A$1:$DZU$999999,1072,FALSE)</f>
        <v>#N/A</v>
      </c>
    </row>
    <row r="64" spans="1:17" x14ac:dyDescent="0.35">
      <c r="A64" s="1" t="e">
        <f>VLOOKUP(A1,Data!$A$1:$DZU$999999,1073,FALSE)</f>
        <v>#N/A</v>
      </c>
      <c r="B64" s="1" t="e">
        <f>VLOOKUP(A1,Data!$A$1:$DZU$999999,1074,FALSE)</f>
        <v>#N/A</v>
      </c>
      <c r="C64" s="1" t="e">
        <f>VLOOKUP(A1,Data!$A$1:$DZU$999999,1075,FALSE)</f>
        <v>#N/A</v>
      </c>
      <c r="D64" s="1" t="e">
        <f>VLOOKUP(A1,Data!$A$1:$DZU$999999,1076,FALSE)</f>
        <v>#N/A</v>
      </c>
      <c r="E64" s="1" t="e">
        <f>VLOOKUP(A1,Data!$A$1:$DZU$999999,1077,FALSE)</f>
        <v>#N/A</v>
      </c>
      <c r="F64" s="1" t="e">
        <f>VLOOKUP(A1,Data!$A$1:$DZU$999999,1078,FALSE)</f>
        <v>#N/A</v>
      </c>
      <c r="G64" s="1" t="e">
        <f>VLOOKUP(A1,Data!$A$1:$DZU$999999,1079,FALSE)</f>
        <v>#N/A</v>
      </c>
      <c r="H64" s="1" t="e">
        <f>VLOOKUP(A1,Data!$A$1:$DZU$999999,1080,FALSE)</f>
        <v>#N/A</v>
      </c>
      <c r="I64" s="1" t="e">
        <f>VLOOKUP(A1,Data!$A$1:$DZU$999999,1081,FALSE)</f>
        <v>#N/A</v>
      </c>
      <c r="J64" s="1" t="e">
        <f>VLOOKUP(A1,Data!$A$1:$DZU$999999,1082,FALSE)</f>
        <v>#N/A</v>
      </c>
      <c r="K64" s="1" t="e">
        <f>VLOOKUP(A1,Data!$A$1:$DZU$999999,1083,FALSE)</f>
        <v>#N/A</v>
      </c>
      <c r="L64" s="1" t="e">
        <f>VLOOKUP(A1,Data!$A$1:$DZU$999999,1084,FALSE)</f>
        <v>#N/A</v>
      </c>
      <c r="M64" s="1" t="e">
        <f>VLOOKUP(A1,Data!$A$1:$DZU$999999,1085,FALSE)</f>
        <v>#N/A</v>
      </c>
      <c r="N64" s="1" t="e">
        <f>VLOOKUP(A1,Data!$A$1:$DZU$999999,1086,FALSE)</f>
        <v>#N/A</v>
      </c>
      <c r="O64" s="1" t="e">
        <f>VLOOKUP(A1,Data!$A$1:$DZU$999999,1087,FALSE)</f>
        <v>#N/A</v>
      </c>
      <c r="P64" s="1" t="e">
        <f>VLOOKUP(A1,Data!$A$1:$DZU$999999,1088,FALSE)</f>
        <v>#N/A</v>
      </c>
      <c r="Q64" s="1" t="e">
        <f>VLOOKUP(A1,Data!$A$1:$DZU$999999,1089,FALSE)</f>
        <v>#N/A</v>
      </c>
    </row>
    <row r="65" spans="1:17" x14ac:dyDescent="0.35">
      <c r="A65" s="1" t="e">
        <f>VLOOKUP(A1,Data!$A$1:$DZU$999999,1090,FALSE)</f>
        <v>#N/A</v>
      </c>
      <c r="B65" s="1" t="e">
        <f>VLOOKUP(A1,Data!$A$1:$DZU$999999,1091,FALSE)</f>
        <v>#N/A</v>
      </c>
      <c r="C65" s="1" t="e">
        <f>VLOOKUP(A1,Data!$A$1:$DZU$999999,1092,FALSE)</f>
        <v>#N/A</v>
      </c>
      <c r="D65" s="1" t="e">
        <f>VLOOKUP(A1,Data!$A$1:$DZU$999999,1093,FALSE)</f>
        <v>#N/A</v>
      </c>
      <c r="E65" s="1" t="e">
        <f>VLOOKUP(A1,Data!$A$1:$DZU$999999,1094,FALSE)</f>
        <v>#N/A</v>
      </c>
      <c r="F65" s="1" t="e">
        <f>VLOOKUP(A1,Data!$A$1:$DZU$999999,1095,FALSE)</f>
        <v>#N/A</v>
      </c>
      <c r="G65" s="1" t="e">
        <f>VLOOKUP(A1,Data!$A$1:$DZU$999999,1096,FALSE)</f>
        <v>#N/A</v>
      </c>
      <c r="H65" s="1" t="e">
        <f>VLOOKUP(A1,Data!$A$1:$DZU$999999,1097,FALSE)</f>
        <v>#N/A</v>
      </c>
      <c r="I65" s="1" t="e">
        <f>VLOOKUP(A1,Data!$A$1:$DZU$999999,1098,FALSE)</f>
        <v>#N/A</v>
      </c>
      <c r="J65" s="1" t="e">
        <f>VLOOKUP(A1,Data!$A$1:$DZU$999999,1099,FALSE)</f>
        <v>#N/A</v>
      </c>
      <c r="K65" s="1" t="e">
        <f>VLOOKUP(A1,Data!$A$1:$DZU$999999,1100,FALSE)</f>
        <v>#N/A</v>
      </c>
      <c r="L65" s="1" t="e">
        <f>VLOOKUP(A1,Data!$A$1:$DZU$999999,1101,FALSE)</f>
        <v>#N/A</v>
      </c>
      <c r="M65" s="1" t="e">
        <f>VLOOKUP(A1,Data!$A$1:$DZU$999999,1102,FALSE)</f>
        <v>#N/A</v>
      </c>
      <c r="N65" s="1" t="e">
        <f>VLOOKUP(A1,Data!$A$1:$DZU$999999,1103,FALSE)</f>
        <v>#N/A</v>
      </c>
      <c r="O65" s="1" t="e">
        <f>VLOOKUP(A1,Data!$A$1:$DZU$999999,1104,FALSE)</f>
        <v>#N/A</v>
      </c>
      <c r="P65" s="1" t="e">
        <f>VLOOKUP(A1,Data!$A$1:$DZU$999999,1105,FALSE)</f>
        <v>#N/A</v>
      </c>
      <c r="Q65" s="1" t="e">
        <f>VLOOKUP(A1,Data!$A$1:$DZU$999999,1106,FALSE)</f>
        <v>#N/A</v>
      </c>
    </row>
    <row r="66" spans="1:17" x14ac:dyDescent="0.35">
      <c r="A66" s="1" t="e">
        <f>VLOOKUP(A1,Data!$A$1:$DZU$999999,1107,FALSE)</f>
        <v>#N/A</v>
      </c>
      <c r="B66" s="1" t="e">
        <f>VLOOKUP(A1,Data!$A$1:$DZU$999999,1108,FALSE)</f>
        <v>#N/A</v>
      </c>
      <c r="C66" s="1" t="e">
        <f>VLOOKUP(A1,Data!$A$1:$DZU$999999,1109,FALSE)</f>
        <v>#N/A</v>
      </c>
      <c r="D66" s="1" t="e">
        <f>VLOOKUP(A1,Data!$A$1:$DZU$999999,1110,FALSE)</f>
        <v>#N/A</v>
      </c>
      <c r="E66" s="1" t="e">
        <f>VLOOKUP(A1,Data!$A$1:$DZU$999999,1111,FALSE)</f>
        <v>#N/A</v>
      </c>
      <c r="F66" s="1" t="e">
        <f>VLOOKUP(A1,Data!$A$1:$DZU$999999,1112,FALSE)</f>
        <v>#N/A</v>
      </c>
      <c r="G66" s="1" t="e">
        <f>VLOOKUP(A1,Data!$A$1:$DZU$999999,1113,FALSE)</f>
        <v>#N/A</v>
      </c>
      <c r="H66" s="1" t="e">
        <f>VLOOKUP(A1,Data!$A$1:$DZU$999999,1114,FALSE)</f>
        <v>#N/A</v>
      </c>
      <c r="I66" s="1" t="e">
        <f>VLOOKUP(A1,Data!$A$1:$DZU$999999,1115,FALSE)</f>
        <v>#N/A</v>
      </c>
      <c r="J66" s="1" t="e">
        <f>VLOOKUP(A1,Data!$A$1:$DZU$999999,1116,FALSE)</f>
        <v>#N/A</v>
      </c>
      <c r="K66" s="1" t="e">
        <f>VLOOKUP(A1,Data!$A$1:$DZU$999999,1117,FALSE)</f>
        <v>#N/A</v>
      </c>
      <c r="L66" s="1" t="e">
        <f>VLOOKUP(A1,Data!$A$1:$DZU$999999,1118,FALSE)</f>
        <v>#N/A</v>
      </c>
      <c r="M66" s="1" t="e">
        <f>VLOOKUP(A1,Data!$A$1:$DZU$999999,1119,FALSE)</f>
        <v>#N/A</v>
      </c>
      <c r="N66" s="1" t="e">
        <f>VLOOKUP(A1,Data!$A$1:$DZU$999999,1120,FALSE)</f>
        <v>#N/A</v>
      </c>
      <c r="O66" s="1" t="e">
        <f>VLOOKUP(A1,Data!$A$1:$DZU$999999,1121,FALSE)</f>
        <v>#N/A</v>
      </c>
      <c r="P66" s="1" t="e">
        <f>VLOOKUP(A1,Data!$A$1:$DZU$999999,1122,FALSE)</f>
        <v>#N/A</v>
      </c>
      <c r="Q66" s="1" t="e">
        <f>VLOOKUP(A1,Data!$A$1:$DZU$999999,1123,FALSE)</f>
        <v>#N/A</v>
      </c>
    </row>
    <row r="67" spans="1:17" x14ac:dyDescent="0.35">
      <c r="A67" s="1" t="e">
        <f>VLOOKUP(A1,Data!$A$1:$DZU$999999,1124,FALSE)</f>
        <v>#N/A</v>
      </c>
      <c r="B67" s="1" t="e">
        <f>VLOOKUP(A1,Data!$A$1:$DZU$999999,1125,FALSE)</f>
        <v>#N/A</v>
      </c>
      <c r="C67" s="1" t="e">
        <f>VLOOKUP(A1,Data!$A$1:$DZU$999999,1126,FALSE)</f>
        <v>#N/A</v>
      </c>
      <c r="D67" s="1" t="e">
        <f>VLOOKUP(A1,Data!$A$1:$DZU$999999,1127,FALSE)</f>
        <v>#N/A</v>
      </c>
      <c r="E67" s="1" t="e">
        <f>VLOOKUP(A1,Data!$A$1:$DZU$999999,1128,FALSE)</f>
        <v>#N/A</v>
      </c>
      <c r="F67" s="1" t="e">
        <f>VLOOKUP(A1,Data!$A$1:$DZU$999999,1129,FALSE)</f>
        <v>#N/A</v>
      </c>
      <c r="G67" s="1" t="e">
        <f>VLOOKUP(A1,Data!$A$1:$DZU$999999,1130,FALSE)</f>
        <v>#N/A</v>
      </c>
      <c r="H67" s="1" t="e">
        <f>VLOOKUP(A1,Data!$A$1:$DZU$999999,1131,FALSE)</f>
        <v>#N/A</v>
      </c>
      <c r="I67" s="1" t="e">
        <f>VLOOKUP(A1,Data!$A$1:$DZU$999999,1132,FALSE)</f>
        <v>#N/A</v>
      </c>
      <c r="J67" s="1" t="e">
        <f>VLOOKUP(A1,Data!$A$1:$DZU$999999,1133,FALSE)</f>
        <v>#N/A</v>
      </c>
      <c r="K67" s="1" t="e">
        <f>VLOOKUP(A1,Data!$A$1:$DZU$999999,1134,FALSE)</f>
        <v>#N/A</v>
      </c>
      <c r="L67" s="1" t="e">
        <f>VLOOKUP(A1,Data!$A$1:$DZU$999999,1135,FALSE)</f>
        <v>#N/A</v>
      </c>
      <c r="M67" s="1" t="e">
        <f>VLOOKUP(A1,Data!$A$1:$DZU$999999,1136,FALSE)</f>
        <v>#N/A</v>
      </c>
      <c r="N67" s="1" t="e">
        <f>VLOOKUP(A1,Data!$A$1:$DZU$999999,1137,FALSE)</f>
        <v>#N/A</v>
      </c>
      <c r="O67" s="1" t="e">
        <f>VLOOKUP(A1,Data!$A$1:$DZU$999999,1138,FALSE)</f>
        <v>#N/A</v>
      </c>
      <c r="P67" s="1" t="e">
        <f>VLOOKUP(A1,Data!$A$1:$DZU$999999,1139,FALSE)</f>
        <v>#N/A</v>
      </c>
      <c r="Q67" s="1" t="e">
        <f>VLOOKUP(A1,Data!$A$1:$DZU$999999,1140,FALSE)</f>
        <v>#N/A</v>
      </c>
    </row>
    <row r="68" spans="1:17" x14ac:dyDescent="0.35">
      <c r="A68" s="1" t="e">
        <f>VLOOKUP(A1,Data!$A$1:$DZU$999999,1141,FALSE)</f>
        <v>#N/A</v>
      </c>
      <c r="B68" s="1" t="e">
        <f>VLOOKUP(A1,Data!$A$1:$DZU$999999,1142,FALSE)</f>
        <v>#N/A</v>
      </c>
      <c r="C68" s="1" t="e">
        <f>VLOOKUP(A1,Data!$A$1:$DZU$999999,1143,FALSE)</f>
        <v>#N/A</v>
      </c>
      <c r="D68" s="1" t="e">
        <f>VLOOKUP(A1,Data!$A$1:$DZU$999999,1144,FALSE)</f>
        <v>#N/A</v>
      </c>
      <c r="E68" s="1" t="e">
        <f>VLOOKUP(A1,Data!$A$1:$DZU$999999,1145,FALSE)</f>
        <v>#N/A</v>
      </c>
      <c r="F68" s="1" t="e">
        <f>VLOOKUP(A1,Data!$A$1:$DZU$999999,1146,FALSE)</f>
        <v>#N/A</v>
      </c>
      <c r="G68" s="1" t="e">
        <f>VLOOKUP(A1,Data!$A$1:$DZU$999999,1147,FALSE)</f>
        <v>#N/A</v>
      </c>
      <c r="H68" s="1" t="e">
        <f>VLOOKUP(A1,Data!$A$1:$DZU$999999,1148,FALSE)</f>
        <v>#N/A</v>
      </c>
      <c r="I68" s="1" t="e">
        <f>VLOOKUP(A1,Data!$A$1:$DZU$999999,1149,FALSE)</f>
        <v>#N/A</v>
      </c>
      <c r="J68" s="1" t="e">
        <f>VLOOKUP(A1,Data!$A$1:$DZU$999999,1150,FALSE)</f>
        <v>#N/A</v>
      </c>
      <c r="K68" s="1" t="e">
        <f>VLOOKUP(A1,Data!$A$1:$DZU$999999,1151,FALSE)</f>
        <v>#N/A</v>
      </c>
      <c r="L68" s="1" t="e">
        <f>VLOOKUP(A1,Data!$A$1:$DZU$999999,1152,FALSE)</f>
        <v>#N/A</v>
      </c>
      <c r="M68" s="1" t="e">
        <f>VLOOKUP(A1,Data!$A$1:$DZU$999999,1153,FALSE)</f>
        <v>#N/A</v>
      </c>
      <c r="N68" s="1" t="e">
        <f>VLOOKUP(A1,Data!$A$1:$DZU$999999,1154,FALSE)</f>
        <v>#N/A</v>
      </c>
      <c r="O68" s="1" t="e">
        <f>VLOOKUP(A1,Data!$A$1:$DZU$999999,1155,FALSE)</f>
        <v>#N/A</v>
      </c>
      <c r="P68" s="1" t="e">
        <f>VLOOKUP(A1,Data!$A$1:$DZU$999999,1156,FALSE)</f>
        <v>#N/A</v>
      </c>
      <c r="Q68" s="1" t="e">
        <f>VLOOKUP(A1,Data!$A$1:$DZU$999999,1157,FALSE)</f>
        <v>#N/A</v>
      </c>
    </row>
    <row r="69" spans="1:17" x14ac:dyDescent="0.35">
      <c r="A69" s="1" t="e">
        <f>VLOOKUP(A1,Data!$A$1:$DZU$999999,1158,FALSE)</f>
        <v>#N/A</v>
      </c>
      <c r="B69" s="1" t="e">
        <f>VLOOKUP(A1,Data!$A$1:$DZU$999999,1159,FALSE)</f>
        <v>#N/A</v>
      </c>
      <c r="C69" s="1" t="e">
        <f>VLOOKUP(A1,Data!$A$1:$DZU$999999,1160,FALSE)</f>
        <v>#N/A</v>
      </c>
      <c r="D69" s="1" t="e">
        <f>VLOOKUP(A1,Data!$A$1:$DZU$999999,1161,FALSE)</f>
        <v>#N/A</v>
      </c>
      <c r="E69" s="1" t="e">
        <f>VLOOKUP(A1,Data!$A$1:$DZU$999999,1162,FALSE)</f>
        <v>#N/A</v>
      </c>
      <c r="F69" s="1" t="e">
        <f>VLOOKUP(A1,Data!$A$1:$DZU$999999,1163,FALSE)</f>
        <v>#N/A</v>
      </c>
      <c r="G69" s="1" t="e">
        <f>VLOOKUP(A1,Data!$A$1:$DZU$999999,1164,FALSE)</f>
        <v>#N/A</v>
      </c>
      <c r="H69" s="1" t="e">
        <f>VLOOKUP(A1,Data!$A$1:$DZU$999999,1165,FALSE)</f>
        <v>#N/A</v>
      </c>
      <c r="I69" s="1" t="e">
        <f>VLOOKUP(A1,Data!$A$1:$DZU$999999,1166,FALSE)</f>
        <v>#N/A</v>
      </c>
      <c r="J69" s="1" t="e">
        <f>VLOOKUP(A1,Data!$A$1:$DZU$999999,1167,FALSE)</f>
        <v>#N/A</v>
      </c>
      <c r="K69" s="1" t="e">
        <f>VLOOKUP(A1,Data!$A$1:$DZU$999999,1168,FALSE)</f>
        <v>#N/A</v>
      </c>
      <c r="L69" s="1" t="e">
        <f>VLOOKUP(A1,Data!$A$1:$DZU$999999,1169,FALSE)</f>
        <v>#N/A</v>
      </c>
      <c r="M69" s="1" t="e">
        <f>VLOOKUP(A1,Data!$A$1:$DZU$999999,1170,FALSE)</f>
        <v>#N/A</v>
      </c>
      <c r="N69" s="1" t="e">
        <f>VLOOKUP(A1,Data!$A$1:$DZU$999999,1171,FALSE)</f>
        <v>#N/A</v>
      </c>
      <c r="O69" s="1" t="e">
        <f>VLOOKUP(A1,Data!$A$1:$DZU$999999,1172,FALSE)</f>
        <v>#N/A</v>
      </c>
      <c r="P69" s="1" t="e">
        <f>VLOOKUP(A1,Data!$A$1:$DZU$999999,1173,FALSE)</f>
        <v>#N/A</v>
      </c>
      <c r="Q69" s="1" t="e">
        <f>VLOOKUP(A1,Data!$A$1:$DZU$999999,1174,FALSE)</f>
        <v>#N/A</v>
      </c>
    </row>
    <row r="70" spans="1:17" x14ac:dyDescent="0.35">
      <c r="A70" s="1" t="e">
        <f>VLOOKUP(A1,Data!$A$1:$DZU$999999,1175,FALSE)</f>
        <v>#N/A</v>
      </c>
      <c r="B70" s="1" t="e">
        <f>VLOOKUP(A1,Data!$A$1:$DZU$999999,1176,FALSE)</f>
        <v>#N/A</v>
      </c>
      <c r="C70" s="1" t="e">
        <f>VLOOKUP(A1,Data!$A$1:$DZU$999999,1177,FALSE)</f>
        <v>#N/A</v>
      </c>
      <c r="D70" s="1" t="e">
        <f>VLOOKUP(A1,Data!$A$1:$DZU$999999,1178,FALSE)</f>
        <v>#N/A</v>
      </c>
      <c r="E70" s="1" t="e">
        <f>VLOOKUP(A1,Data!$A$1:$DZU$999999,1179,FALSE)</f>
        <v>#N/A</v>
      </c>
      <c r="F70" s="1" t="e">
        <f>VLOOKUP(A1,Data!$A$1:$DZU$999999,1180,FALSE)</f>
        <v>#N/A</v>
      </c>
      <c r="G70" s="1" t="e">
        <f>VLOOKUP(A1,Data!$A$1:$DZU$999999,1181,FALSE)</f>
        <v>#N/A</v>
      </c>
      <c r="H70" s="1" t="e">
        <f>VLOOKUP(A1,Data!$A$1:$DZU$999999,1182,FALSE)</f>
        <v>#N/A</v>
      </c>
      <c r="I70" s="1" t="e">
        <f>VLOOKUP(A1,Data!$A$1:$DZU$999999,1183,FALSE)</f>
        <v>#N/A</v>
      </c>
      <c r="J70" s="1" t="e">
        <f>VLOOKUP(A1,Data!$A$1:$DZU$999999,1184,FALSE)</f>
        <v>#N/A</v>
      </c>
      <c r="K70" s="1" t="e">
        <f>VLOOKUP(A1,Data!$A$1:$DZU$999999,1185,FALSE)</f>
        <v>#N/A</v>
      </c>
      <c r="L70" s="1" t="e">
        <f>VLOOKUP(A1,Data!$A$1:$DZU$999999,1186,FALSE)</f>
        <v>#N/A</v>
      </c>
      <c r="M70" s="1" t="e">
        <f>VLOOKUP(A1,Data!$A$1:$DZU$999999,1187,FALSE)</f>
        <v>#N/A</v>
      </c>
      <c r="N70" s="1" t="e">
        <f>VLOOKUP(A1,Data!$A$1:$DZU$999999,1188,FALSE)</f>
        <v>#N/A</v>
      </c>
      <c r="O70" s="1" t="e">
        <f>VLOOKUP(A1,Data!$A$1:$DZU$999999,1189,FALSE)</f>
        <v>#N/A</v>
      </c>
      <c r="P70" s="1" t="e">
        <f>VLOOKUP(A1,Data!$A$1:$DZU$999999,1190,FALSE)</f>
        <v>#N/A</v>
      </c>
      <c r="Q70" s="1" t="e">
        <f>VLOOKUP(A1,Data!$A$1:$DZU$999999,1191,FALSE)</f>
        <v>#N/A</v>
      </c>
    </row>
    <row r="71" spans="1:17" x14ac:dyDescent="0.35">
      <c r="A71" s="1" t="e">
        <f>VLOOKUP(A1,Data!$A$1:$DZU$999999,1192,FALSE)</f>
        <v>#N/A</v>
      </c>
      <c r="B71" s="1" t="e">
        <f>VLOOKUP(A1,Data!$A$1:$DZU$999999,1193,FALSE)</f>
        <v>#N/A</v>
      </c>
      <c r="C71" s="1" t="e">
        <f>VLOOKUP(A1,Data!$A$1:$DZU$999999,1194,FALSE)</f>
        <v>#N/A</v>
      </c>
      <c r="D71" s="1" t="e">
        <f>VLOOKUP(A1,Data!$A$1:$DZU$999999,1195,FALSE)</f>
        <v>#N/A</v>
      </c>
      <c r="E71" s="1" t="e">
        <f>VLOOKUP(A1,Data!$A$1:$DZU$999999,1196,FALSE)</f>
        <v>#N/A</v>
      </c>
      <c r="F71" s="1" t="e">
        <f>VLOOKUP(A1,Data!$A$1:$DZU$999999,1197,FALSE)</f>
        <v>#N/A</v>
      </c>
      <c r="G71" s="1" t="e">
        <f>VLOOKUP(A1,Data!$A$1:$DZU$999999,1198,FALSE)</f>
        <v>#N/A</v>
      </c>
      <c r="H71" s="1" t="e">
        <f>VLOOKUP(A1,Data!$A$1:$DZU$999999,1199,FALSE)</f>
        <v>#N/A</v>
      </c>
      <c r="I71" s="1" t="e">
        <f>VLOOKUP(A1,Data!$A$1:$DZU$999999,1200,FALSE)</f>
        <v>#N/A</v>
      </c>
      <c r="J71" s="1" t="e">
        <f>VLOOKUP(A1,Data!$A$1:$DZU$999999,1201,FALSE)</f>
        <v>#N/A</v>
      </c>
      <c r="K71" s="1" t="e">
        <f>VLOOKUP(A1,Data!$A$1:$DZU$999999,1202,FALSE)</f>
        <v>#N/A</v>
      </c>
      <c r="L71" s="1" t="e">
        <f>VLOOKUP(A1,Data!$A$1:$DZU$999999,1203,FALSE)</f>
        <v>#N/A</v>
      </c>
      <c r="M71" s="1" t="e">
        <f>VLOOKUP(A1,Data!$A$1:$DZU$999999,1204,FALSE)</f>
        <v>#N/A</v>
      </c>
      <c r="N71" s="1" t="e">
        <f>VLOOKUP(A1,Data!$A$1:$DZU$999999,1205,FALSE)</f>
        <v>#N/A</v>
      </c>
      <c r="O71" s="1" t="e">
        <f>VLOOKUP(A1,Data!$A$1:$DZU$999999,1206,FALSE)</f>
        <v>#N/A</v>
      </c>
      <c r="P71" s="1" t="e">
        <f>VLOOKUP(A1,Data!$A$1:$DZU$999999,1207,FALSE)</f>
        <v>#N/A</v>
      </c>
      <c r="Q71" s="1" t="e">
        <f>VLOOKUP(A1,Data!$A$1:$DZU$999999,1208,FALSE)</f>
        <v>#N/A</v>
      </c>
    </row>
    <row r="72" spans="1:17" x14ac:dyDescent="0.35">
      <c r="A72" s="1" t="e">
        <f>VLOOKUP(A1,Data!$A$1:$DZU$999999,1209,FALSE)</f>
        <v>#N/A</v>
      </c>
      <c r="B72" s="1" t="e">
        <f>VLOOKUP(A1,Data!$A$1:$DZU$999999,1210,FALSE)</f>
        <v>#N/A</v>
      </c>
      <c r="C72" s="1" t="e">
        <f>VLOOKUP(A1,Data!$A$1:$DZU$999999,1211,FALSE)</f>
        <v>#N/A</v>
      </c>
      <c r="D72" s="1" t="e">
        <f>VLOOKUP(A1,Data!$A$1:$DZU$999999,1212,FALSE)</f>
        <v>#N/A</v>
      </c>
      <c r="E72" s="1" t="e">
        <f>VLOOKUP(A1,Data!$A$1:$DZU$999999,1213,FALSE)</f>
        <v>#N/A</v>
      </c>
      <c r="F72" s="1" t="e">
        <f>VLOOKUP(A1,Data!$A$1:$DZU$999999,1214,FALSE)</f>
        <v>#N/A</v>
      </c>
      <c r="G72" s="1" t="e">
        <f>VLOOKUP(A1,Data!$A$1:$DZU$999999,1215,FALSE)</f>
        <v>#N/A</v>
      </c>
      <c r="H72" s="1" t="e">
        <f>VLOOKUP(A1,Data!$A$1:$DZU$999999,1216,FALSE)</f>
        <v>#N/A</v>
      </c>
      <c r="I72" s="1" t="e">
        <f>VLOOKUP(A1,Data!$A$1:$DZU$999999,1217,FALSE)</f>
        <v>#N/A</v>
      </c>
      <c r="J72" s="1" t="e">
        <f>VLOOKUP(A1,Data!$A$1:$DZU$999999,1218,FALSE)</f>
        <v>#N/A</v>
      </c>
      <c r="K72" s="1" t="e">
        <f>VLOOKUP(A1,Data!$A$1:$DZU$999999,1219,FALSE)</f>
        <v>#N/A</v>
      </c>
      <c r="L72" s="1" t="e">
        <f>VLOOKUP(A1,Data!$A$1:$DZU$999999,1220,FALSE)</f>
        <v>#N/A</v>
      </c>
      <c r="M72" s="1" t="e">
        <f>VLOOKUP(A1,Data!$A$1:$DZU$999999,1221,FALSE)</f>
        <v>#N/A</v>
      </c>
      <c r="N72" s="1" t="e">
        <f>VLOOKUP(A1,Data!$A$1:$DZU$999999,1222,FALSE)</f>
        <v>#N/A</v>
      </c>
      <c r="O72" s="1" t="e">
        <f>VLOOKUP(A1,Data!$A$1:$DZU$999999,1223,FALSE)</f>
        <v>#N/A</v>
      </c>
      <c r="P72" s="1" t="e">
        <f>VLOOKUP(A1,Data!$A$1:$DZU$999999,1224,FALSE)</f>
        <v>#N/A</v>
      </c>
      <c r="Q72" s="1" t="e">
        <f>VLOOKUP(A1,Data!$A$1:$DZU$999999,1225,FALSE)</f>
        <v>#N/A</v>
      </c>
    </row>
    <row r="73" spans="1:17" x14ac:dyDescent="0.35">
      <c r="A73" s="1" t="e">
        <f>VLOOKUP(A1,Data!$A$1:$DZU$999999,1226,FALSE)</f>
        <v>#N/A</v>
      </c>
      <c r="B73" s="1" t="e">
        <f>VLOOKUP(A1,Data!$A$1:$DZU$999999,1227,FALSE)</f>
        <v>#N/A</v>
      </c>
      <c r="C73" s="1" t="e">
        <f>VLOOKUP(A1,Data!$A$1:$DZU$999999,1228,FALSE)</f>
        <v>#N/A</v>
      </c>
      <c r="D73" s="1" t="e">
        <f>VLOOKUP(A1,Data!$A$1:$DZU$999999,1229,FALSE)</f>
        <v>#N/A</v>
      </c>
      <c r="E73" s="1" t="e">
        <f>VLOOKUP(A1,Data!$A$1:$DZU$999999,1230,FALSE)</f>
        <v>#N/A</v>
      </c>
      <c r="F73" s="1" t="e">
        <f>VLOOKUP(A1,Data!$A$1:$DZU$999999,1231,FALSE)</f>
        <v>#N/A</v>
      </c>
      <c r="G73" s="1" t="e">
        <f>VLOOKUP(A1,Data!$A$1:$DZU$999999,1232,FALSE)</f>
        <v>#N/A</v>
      </c>
      <c r="H73" s="1" t="e">
        <f>VLOOKUP(A1,Data!$A$1:$DZU$999999,1233,FALSE)</f>
        <v>#N/A</v>
      </c>
      <c r="I73" s="1" t="e">
        <f>VLOOKUP(A1,Data!$A$1:$DZU$999999,1234,FALSE)</f>
        <v>#N/A</v>
      </c>
      <c r="J73" s="1" t="e">
        <f>VLOOKUP(A1,Data!$A$1:$DZU$999999,1235,FALSE)</f>
        <v>#N/A</v>
      </c>
      <c r="K73" s="1" t="e">
        <f>VLOOKUP(A1,Data!$A$1:$DZU$999999,1236,FALSE)</f>
        <v>#N/A</v>
      </c>
      <c r="L73" s="1" t="e">
        <f>VLOOKUP(A1,Data!$A$1:$DZU$999999,1237,FALSE)</f>
        <v>#N/A</v>
      </c>
      <c r="M73" s="1" t="e">
        <f>VLOOKUP(A1,Data!$A$1:$DZU$999999,1238,FALSE)</f>
        <v>#N/A</v>
      </c>
      <c r="N73" s="1" t="e">
        <f>VLOOKUP(A1,Data!$A$1:$DZU$999999,1239,FALSE)</f>
        <v>#N/A</v>
      </c>
      <c r="O73" s="1" t="e">
        <f>VLOOKUP(A1,Data!$A$1:$DZU$999999,1240,FALSE)</f>
        <v>#N/A</v>
      </c>
      <c r="P73" s="1" t="e">
        <f>VLOOKUP(A1,Data!$A$1:$DZU$999999,1241,FALSE)</f>
        <v>#N/A</v>
      </c>
      <c r="Q73" s="1" t="e">
        <f>VLOOKUP(A1,Data!$A$1:$DZU$999999,1242,FALSE)</f>
        <v>#N/A</v>
      </c>
    </row>
    <row r="74" spans="1:17" x14ac:dyDescent="0.35">
      <c r="A74" s="1" t="e">
        <f>VLOOKUP(A1,Data!$A$1:$DZU$999999,1243,FALSE)</f>
        <v>#N/A</v>
      </c>
      <c r="B74" s="1" t="e">
        <f>VLOOKUP(A1,Data!$A$1:$DZU$999999,1244,FALSE)</f>
        <v>#N/A</v>
      </c>
      <c r="C74" s="1" t="e">
        <f>VLOOKUP(A1,Data!$A$1:$DZU$999999,1245,FALSE)</f>
        <v>#N/A</v>
      </c>
      <c r="D74" s="1" t="e">
        <f>VLOOKUP(A1,Data!$A$1:$DZU$999999,1246,FALSE)</f>
        <v>#N/A</v>
      </c>
      <c r="E74" s="1" t="e">
        <f>VLOOKUP(A1,Data!$A$1:$DZU$999999,1247,FALSE)</f>
        <v>#N/A</v>
      </c>
      <c r="F74" s="1" t="e">
        <f>VLOOKUP(A1,Data!$A$1:$DZU$999999,1248,FALSE)</f>
        <v>#N/A</v>
      </c>
      <c r="G74" s="1" t="e">
        <f>VLOOKUP(A1,Data!$A$1:$DZU$999999,1249,FALSE)</f>
        <v>#N/A</v>
      </c>
      <c r="H74" s="1" t="e">
        <f>VLOOKUP(A1,Data!$A$1:$DZU$999999,1250,FALSE)</f>
        <v>#N/A</v>
      </c>
      <c r="I74" s="1" t="e">
        <f>VLOOKUP(A1,Data!$A$1:$DZU$999999,1251,FALSE)</f>
        <v>#N/A</v>
      </c>
      <c r="J74" s="1" t="e">
        <f>VLOOKUP(A1,Data!$A$1:$DZU$999999,1252,FALSE)</f>
        <v>#N/A</v>
      </c>
      <c r="K74" s="1" t="e">
        <f>VLOOKUP(A1,Data!$A$1:$DZU$999999,1253,FALSE)</f>
        <v>#N/A</v>
      </c>
      <c r="L74" s="1" t="e">
        <f>VLOOKUP(A1,Data!$A$1:$DZU$999999,1254,FALSE)</f>
        <v>#N/A</v>
      </c>
      <c r="M74" s="1" t="e">
        <f>VLOOKUP(A1,Data!$A$1:$DZU$999999,1255,FALSE)</f>
        <v>#N/A</v>
      </c>
      <c r="N74" s="1" t="e">
        <f>VLOOKUP(A1,Data!$A$1:$DZU$999999,1256,FALSE)</f>
        <v>#N/A</v>
      </c>
      <c r="O74" s="1" t="e">
        <f>VLOOKUP(A1,Data!$A$1:$DZU$999999,1257,FALSE)</f>
        <v>#N/A</v>
      </c>
      <c r="P74" s="1" t="e">
        <f>VLOOKUP(A1,Data!$A$1:$DZU$999999,1258,FALSE)</f>
        <v>#N/A</v>
      </c>
      <c r="Q74" s="1" t="e">
        <f>VLOOKUP(A1,Data!$A$1:$DZU$999999,1259,FALSE)</f>
        <v>#N/A</v>
      </c>
    </row>
    <row r="75" spans="1:17" x14ac:dyDescent="0.35">
      <c r="A75" s="1" t="e">
        <f>VLOOKUP(A1,Data!$A$1:$DZU$999999,1260,FALSE)</f>
        <v>#N/A</v>
      </c>
      <c r="B75" s="1" t="e">
        <f>VLOOKUP(A1,Data!$A$1:$DZU$999999,1261,FALSE)</f>
        <v>#N/A</v>
      </c>
      <c r="C75" s="1" t="e">
        <f>VLOOKUP(A1,Data!$A$1:$DZU$999999,1262,FALSE)</f>
        <v>#N/A</v>
      </c>
      <c r="D75" s="1" t="e">
        <f>VLOOKUP(A1,Data!$A$1:$DZU$999999,1263,FALSE)</f>
        <v>#N/A</v>
      </c>
      <c r="E75" s="1" t="e">
        <f>VLOOKUP(A1,Data!$A$1:$DZU$999999,1264,FALSE)</f>
        <v>#N/A</v>
      </c>
      <c r="F75" s="1" t="e">
        <f>VLOOKUP(A1,Data!$A$1:$DZU$999999,1265,FALSE)</f>
        <v>#N/A</v>
      </c>
      <c r="G75" s="1" t="e">
        <f>VLOOKUP(A1,Data!$A$1:$DZU$999999,1266,FALSE)</f>
        <v>#N/A</v>
      </c>
      <c r="H75" s="1" t="e">
        <f>VLOOKUP(A1,Data!$A$1:$DZU$999999,1267,FALSE)</f>
        <v>#N/A</v>
      </c>
      <c r="I75" s="1" t="e">
        <f>VLOOKUP(A1,Data!$A$1:$DZU$999999,1268,FALSE)</f>
        <v>#N/A</v>
      </c>
      <c r="J75" s="1" t="e">
        <f>VLOOKUP(A1,Data!$A$1:$DZU$999999,1269,FALSE)</f>
        <v>#N/A</v>
      </c>
      <c r="K75" s="1" t="e">
        <f>VLOOKUP(A1,Data!$A$1:$DZU$999999,1270,FALSE)</f>
        <v>#N/A</v>
      </c>
      <c r="L75" s="1" t="e">
        <f>VLOOKUP(A1,Data!$A$1:$DZU$999999,1271,FALSE)</f>
        <v>#N/A</v>
      </c>
      <c r="M75" s="1" t="e">
        <f>VLOOKUP(A1,Data!$A$1:$DZU$999999,1272,FALSE)</f>
        <v>#N/A</v>
      </c>
      <c r="N75" s="1" t="e">
        <f>VLOOKUP(A1,Data!$A$1:$DZU$999999,1273,FALSE)</f>
        <v>#N/A</v>
      </c>
      <c r="O75" s="1" t="e">
        <f>VLOOKUP(A1,Data!$A$1:$DZU$999999,1274,FALSE)</f>
        <v>#N/A</v>
      </c>
      <c r="P75" s="1" t="e">
        <f>VLOOKUP(A1,Data!$A$1:$DZU$999999,1275,FALSE)</f>
        <v>#N/A</v>
      </c>
      <c r="Q75" s="1" t="e">
        <f>VLOOKUP(A1,Data!$A$1:$DZU$999999,1276,FALSE)</f>
        <v>#N/A</v>
      </c>
    </row>
    <row r="76" spans="1:17" x14ac:dyDescent="0.35">
      <c r="A76" s="1" t="e">
        <f>VLOOKUP(A1,Data!$A$1:$DZU$999999,1277,FALSE)</f>
        <v>#N/A</v>
      </c>
      <c r="B76" s="1" t="e">
        <f>VLOOKUP(A1,Data!$A$1:$DZU$999999,1278,FALSE)</f>
        <v>#N/A</v>
      </c>
      <c r="C76" s="1" t="e">
        <f>VLOOKUP(A1,Data!$A$1:$DZU$999999,1279,FALSE)</f>
        <v>#N/A</v>
      </c>
      <c r="D76" s="1" t="e">
        <f>VLOOKUP(A1,Data!$A$1:$DZU$999999,1280,FALSE)</f>
        <v>#N/A</v>
      </c>
      <c r="E76" s="1" t="e">
        <f>VLOOKUP(A1,Data!$A$1:$DZU$999999,1281,FALSE)</f>
        <v>#N/A</v>
      </c>
      <c r="F76" s="1" t="e">
        <f>VLOOKUP(A1,Data!$A$1:$DZU$999999,1282,FALSE)</f>
        <v>#N/A</v>
      </c>
      <c r="G76" s="1" t="e">
        <f>VLOOKUP(A1,Data!$A$1:$DZU$999999,1283,FALSE)</f>
        <v>#N/A</v>
      </c>
      <c r="H76" s="1" t="e">
        <f>VLOOKUP(A1,Data!$A$1:$DZU$999999,1284,FALSE)</f>
        <v>#N/A</v>
      </c>
      <c r="I76" s="1" t="e">
        <f>VLOOKUP(A1,Data!$A$1:$DZU$999999,1285,FALSE)</f>
        <v>#N/A</v>
      </c>
      <c r="J76" s="1" t="e">
        <f>VLOOKUP(A1,Data!$A$1:$DZU$999999,1286,FALSE)</f>
        <v>#N/A</v>
      </c>
      <c r="K76" s="1" t="e">
        <f>VLOOKUP(A1,Data!$A$1:$DZU$999999,1287,FALSE)</f>
        <v>#N/A</v>
      </c>
      <c r="L76" s="1" t="e">
        <f>VLOOKUP(A1,Data!$A$1:$DZU$999999,1288,FALSE)</f>
        <v>#N/A</v>
      </c>
      <c r="M76" s="1" t="e">
        <f>VLOOKUP(A1,Data!$A$1:$DZU$999999,1289,FALSE)</f>
        <v>#N/A</v>
      </c>
      <c r="N76" s="1" t="e">
        <f>VLOOKUP(A1,Data!$A$1:$DZU$999999,1290,FALSE)</f>
        <v>#N/A</v>
      </c>
      <c r="O76" s="1" t="e">
        <f>VLOOKUP(A1,Data!$A$1:$DZU$999999,1291,FALSE)</f>
        <v>#N/A</v>
      </c>
      <c r="P76" s="1" t="e">
        <f>VLOOKUP(A1,Data!$A$1:$DZU$999999,1292,FALSE)</f>
        <v>#N/A</v>
      </c>
      <c r="Q76" s="1" t="e">
        <f>VLOOKUP(A1,Data!$A$1:$DZU$999999,1293,FALSE)</f>
        <v>#N/A</v>
      </c>
    </row>
    <row r="77" spans="1:17" x14ac:dyDescent="0.35">
      <c r="A77" s="1" t="e">
        <f>VLOOKUP(A1,Data!$A$1:$DZU$999999,1294,FALSE)</f>
        <v>#N/A</v>
      </c>
      <c r="B77" s="1" t="e">
        <f>VLOOKUP(A1,Data!$A$1:$DZU$999999,1295,FALSE)</f>
        <v>#N/A</v>
      </c>
      <c r="C77" s="1" t="e">
        <f>VLOOKUP(A1,Data!$A$1:$DZU$999999,1296,FALSE)</f>
        <v>#N/A</v>
      </c>
      <c r="D77" s="1" t="e">
        <f>VLOOKUP(A1,Data!$A$1:$DZU$999999,1297,FALSE)</f>
        <v>#N/A</v>
      </c>
      <c r="E77" s="1" t="e">
        <f>VLOOKUP(A1,Data!$A$1:$DZU$999999,1298,FALSE)</f>
        <v>#N/A</v>
      </c>
      <c r="F77" s="1" t="e">
        <f>VLOOKUP(A1,Data!$A$1:$DZU$999999,1299,FALSE)</f>
        <v>#N/A</v>
      </c>
      <c r="G77" s="1" t="e">
        <f>VLOOKUP(A1,Data!$A$1:$DZU$999999,1300,FALSE)</f>
        <v>#N/A</v>
      </c>
      <c r="H77" s="1" t="e">
        <f>VLOOKUP(A1,Data!$A$1:$DZU$999999,1301,FALSE)</f>
        <v>#N/A</v>
      </c>
      <c r="I77" s="1" t="e">
        <f>VLOOKUP(A1,Data!$A$1:$DZU$999999,1302,FALSE)</f>
        <v>#N/A</v>
      </c>
      <c r="J77" s="1" t="e">
        <f>VLOOKUP(A1,Data!$A$1:$DZU$999999,1303,FALSE)</f>
        <v>#N/A</v>
      </c>
      <c r="K77" s="1" t="e">
        <f>VLOOKUP(A1,Data!$A$1:$DZU$999999,1304,FALSE)</f>
        <v>#N/A</v>
      </c>
      <c r="L77" s="1" t="e">
        <f>VLOOKUP(A1,Data!$A$1:$DZU$999999,1305,FALSE)</f>
        <v>#N/A</v>
      </c>
      <c r="M77" s="1" t="e">
        <f>VLOOKUP(A1,Data!$A$1:$DZU$999999,1306,FALSE)</f>
        <v>#N/A</v>
      </c>
      <c r="N77" s="1" t="e">
        <f>VLOOKUP(A1,Data!$A$1:$DZU$999999,1307,FALSE)</f>
        <v>#N/A</v>
      </c>
      <c r="O77" s="1" t="e">
        <f>VLOOKUP(A1,Data!$A$1:$DZU$999999,1308,FALSE)</f>
        <v>#N/A</v>
      </c>
      <c r="P77" s="1" t="e">
        <f>VLOOKUP(A1,Data!$A$1:$DZU$999999,1309,FALSE)</f>
        <v>#N/A</v>
      </c>
      <c r="Q77" s="1" t="e">
        <f>VLOOKUP(A1,Data!$A$1:$DZU$999999,1310,FALSE)</f>
        <v>#N/A</v>
      </c>
    </row>
    <row r="78" spans="1:17" x14ac:dyDescent="0.35">
      <c r="A78" s="1" t="e">
        <f>VLOOKUP(A1,Data!$A$1:$DZU$999999,1311,FALSE)</f>
        <v>#N/A</v>
      </c>
      <c r="B78" s="1" t="e">
        <f>VLOOKUP(A1,Data!$A$1:$DZU$999999,1312,FALSE)</f>
        <v>#N/A</v>
      </c>
      <c r="C78" s="1" t="e">
        <f>VLOOKUP(A1,Data!$A$1:$DZU$999999,1313,FALSE)</f>
        <v>#N/A</v>
      </c>
      <c r="D78" s="1" t="e">
        <f>VLOOKUP(A1,Data!$A$1:$DZU$999999,1314,FALSE)</f>
        <v>#N/A</v>
      </c>
      <c r="E78" s="1" t="e">
        <f>VLOOKUP(A1,Data!$A$1:$DZU$999999,1315,FALSE)</f>
        <v>#N/A</v>
      </c>
      <c r="F78" s="1" t="e">
        <f>VLOOKUP(A1,Data!$A$1:$DZU$999999,1316,FALSE)</f>
        <v>#N/A</v>
      </c>
      <c r="G78" s="1" t="e">
        <f>VLOOKUP(A1,Data!$A$1:$DZU$999999,1317,FALSE)</f>
        <v>#N/A</v>
      </c>
      <c r="H78" s="1" t="e">
        <f>VLOOKUP(A1,Data!$A$1:$DZU$999999,1318,FALSE)</f>
        <v>#N/A</v>
      </c>
      <c r="I78" s="1" t="e">
        <f>VLOOKUP(A1,Data!$A$1:$DZU$999999,1319,FALSE)</f>
        <v>#N/A</v>
      </c>
      <c r="J78" s="1" t="e">
        <f>VLOOKUP(A1,Data!$A$1:$DZU$999999,1320,FALSE)</f>
        <v>#N/A</v>
      </c>
      <c r="K78" s="1" t="e">
        <f>VLOOKUP(A1,Data!$A$1:$DZU$999999,1321,FALSE)</f>
        <v>#N/A</v>
      </c>
      <c r="L78" s="1" t="e">
        <f>VLOOKUP(A1,Data!$A$1:$DZU$999999,1322,FALSE)</f>
        <v>#N/A</v>
      </c>
      <c r="M78" s="1" t="e">
        <f>VLOOKUP(A1,Data!$A$1:$DZU$999999,1323,FALSE)</f>
        <v>#N/A</v>
      </c>
      <c r="N78" s="1" t="e">
        <f>VLOOKUP(A1,Data!$A$1:$DZU$999999,1324,FALSE)</f>
        <v>#N/A</v>
      </c>
      <c r="O78" s="1" t="e">
        <f>VLOOKUP(A1,Data!$A$1:$DZU$999999,1325,FALSE)</f>
        <v>#N/A</v>
      </c>
      <c r="P78" s="1" t="e">
        <f>VLOOKUP(A1,Data!$A$1:$DZU$999999,1326,FALSE)</f>
        <v>#N/A</v>
      </c>
      <c r="Q78" s="1" t="e">
        <f>VLOOKUP(A1,Data!$A$1:$DZU$999999,1327,FALSE)</f>
        <v>#N/A</v>
      </c>
    </row>
    <row r="79" spans="1:17" x14ac:dyDescent="0.35">
      <c r="A79" s="1" t="e">
        <f>VLOOKUP(A1,Data!$A$1:$DZU$999999,1328,FALSE)</f>
        <v>#N/A</v>
      </c>
      <c r="B79" s="1" t="e">
        <f>VLOOKUP(A1,Data!$A$1:$DZU$999999,1329,FALSE)</f>
        <v>#N/A</v>
      </c>
      <c r="C79" s="1" t="e">
        <f>VLOOKUP(A1,Data!$A$1:$DZU$999999,1330,FALSE)</f>
        <v>#N/A</v>
      </c>
      <c r="D79" s="1" t="e">
        <f>VLOOKUP(A1,Data!$A$1:$DZU$999999,1331,FALSE)</f>
        <v>#N/A</v>
      </c>
      <c r="E79" s="1" t="e">
        <f>VLOOKUP(A1,Data!$A$1:$DZU$999999,1332,FALSE)</f>
        <v>#N/A</v>
      </c>
      <c r="F79" s="1" t="e">
        <f>VLOOKUP(A1,Data!$A$1:$DZU$999999,1333,FALSE)</f>
        <v>#N/A</v>
      </c>
      <c r="G79" s="1" t="e">
        <f>VLOOKUP(A1,Data!$A$1:$DZU$999999,1334,FALSE)</f>
        <v>#N/A</v>
      </c>
      <c r="H79" s="1" t="e">
        <f>VLOOKUP(A1,Data!$A$1:$DZU$999999,1335,FALSE)</f>
        <v>#N/A</v>
      </c>
      <c r="I79" s="1" t="e">
        <f>VLOOKUP(A1,Data!$A$1:$DZU$999999,1336,FALSE)</f>
        <v>#N/A</v>
      </c>
      <c r="J79" s="1" t="e">
        <f>VLOOKUP(A1,Data!$A$1:$DZU$999999,1337,FALSE)</f>
        <v>#N/A</v>
      </c>
      <c r="K79" s="1" t="e">
        <f>VLOOKUP(A1,Data!$A$1:$DZU$999999,1338,FALSE)</f>
        <v>#N/A</v>
      </c>
      <c r="L79" s="1" t="e">
        <f>VLOOKUP(A1,Data!$A$1:$DZU$999999,1339,FALSE)</f>
        <v>#N/A</v>
      </c>
      <c r="M79" s="1" t="e">
        <f>VLOOKUP(A1,Data!$A$1:$DZU$999999,1340,FALSE)</f>
        <v>#N/A</v>
      </c>
      <c r="N79" s="1" t="e">
        <f>VLOOKUP(A1,Data!$A$1:$DZU$999999,1341,FALSE)</f>
        <v>#N/A</v>
      </c>
      <c r="O79" s="1" t="e">
        <f>VLOOKUP(A1,Data!$A$1:$DZU$999999,1342,FALSE)</f>
        <v>#N/A</v>
      </c>
      <c r="P79" s="1" t="e">
        <f>VLOOKUP(A1,Data!$A$1:$DZU$999999,1343,FALSE)</f>
        <v>#N/A</v>
      </c>
      <c r="Q79" s="1" t="e">
        <f>VLOOKUP(A1,Data!$A$1:$DZU$999999,1344,FALSE)</f>
        <v>#N/A</v>
      </c>
    </row>
    <row r="80" spans="1:17" x14ac:dyDescent="0.35">
      <c r="A80" s="1" t="e">
        <f>VLOOKUP(A1,Data!$A$1:$DZU$999999,1345,FALSE)</f>
        <v>#N/A</v>
      </c>
      <c r="B80" s="1" t="e">
        <f>VLOOKUP(A1,Data!$A$1:$DZU$999999,1346,FALSE)</f>
        <v>#N/A</v>
      </c>
      <c r="C80" s="1" t="e">
        <f>VLOOKUP(A1,Data!$A$1:$DZU$999999,1347,FALSE)</f>
        <v>#N/A</v>
      </c>
      <c r="D80" s="1" t="e">
        <f>VLOOKUP(A1,Data!$A$1:$DZU$999999,1348,FALSE)</f>
        <v>#N/A</v>
      </c>
      <c r="E80" s="1" t="e">
        <f>VLOOKUP(A1,Data!$A$1:$DZU$999999,1349,FALSE)</f>
        <v>#N/A</v>
      </c>
      <c r="F80" s="1" t="e">
        <f>VLOOKUP(A1,Data!$A$1:$DZU$999999,1350,FALSE)</f>
        <v>#N/A</v>
      </c>
      <c r="G80" s="1" t="e">
        <f>VLOOKUP(A1,Data!$A$1:$DZU$999999,1351,FALSE)</f>
        <v>#N/A</v>
      </c>
      <c r="H80" s="1" t="e">
        <f>VLOOKUP(A1,Data!$A$1:$DZU$999999,1352,FALSE)</f>
        <v>#N/A</v>
      </c>
      <c r="I80" s="1" t="e">
        <f>VLOOKUP(A1,Data!$A$1:$DZU$999999,1353,FALSE)</f>
        <v>#N/A</v>
      </c>
      <c r="J80" s="1" t="e">
        <f>VLOOKUP(A1,Data!$A$1:$DZU$999999,1354,FALSE)</f>
        <v>#N/A</v>
      </c>
      <c r="K80" s="1" t="e">
        <f>VLOOKUP(A1,Data!$A$1:$DZU$999999,1355,FALSE)</f>
        <v>#N/A</v>
      </c>
      <c r="L80" s="1" t="e">
        <f>VLOOKUP(A1,Data!$A$1:$DZU$999999,1356,FALSE)</f>
        <v>#N/A</v>
      </c>
      <c r="M80" s="1" t="e">
        <f>VLOOKUP(A1,Data!$A$1:$DZU$999999,1357,FALSE)</f>
        <v>#N/A</v>
      </c>
      <c r="N80" s="1" t="e">
        <f>VLOOKUP(A1,Data!$A$1:$DZU$999999,1358,FALSE)</f>
        <v>#N/A</v>
      </c>
      <c r="O80" s="1" t="e">
        <f>VLOOKUP(A1,Data!$A$1:$DZU$999999,1359,FALSE)</f>
        <v>#N/A</v>
      </c>
      <c r="P80" s="1" t="e">
        <f>VLOOKUP(A1,Data!$A$1:$DZU$999999,1360,FALSE)</f>
        <v>#N/A</v>
      </c>
      <c r="Q80" s="1" t="e">
        <f>VLOOKUP(A1,Data!$A$1:$DZU$999999,1361,FALSE)</f>
        <v>#N/A</v>
      </c>
    </row>
    <row r="81" spans="1:17" x14ac:dyDescent="0.35">
      <c r="A81" s="1" t="e">
        <f>VLOOKUP(A1,Data!$A$1:$DZU$999999,1362,FALSE)</f>
        <v>#N/A</v>
      </c>
      <c r="B81" s="1" t="e">
        <f>VLOOKUP(A1,Data!$A$1:$DZU$999999,1363,FALSE)</f>
        <v>#N/A</v>
      </c>
      <c r="C81" s="1" t="e">
        <f>VLOOKUP(A1,Data!$A$1:$DZU$999999,1364,FALSE)</f>
        <v>#N/A</v>
      </c>
      <c r="D81" s="1" t="e">
        <f>VLOOKUP(A1,Data!$A$1:$DZU$999999,1365,FALSE)</f>
        <v>#N/A</v>
      </c>
      <c r="E81" s="1" t="e">
        <f>VLOOKUP(A1,Data!$A$1:$DZU$999999,1366,FALSE)</f>
        <v>#N/A</v>
      </c>
      <c r="F81" s="1" t="e">
        <f>VLOOKUP(A1,Data!$A$1:$DZU$999999,1367,FALSE)</f>
        <v>#N/A</v>
      </c>
      <c r="G81" s="1" t="e">
        <f>VLOOKUP(A1,Data!$A$1:$DZU$999999,1368,FALSE)</f>
        <v>#N/A</v>
      </c>
      <c r="H81" s="1" t="e">
        <f>VLOOKUP(A1,Data!$A$1:$DZU$999999,1369,FALSE)</f>
        <v>#N/A</v>
      </c>
      <c r="I81" s="1" t="e">
        <f>VLOOKUP(A1,Data!$A$1:$DZU$999999,1370,FALSE)</f>
        <v>#N/A</v>
      </c>
      <c r="J81" s="1" t="e">
        <f>VLOOKUP(A1,Data!$A$1:$DZU$999999,1371,FALSE)</f>
        <v>#N/A</v>
      </c>
      <c r="K81" s="1" t="e">
        <f>VLOOKUP(A1,Data!$A$1:$DZU$999999,1372,FALSE)</f>
        <v>#N/A</v>
      </c>
      <c r="L81" s="1" t="e">
        <f>VLOOKUP(A1,Data!$A$1:$DZU$999999,1373,FALSE)</f>
        <v>#N/A</v>
      </c>
      <c r="M81" s="1" t="e">
        <f>VLOOKUP(A1,Data!$A$1:$DZU$999999,1374,FALSE)</f>
        <v>#N/A</v>
      </c>
      <c r="N81" s="1" t="e">
        <f>VLOOKUP(A1,Data!$A$1:$DZU$999999,1375,FALSE)</f>
        <v>#N/A</v>
      </c>
      <c r="O81" s="1" t="e">
        <f>VLOOKUP(A1,Data!$A$1:$DZU$999999,1376,FALSE)</f>
        <v>#N/A</v>
      </c>
      <c r="P81" s="1" t="e">
        <f>VLOOKUP(A1,Data!$A$1:$DZU$999999,1377,FALSE)</f>
        <v>#N/A</v>
      </c>
      <c r="Q81" s="1" t="e">
        <f>VLOOKUP(A1,Data!$A$1:$DZU$999999,1378,FALSE)</f>
        <v>#N/A</v>
      </c>
    </row>
    <row r="82" spans="1:17" x14ac:dyDescent="0.35">
      <c r="A82" s="1" t="e">
        <f>VLOOKUP(A1,Data!$A$1:$DZU$999999,1379,FALSE)</f>
        <v>#N/A</v>
      </c>
      <c r="B82" s="1" t="e">
        <f>VLOOKUP(A1,Data!$A$1:$DZU$999999,1380,FALSE)</f>
        <v>#N/A</v>
      </c>
      <c r="C82" s="1" t="e">
        <f>VLOOKUP(A1,Data!$A$1:$DZU$999999,1381,FALSE)</f>
        <v>#N/A</v>
      </c>
      <c r="D82" s="1" t="e">
        <f>VLOOKUP(A1,Data!$A$1:$DZU$999999,1382,FALSE)</f>
        <v>#N/A</v>
      </c>
      <c r="E82" s="1" t="e">
        <f>VLOOKUP(A1,Data!$A$1:$DZU$999999,1383,FALSE)</f>
        <v>#N/A</v>
      </c>
      <c r="F82" s="1" t="e">
        <f>VLOOKUP(A1,Data!$A$1:$DZU$999999,1384,FALSE)</f>
        <v>#N/A</v>
      </c>
      <c r="G82" s="1" t="e">
        <f>VLOOKUP(A1,Data!$A$1:$DZU$999999,1385,FALSE)</f>
        <v>#N/A</v>
      </c>
      <c r="H82" s="1" t="e">
        <f>VLOOKUP(A1,Data!$A$1:$DZU$999999,1386,FALSE)</f>
        <v>#N/A</v>
      </c>
      <c r="I82" s="1" t="e">
        <f>VLOOKUP(A1,Data!$A$1:$DZU$999999,1387,FALSE)</f>
        <v>#N/A</v>
      </c>
      <c r="J82" s="1" t="e">
        <f>VLOOKUP(A1,Data!$A$1:$DZU$999999,1388,FALSE)</f>
        <v>#N/A</v>
      </c>
      <c r="K82" s="1" t="e">
        <f>VLOOKUP(A1,Data!$A$1:$DZU$999999,1389,FALSE)</f>
        <v>#N/A</v>
      </c>
      <c r="L82" s="1" t="e">
        <f>VLOOKUP(A1,Data!$A$1:$DZU$999999,1390,FALSE)</f>
        <v>#N/A</v>
      </c>
      <c r="M82" s="1" t="e">
        <f>VLOOKUP(A1,Data!$A$1:$DZU$999999,1391,FALSE)</f>
        <v>#N/A</v>
      </c>
      <c r="N82" s="1" t="e">
        <f>VLOOKUP(A1,Data!$A$1:$DZU$999999,1392,FALSE)</f>
        <v>#N/A</v>
      </c>
      <c r="O82" s="1" t="e">
        <f>VLOOKUP(A1,Data!$A$1:$DZU$999999,1393,FALSE)</f>
        <v>#N/A</v>
      </c>
      <c r="P82" s="1" t="e">
        <f>VLOOKUP(A1,Data!$A$1:$DZU$999999,1394,FALSE)</f>
        <v>#N/A</v>
      </c>
      <c r="Q82" s="1" t="e">
        <f>VLOOKUP(A1,Data!$A$1:$DZU$999999,1395,FALSE)</f>
        <v>#N/A</v>
      </c>
    </row>
    <row r="83" spans="1:17" x14ac:dyDescent="0.35">
      <c r="A83" s="1" t="e">
        <f>VLOOKUP(A1,Data!$A$1:$DZU$999999,1396,FALSE)</f>
        <v>#N/A</v>
      </c>
      <c r="B83" s="1" t="e">
        <f>VLOOKUP(A1,Data!$A$1:$DZU$999999,1397,FALSE)</f>
        <v>#N/A</v>
      </c>
      <c r="C83" s="1" t="e">
        <f>VLOOKUP(A1,Data!$A$1:$DZU$999999,1398,FALSE)</f>
        <v>#N/A</v>
      </c>
      <c r="D83" s="1" t="e">
        <f>VLOOKUP(A1,Data!$A$1:$DZU$999999,1399,FALSE)</f>
        <v>#N/A</v>
      </c>
      <c r="E83" s="1" t="e">
        <f>VLOOKUP(A1,Data!$A$1:$DZU$999999,1400,FALSE)</f>
        <v>#N/A</v>
      </c>
      <c r="F83" s="1" t="e">
        <f>VLOOKUP(A1,Data!$A$1:$DZU$999999,1401,FALSE)</f>
        <v>#N/A</v>
      </c>
      <c r="G83" s="1" t="e">
        <f>VLOOKUP(A1,Data!$A$1:$DZU$999999,1402,FALSE)</f>
        <v>#N/A</v>
      </c>
      <c r="H83" s="1" t="e">
        <f>VLOOKUP(A1,Data!$A$1:$DZU$999999,1403,FALSE)</f>
        <v>#N/A</v>
      </c>
      <c r="I83" s="1" t="e">
        <f>VLOOKUP(A1,Data!$A$1:$DZU$999999,1404,FALSE)</f>
        <v>#N/A</v>
      </c>
      <c r="J83" s="1" t="e">
        <f>VLOOKUP(A1,Data!$A$1:$DZU$999999,1405,FALSE)</f>
        <v>#N/A</v>
      </c>
      <c r="K83" s="1" t="e">
        <f>VLOOKUP(A1,Data!$A$1:$DZU$999999,1406,FALSE)</f>
        <v>#N/A</v>
      </c>
      <c r="L83" s="1" t="e">
        <f>VLOOKUP(A1,Data!$A$1:$DZU$999999,1407,FALSE)</f>
        <v>#N/A</v>
      </c>
      <c r="M83" s="1" t="e">
        <f>VLOOKUP(A1,Data!$A$1:$DZU$999999,1408,FALSE)</f>
        <v>#N/A</v>
      </c>
      <c r="N83" s="1" t="e">
        <f>VLOOKUP(A1,Data!$A$1:$DZU$999999,1409,FALSE)</f>
        <v>#N/A</v>
      </c>
      <c r="O83" s="1" t="e">
        <f>VLOOKUP(A1,Data!$A$1:$DZU$999999,1410,FALSE)</f>
        <v>#N/A</v>
      </c>
      <c r="P83" s="1" t="e">
        <f>VLOOKUP(A1,Data!$A$1:$DZU$999999,1411,FALSE)</f>
        <v>#N/A</v>
      </c>
      <c r="Q83" s="1" t="e">
        <f>VLOOKUP(A1,Data!$A$1:$DZU$999999,1412,FALSE)</f>
        <v>#N/A</v>
      </c>
    </row>
    <row r="84" spans="1:17" x14ac:dyDescent="0.35">
      <c r="A84" s="1" t="e">
        <f>VLOOKUP(A1,Data!$A$1:$DZU$999999,1413,FALSE)</f>
        <v>#N/A</v>
      </c>
      <c r="B84" s="1" t="e">
        <f>VLOOKUP(A1,Data!$A$1:$DZU$999999,1414,FALSE)</f>
        <v>#N/A</v>
      </c>
      <c r="C84" s="1" t="e">
        <f>VLOOKUP(A1,Data!$A$1:$DZU$999999,1415,FALSE)</f>
        <v>#N/A</v>
      </c>
      <c r="D84" s="1" t="e">
        <f>VLOOKUP(A1,Data!$A$1:$DZU$999999,1416,FALSE)</f>
        <v>#N/A</v>
      </c>
      <c r="E84" s="1" t="e">
        <f>VLOOKUP(A1,Data!$A$1:$DZU$999999,1417,FALSE)</f>
        <v>#N/A</v>
      </c>
      <c r="F84" s="1" t="e">
        <f>VLOOKUP(A1,Data!$A$1:$DZU$999999,1418,FALSE)</f>
        <v>#N/A</v>
      </c>
      <c r="G84" s="1" t="e">
        <f>VLOOKUP(A1,Data!$A$1:$DZU$999999,1419,FALSE)</f>
        <v>#N/A</v>
      </c>
      <c r="H84" s="1" t="e">
        <f>VLOOKUP(A1,Data!$A$1:$DZU$999999,1420,FALSE)</f>
        <v>#N/A</v>
      </c>
      <c r="I84" s="1" t="e">
        <f>VLOOKUP(A1,Data!$A$1:$DZU$999999,1421,FALSE)</f>
        <v>#N/A</v>
      </c>
      <c r="J84" s="1" t="e">
        <f>VLOOKUP(A1,Data!$A$1:$DZU$999999,1422,FALSE)</f>
        <v>#N/A</v>
      </c>
      <c r="K84" s="1" t="e">
        <f>VLOOKUP(A1,Data!$A$1:$DZU$999999,1423,FALSE)</f>
        <v>#N/A</v>
      </c>
      <c r="L84" s="1" t="e">
        <f>VLOOKUP(A1,Data!$A$1:$DZU$999999,1424,FALSE)</f>
        <v>#N/A</v>
      </c>
      <c r="M84" s="1" t="e">
        <f>VLOOKUP(A1,Data!$A$1:$DZU$999999,1425,FALSE)</f>
        <v>#N/A</v>
      </c>
      <c r="N84" s="1" t="e">
        <f>VLOOKUP(A1,Data!$A$1:$DZU$999999,1426,FALSE)</f>
        <v>#N/A</v>
      </c>
      <c r="O84" s="1" t="e">
        <f>VLOOKUP(A1,Data!$A$1:$DZU$999999,1427,FALSE)</f>
        <v>#N/A</v>
      </c>
      <c r="P84" s="1" t="e">
        <f>VLOOKUP(A1,Data!$A$1:$DZU$999999,1428,FALSE)</f>
        <v>#N/A</v>
      </c>
      <c r="Q84" s="1" t="e">
        <f>VLOOKUP(A1,Data!$A$1:$DZU$999999,1429,FALSE)</f>
        <v>#N/A</v>
      </c>
    </row>
    <row r="85" spans="1:17" x14ac:dyDescent="0.35">
      <c r="A85" s="1" t="e">
        <f>VLOOKUP(A1,Data!$A$1:$DZU$999999,1430,FALSE)</f>
        <v>#N/A</v>
      </c>
      <c r="B85" s="1" t="e">
        <f>VLOOKUP(A1,Data!$A$1:$DZU$999999,1431,FALSE)</f>
        <v>#N/A</v>
      </c>
      <c r="C85" s="1" t="e">
        <f>VLOOKUP(A1,Data!$A$1:$DZU$999999,1432,FALSE)</f>
        <v>#N/A</v>
      </c>
      <c r="D85" s="1" t="e">
        <f>VLOOKUP(A1,Data!$A$1:$DZU$999999,1433,FALSE)</f>
        <v>#N/A</v>
      </c>
      <c r="E85" s="1" t="e">
        <f>VLOOKUP(A1,Data!$A$1:$DZU$999999,1434,FALSE)</f>
        <v>#N/A</v>
      </c>
      <c r="F85" s="1" t="e">
        <f>VLOOKUP(A1,Data!$A$1:$DZU$999999,1435,FALSE)</f>
        <v>#N/A</v>
      </c>
      <c r="G85" s="1" t="e">
        <f>VLOOKUP(A1,Data!$A$1:$DZU$999999,1436,FALSE)</f>
        <v>#N/A</v>
      </c>
      <c r="H85" s="1" t="e">
        <f>VLOOKUP(A1,Data!$A$1:$DZU$999999,1437,FALSE)</f>
        <v>#N/A</v>
      </c>
      <c r="I85" s="1" t="e">
        <f>VLOOKUP(A1,Data!$A$1:$DZU$999999,1438,FALSE)</f>
        <v>#N/A</v>
      </c>
      <c r="J85" s="1" t="e">
        <f>VLOOKUP(A1,Data!$A$1:$DZU$999999,1439,FALSE)</f>
        <v>#N/A</v>
      </c>
      <c r="K85" s="1" t="e">
        <f>VLOOKUP(A1,Data!$A$1:$DZU$999999,1440,FALSE)</f>
        <v>#N/A</v>
      </c>
      <c r="L85" s="1" t="e">
        <f>VLOOKUP(A1,Data!$A$1:$DZU$999999,1441,FALSE)</f>
        <v>#N/A</v>
      </c>
      <c r="M85" s="1" t="e">
        <f>VLOOKUP(A1,Data!$A$1:$DZU$999999,1442,FALSE)</f>
        <v>#N/A</v>
      </c>
      <c r="N85" s="1" t="e">
        <f>VLOOKUP(A1,Data!$A$1:$DZU$999999,1443,FALSE)</f>
        <v>#N/A</v>
      </c>
      <c r="O85" s="1" t="e">
        <f>VLOOKUP(A1,Data!$A$1:$DZU$999999,1444,FALSE)</f>
        <v>#N/A</v>
      </c>
      <c r="P85" s="1" t="e">
        <f>VLOOKUP(A1,Data!$A$1:$DZU$999999,1445,FALSE)</f>
        <v>#N/A</v>
      </c>
      <c r="Q85" s="1" t="e">
        <f>VLOOKUP(A1,Data!$A$1:$DZU$999999,1446,FALSE)</f>
        <v>#N/A</v>
      </c>
    </row>
    <row r="86" spans="1:17" x14ac:dyDescent="0.35">
      <c r="A86" s="1" t="e">
        <f>VLOOKUP(A1,Data!$A$1:$DZU$999999,1447,FALSE)</f>
        <v>#N/A</v>
      </c>
      <c r="B86" s="1" t="e">
        <f>VLOOKUP(A1,Data!$A$1:$DZU$999999,1448,FALSE)</f>
        <v>#N/A</v>
      </c>
      <c r="C86" s="1" t="e">
        <f>VLOOKUP(A1,Data!$A$1:$DZU$999999,1449,FALSE)</f>
        <v>#N/A</v>
      </c>
      <c r="D86" s="1" t="e">
        <f>VLOOKUP(A1,Data!$A$1:$DZU$999999,1450,FALSE)</f>
        <v>#N/A</v>
      </c>
      <c r="E86" s="1" t="e">
        <f>VLOOKUP(A1,Data!$A$1:$DZU$999999,1451,FALSE)</f>
        <v>#N/A</v>
      </c>
      <c r="F86" s="1" t="e">
        <f>VLOOKUP(A1,Data!$A$1:$DZU$999999,1452,FALSE)</f>
        <v>#N/A</v>
      </c>
      <c r="G86" s="1" t="e">
        <f>VLOOKUP(A1,Data!$A$1:$DZU$999999,1453,FALSE)</f>
        <v>#N/A</v>
      </c>
      <c r="H86" s="1" t="e">
        <f>VLOOKUP(A1,Data!$A$1:$DZU$999999,1454,FALSE)</f>
        <v>#N/A</v>
      </c>
      <c r="I86" s="1" t="e">
        <f>VLOOKUP(A1,Data!$A$1:$DZU$999999,1455,FALSE)</f>
        <v>#N/A</v>
      </c>
      <c r="J86" s="1" t="e">
        <f>VLOOKUP(A1,Data!$A$1:$DZU$999999,1456,FALSE)</f>
        <v>#N/A</v>
      </c>
      <c r="K86" s="1" t="e">
        <f>VLOOKUP(A1,Data!$A$1:$DZU$999999,1457,FALSE)</f>
        <v>#N/A</v>
      </c>
      <c r="L86" s="1" t="e">
        <f>VLOOKUP(A1,Data!$A$1:$DZU$999999,1458,FALSE)</f>
        <v>#N/A</v>
      </c>
      <c r="M86" s="1" t="e">
        <f>VLOOKUP(A1,Data!$A$1:$DZU$999999,1459,FALSE)</f>
        <v>#N/A</v>
      </c>
      <c r="N86" s="1" t="e">
        <f>VLOOKUP(A1,Data!$A$1:$DZU$999999,1460,FALSE)</f>
        <v>#N/A</v>
      </c>
      <c r="O86" s="1" t="e">
        <f>VLOOKUP(A1,Data!$A$1:$DZU$999999,1461,FALSE)</f>
        <v>#N/A</v>
      </c>
      <c r="P86" s="1" t="e">
        <f>VLOOKUP(A1,Data!$A$1:$DZU$999999,1462,FALSE)</f>
        <v>#N/A</v>
      </c>
      <c r="Q86" s="1" t="e">
        <f>VLOOKUP(A1,Data!$A$1:$DZU$999999,1463,FALSE)</f>
        <v>#N/A</v>
      </c>
    </row>
    <row r="87" spans="1:17" x14ac:dyDescent="0.35">
      <c r="A87" s="1" t="e">
        <f>VLOOKUP(A1,Data!$A$1:$DZU$999999,1464,FALSE)</f>
        <v>#N/A</v>
      </c>
      <c r="B87" s="1" t="e">
        <f>VLOOKUP(A1,Data!$A$1:$DZU$999999,1465,FALSE)</f>
        <v>#N/A</v>
      </c>
      <c r="C87" s="1" t="e">
        <f>VLOOKUP(A1,Data!$A$1:$DZU$999999,1466,FALSE)</f>
        <v>#N/A</v>
      </c>
      <c r="D87" s="1" t="e">
        <f>VLOOKUP(A1,Data!$A$1:$DZU$999999,1467,FALSE)</f>
        <v>#N/A</v>
      </c>
      <c r="E87" s="1" t="e">
        <f>VLOOKUP(A1,Data!$A$1:$DZU$999999,1468,FALSE)</f>
        <v>#N/A</v>
      </c>
      <c r="F87" s="1" t="e">
        <f>VLOOKUP(A1,Data!$A$1:$DZU$999999,1469,FALSE)</f>
        <v>#N/A</v>
      </c>
      <c r="G87" s="1" t="e">
        <f>VLOOKUP(A1,Data!$A$1:$DZU$999999,1470,FALSE)</f>
        <v>#N/A</v>
      </c>
      <c r="H87" s="1" t="e">
        <f>VLOOKUP(A1,Data!$A$1:$DZU$999999,1471,FALSE)</f>
        <v>#N/A</v>
      </c>
      <c r="I87" s="1" t="e">
        <f>VLOOKUP(A1,Data!$A$1:$DZU$999999,1472,FALSE)</f>
        <v>#N/A</v>
      </c>
      <c r="J87" s="1" t="e">
        <f>VLOOKUP(A1,Data!$A$1:$DZU$999999,1473,FALSE)</f>
        <v>#N/A</v>
      </c>
      <c r="K87" s="1" t="e">
        <f>VLOOKUP(A1,Data!$A$1:$DZU$999999,1474,FALSE)</f>
        <v>#N/A</v>
      </c>
      <c r="L87" s="1" t="e">
        <f>VLOOKUP(A1,Data!$A$1:$DZU$999999,1475,FALSE)</f>
        <v>#N/A</v>
      </c>
      <c r="M87" s="1" t="e">
        <f>VLOOKUP(A1,Data!$A$1:$DZU$999999,1476,FALSE)</f>
        <v>#N/A</v>
      </c>
      <c r="N87" s="1" t="e">
        <f>VLOOKUP(A1,Data!$A$1:$DZU$999999,1477,FALSE)</f>
        <v>#N/A</v>
      </c>
      <c r="O87" s="1" t="e">
        <f>VLOOKUP(A1,Data!$A$1:$DZU$999999,1478,FALSE)</f>
        <v>#N/A</v>
      </c>
      <c r="P87" s="1" t="e">
        <f>VLOOKUP(A1,Data!$A$1:$DZU$999999,1479,FALSE)</f>
        <v>#N/A</v>
      </c>
      <c r="Q87" s="1" t="e">
        <f>VLOOKUP(A1,Data!$A$1:$DZU$999999,1480,FALSE)</f>
        <v>#N/A</v>
      </c>
    </row>
    <row r="88" spans="1:17" x14ac:dyDescent="0.35">
      <c r="A88" s="1" t="e">
        <f>VLOOKUP(A1,Data!$A$1:$DZU$999999,1481,FALSE)</f>
        <v>#N/A</v>
      </c>
      <c r="B88" s="1" t="e">
        <f>VLOOKUP(A1,Data!$A$1:$DZU$999999,1482,FALSE)</f>
        <v>#N/A</v>
      </c>
      <c r="C88" s="1" t="e">
        <f>VLOOKUP(A1,Data!$A$1:$DZU$999999,1483,FALSE)</f>
        <v>#N/A</v>
      </c>
      <c r="D88" s="1" t="e">
        <f>VLOOKUP(A1,Data!$A$1:$DZU$999999,1484,FALSE)</f>
        <v>#N/A</v>
      </c>
      <c r="E88" s="1" t="e">
        <f>VLOOKUP(A1,Data!$A$1:$DZU$999999,1485,FALSE)</f>
        <v>#N/A</v>
      </c>
      <c r="F88" s="1" t="e">
        <f>VLOOKUP(A1,Data!$A$1:$DZU$999999,1486,FALSE)</f>
        <v>#N/A</v>
      </c>
      <c r="G88" s="1" t="e">
        <f>VLOOKUP(A1,Data!$A$1:$DZU$999999,1487,FALSE)</f>
        <v>#N/A</v>
      </c>
      <c r="H88" s="1" t="e">
        <f>VLOOKUP(A1,Data!$A$1:$DZU$999999,1488,FALSE)</f>
        <v>#N/A</v>
      </c>
      <c r="I88" s="1" t="e">
        <f>VLOOKUP(A1,Data!$A$1:$DZU$999999,1489,FALSE)</f>
        <v>#N/A</v>
      </c>
      <c r="J88" s="1" t="e">
        <f>VLOOKUP(A1,Data!$A$1:$DZU$999999,1490,FALSE)</f>
        <v>#N/A</v>
      </c>
      <c r="K88" s="1" t="e">
        <f>VLOOKUP(A1,Data!$A$1:$DZU$999999,1491,FALSE)</f>
        <v>#N/A</v>
      </c>
      <c r="L88" s="1" t="e">
        <f>VLOOKUP(A1,Data!$A$1:$DZU$999999,1492,FALSE)</f>
        <v>#N/A</v>
      </c>
      <c r="M88" s="1" t="e">
        <f>VLOOKUP(A1,Data!$A$1:$DZU$999999,1493,FALSE)</f>
        <v>#N/A</v>
      </c>
      <c r="N88" s="1" t="e">
        <f>VLOOKUP(A1,Data!$A$1:$DZU$999999,1494,FALSE)</f>
        <v>#N/A</v>
      </c>
      <c r="O88" s="1" t="e">
        <f>VLOOKUP(A1,Data!$A$1:$DZU$999999,1495,FALSE)</f>
        <v>#N/A</v>
      </c>
      <c r="P88" s="1" t="e">
        <f>VLOOKUP(A1,Data!$A$1:$DZU$999999,1496,FALSE)</f>
        <v>#N/A</v>
      </c>
      <c r="Q88" s="1" t="e">
        <f>VLOOKUP(A1,Data!$A$1:$DZU$999999,1497,FALSE)</f>
        <v>#N/A</v>
      </c>
    </row>
    <row r="89" spans="1:17" x14ac:dyDescent="0.35">
      <c r="A89" s="1" t="e">
        <f>VLOOKUP(A1,Data!$A$1:$DZU$999999,1498,FALSE)</f>
        <v>#N/A</v>
      </c>
      <c r="B89" s="1" t="e">
        <f>VLOOKUP(A1,Data!$A$1:$DZU$999999,1499,FALSE)</f>
        <v>#N/A</v>
      </c>
      <c r="C89" s="1" t="e">
        <f>VLOOKUP(A1,Data!$A$1:$DZU$999999,1500,FALSE)</f>
        <v>#N/A</v>
      </c>
      <c r="D89" s="1" t="e">
        <f>VLOOKUP(A1,Data!$A$1:$DZU$999999,1501,FALSE)</f>
        <v>#N/A</v>
      </c>
      <c r="E89" s="1" t="e">
        <f>VLOOKUP(A1,Data!$A$1:$DZU$999999,1502,FALSE)</f>
        <v>#N/A</v>
      </c>
      <c r="F89" s="1" t="e">
        <f>VLOOKUP(A1,Data!$A$1:$DZU$999999,1503,FALSE)</f>
        <v>#N/A</v>
      </c>
      <c r="G89" s="1" t="e">
        <f>VLOOKUP(A1,Data!$A$1:$DZU$999999,1504,FALSE)</f>
        <v>#N/A</v>
      </c>
      <c r="H89" s="1" t="e">
        <f>VLOOKUP(A1,Data!$A$1:$DZU$999999,1505,FALSE)</f>
        <v>#N/A</v>
      </c>
      <c r="I89" s="1" t="e">
        <f>VLOOKUP(A1,Data!$A$1:$DZU$999999,1506,FALSE)</f>
        <v>#N/A</v>
      </c>
      <c r="J89" s="1" t="e">
        <f>VLOOKUP(A1,Data!$A$1:$DZU$999999,1507,FALSE)</f>
        <v>#N/A</v>
      </c>
      <c r="K89" s="1" t="e">
        <f>VLOOKUP(A1,Data!$A$1:$DZU$999999,1508,FALSE)</f>
        <v>#N/A</v>
      </c>
      <c r="L89" s="1" t="e">
        <f>VLOOKUP(A1,Data!$A$1:$DZU$999999,1509,FALSE)</f>
        <v>#N/A</v>
      </c>
      <c r="M89" s="1" t="e">
        <f>VLOOKUP(A1,Data!$A$1:$DZU$999999,1510,FALSE)</f>
        <v>#N/A</v>
      </c>
      <c r="N89" s="1" t="e">
        <f>VLOOKUP(A1,Data!$A$1:$DZU$999999,1511,FALSE)</f>
        <v>#N/A</v>
      </c>
      <c r="O89" s="1" t="e">
        <f>VLOOKUP(A1,Data!$A$1:$DZU$999999,1512,FALSE)</f>
        <v>#N/A</v>
      </c>
      <c r="P89" s="1" t="e">
        <f>VLOOKUP(A1,Data!$A$1:$DZU$999999,1513,FALSE)</f>
        <v>#N/A</v>
      </c>
      <c r="Q89" s="1" t="e">
        <f>VLOOKUP(A1,Data!$A$1:$DZU$999999,1514,FALSE)</f>
        <v>#N/A</v>
      </c>
    </row>
    <row r="90" spans="1:17" x14ac:dyDescent="0.35">
      <c r="A90" s="1" t="e">
        <f>VLOOKUP(A1,Data!$A$1:$DZU$999999,1515,FALSE)</f>
        <v>#N/A</v>
      </c>
      <c r="B90" s="1" t="e">
        <f>VLOOKUP(A1,Data!$A$1:$DZU$999999,1516,FALSE)</f>
        <v>#N/A</v>
      </c>
      <c r="C90" s="1" t="e">
        <f>VLOOKUP(A1,Data!$A$1:$DZU$999999,1517,FALSE)</f>
        <v>#N/A</v>
      </c>
      <c r="D90" s="1" t="e">
        <f>VLOOKUP(A1,Data!$A$1:$DZU$999999,1518,FALSE)</f>
        <v>#N/A</v>
      </c>
      <c r="E90" s="1" t="e">
        <f>VLOOKUP(A1,Data!$A$1:$DZU$999999,1519,FALSE)</f>
        <v>#N/A</v>
      </c>
      <c r="F90" s="1" t="e">
        <f>VLOOKUP(A1,Data!$A$1:$DZU$999999,1520,FALSE)</f>
        <v>#N/A</v>
      </c>
      <c r="G90" s="1" t="e">
        <f>VLOOKUP(A1,Data!$A$1:$DZU$999999,1521,FALSE)</f>
        <v>#N/A</v>
      </c>
      <c r="H90" s="1" t="e">
        <f>VLOOKUP(A1,Data!$A$1:$DZU$999999,1522,FALSE)</f>
        <v>#N/A</v>
      </c>
      <c r="I90" s="1" t="e">
        <f>VLOOKUP(A1,Data!$A$1:$DZU$999999,1523,FALSE)</f>
        <v>#N/A</v>
      </c>
      <c r="J90" s="1" t="e">
        <f>VLOOKUP(A1,Data!$A$1:$DZU$999999,1524,FALSE)</f>
        <v>#N/A</v>
      </c>
      <c r="K90" s="1" t="e">
        <f>VLOOKUP(A1,Data!$A$1:$DZU$999999,1525,FALSE)</f>
        <v>#N/A</v>
      </c>
      <c r="L90" s="1" t="e">
        <f>VLOOKUP(A1,Data!$A$1:$DZU$999999,1526,FALSE)</f>
        <v>#N/A</v>
      </c>
      <c r="M90" s="1" t="e">
        <f>VLOOKUP(A1,Data!$A$1:$DZU$999999,1527,FALSE)</f>
        <v>#N/A</v>
      </c>
      <c r="N90" s="1" t="e">
        <f>VLOOKUP(A1,Data!$A$1:$DZU$999999,1528,FALSE)</f>
        <v>#N/A</v>
      </c>
      <c r="O90" s="1" t="e">
        <f>VLOOKUP(A1,Data!$A$1:$DZU$999999,1529,FALSE)</f>
        <v>#N/A</v>
      </c>
      <c r="P90" s="1" t="e">
        <f>VLOOKUP(A1,Data!$A$1:$DZU$999999,1530,FALSE)</f>
        <v>#N/A</v>
      </c>
      <c r="Q90" s="1" t="e">
        <f>VLOOKUP(A1,Data!$A$1:$DZU$999999,1531,FALSE)</f>
        <v>#N/A</v>
      </c>
    </row>
    <row r="91" spans="1:17" x14ac:dyDescent="0.35">
      <c r="A91" s="1" t="e">
        <f>VLOOKUP(A1,Data!$A$1:$DZU$999999,1532,FALSE)</f>
        <v>#N/A</v>
      </c>
      <c r="B91" s="1" t="e">
        <f>VLOOKUP(A1,Data!$A$1:$DZU$999999,1533,FALSE)</f>
        <v>#N/A</v>
      </c>
      <c r="C91" s="1" t="e">
        <f>VLOOKUP(A1,Data!$A$1:$DZU$999999,1534,FALSE)</f>
        <v>#N/A</v>
      </c>
      <c r="D91" s="1" t="e">
        <f>VLOOKUP(A1,Data!$A$1:$DZU$999999,1535,FALSE)</f>
        <v>#N/A</v>
      </c>
      <c r="E91" s="1" t="e">
        <f>VLOOKUP(A1,Data!$A$1:$DZU$999999,1536,FALSE)</f>
        <v>#N/A</v>
      </c>
      <c r="F91" s="1" t="e">
        <f>VLOOKUP(A1,Data!$A$1:$DZU$999999,1537,FALSE)</f>
        <v>#N/A</v>
      </c>
      <c r="G91" s="1" t="e">
        <f>VLOOKUP(A1,Data!$A$1:$DZU$999999,1538,FALSE)</f>
        <v>#N/A</v>
      </c>
      <c r="H91" s="1" t="e">
        <f>VLOOKUP(A1,Data!$A$1:$DZU$999999,1539,FALSE)</f>
        <v>#N/A</v>
      </c>
      <c r="I91" s="1" t="e">
        <f>VLOOKUP(A1,Data!$A$1:$DZU$999999,1540,FALSE)</f>
        <v>#N/A</v>
      </c>
      <c r="J91" s="1" t="e">
        <f>VLOOKUP(A1,Data!$A$1:$DZU$999999,1541,FALSE)</f>
        <v>#N/A</v>
      </c>
      <c r="K91" s="1" t="e">
        <f>VLOOKUP(A1,Data!$A$1:$DZU$999999,1542,FALSE)</f>
        <v>#N/A</v>
      </c>
      <c r="L91" s="1" t="e">
        <f>VLOOKUP(A1,Data!$A$1:$DZU$999999,1543,FALSE)</f>
        <v>#N/A</v>
      </c>
      <c r="M91" s="1" t="e">
        <f>VLOOKUP(A1,Data!$A$1:$DZU$999999,1544,FALSE)</f>
        <v>#N/A</v>
      </c>
      <c r="N91" s="1" t="e">
        <f>VLOOKUP(A1,Data!$A$1:$DZU$999999,1545,FALSE)</f>
        <v>#N/A</v>
      </c>
      <c r="O91" s="1" t="e">
        <f>VLOOKUP(A1,Data!$A$1:$DZU$999999,1546,FALSE)</f>
        <v>#N/A</v>
      </c>
      <c r="P91" s="1" t="e">
        <f>VLOOKUP(A1,Data!$A$1:$DZU$999999,1547,FALSE)</f>
        <v>#N/A</v>
      </c>
      <c r="Q91" s="1" t="e">
        <f>VLOOKUP(A1,Data!$A$1:$DZU$999999,1548,FALSE)</f>
        <v>#N/A</v>
      </c>
    </row>
    <row r="92" spans="1:17" x14ac:dyDescent="0.35">
      <c r="A92" s="1" t="e">
        <f>VLOOKUP(A1,Data!$A$1:$DZU$999999,1549,FALSE)</f>
        <v>#N/A</v>
      </c>
      <c r="B92" s="1" t="e">
        <f>VLOOKUP(A1,Data!$A$1:$DZU$999999,1550,FALSE)</f>
        <v>#N/A</v>
      </c>
      <c r="C92" s="1" t="e">
        <f>VLOOKUP(A1,Data!$A$1:$DZU$999999,1551,FALSE)</f>
        <v>#N/A</v>
      </c>
      <c r="D92" s="1" t="e">
        <f>VLOOKUP(A1,Data!$A$1:$DZU$999999,1552,FALSE)</f>
        <v>#N/A</v>
      </c>
      <c r="E92" s="1" t="e">
        <f>VLOOKUP(A1,Data!$A$1:$DZU$999999,1553,FALSE)</f>
        <v>#N/A</v>
      </c>
      <c r="F92" s="1" t="e">
        <f>VLOOKUP(A1,Data!$A$1:$DZU$999999,1554,FALSE)</f>
        <v>#N/A</v>
      </c>
      <c r="G92" s="1" t="e">
        <f>VLOOKUP(A1,Data!$A$1:$DZU$999999,1555,FALSE)</f>
        <v>#N/A</v>
      </c>
      <c r="H92" s="1" t="e">
        <f>VLOOKUP(A1,Data!$A$1:$DZU$999999,1556,FALSE)</f>
        <v>#N/A</v>
      </c>
      <c r="I92" s="1" t="e">
        <f>VLOOKUP(A1,Data!$A$1:$DZU$999999,1557,FALSE)</f>
        <v>#N/A</v>
      </c>
      <c r="J92" s="1" t="e">
        <f>VLOOKUP(A1,Data!$A$1:$DZU$999999,1558,FALSE)</f>
        <v>#N/A</v>
      </c>
      <c r="K92" s="1" t="e">
        <f>VLOOKUP(A1,Data!$A$1:$DZU$999999,1559,FALSE)</f>
        <v>#N/A</v>
      </c>
      <c r="L92" s="1" t="e">
        <f>VLOOKUP(A1,Data!$A$1:$DZU$999999,1560,FALSE)</f>
        <v>#N/A</v>
      </c>
      <c r="M92" s="1" t="e">
        <f>VLOOKUP(A1,Data!$A$1:$DZU$999999,1561,FALSE)</f>
        <v>#N/A</v>
      </c>
      <c r="N92" s="1" t="e">
        <f>VLOOKUP(A1,Data!$A$1:$DZU$999999,1562,FALSE)</f>
        <v>#N/A</v>
      </c>
      <c r="O92" s="1" t="e">
        <f>VLOOKUP(A1,Data!$A$1:$DZU$999999,1563,FALSE)</f>
        <v>#N/A</v>
      </c>
      <c r="P92" s="1" t="e">
        <f>VLOOKUP(A1,Data!$A$1:$DZU$999999,1564,FALSE)</f>
        <v>#N/A</v>
      </c>
      <c r="Q92" s="1" t="e">
        <f>VLOOKUP(A1,Data!$A$1:$DZU$999999,1565,FALSE)</f>
        <v>#N/A</v>
      </c>
    </row>
    <row r="93" spans="1:17" x14ac:dyDescent="0.35">
      <c r="A93" s="1" t="e">
        <f>VLOOKUP(A1,Data!$A$1:$DZU$999999,1566,FALSE)</f>
        <v>#N/A</v>
      </c>
      <c r="B93" s="1" t="e">
        <f>VLOOKUP(A1,Data!$A$1:$DZU$999999,1567,FALSE)</f>
        <v>#N/A</v>
      </c>
      <c r="C93" s="1" t="e">
        <f>VLOOKUP(A1,Data!$A$1:$DZU$999999,1568,FALSE)</f>
        <v>#N/A</v>
      </c>
      <c r="D93" s="1" t="e">
        <f>VLOOKUP(A1,Data!$A$1:$DZU$999999,1569,FALSE)</f>
        <v>#N/A</v>
      </c>
      <c r="E93" s="1" t="e">
        <f>VLOOKUP(A1,Data!$A$1:$DZU$999999,1570,FALSE)</f>
        <v>#N/A</v>
      </c>
      <c r="F93" s="1" t="e">
        <f>VLOOKUP(A1,Data!$A$1:$DZU$999999,1571,FALSE)</f>
        <v>#N/A</v>
      </c>
      <c r="G93" s="1" t="e">
        <f>VLOOKUP(A1,Data!$A$1:$DZU$999999,1572,FALSE)</f>
        <v>#N/A</v>
      </c>
      <c r="H93" s="1" t="e">
        <f>VLOOKUP(A1,Data!$A$1:$DZU$999999,1573,FALSE)</f>
        <v>#N/A</v>
      </c>
      <c r="I93" s="1" t="e">
        <f>VLOOKUP(A1,Data!$A$1:$DZU$999999,1574,FALSE)</f>
        <v>#N/A</v>
      </c>
      <c r="J93" s="1" t="e">
        <f>VLOOKUP(A1,Data!$A$1:$DZU$999999,1575,FALSE)</f>
        <v>#N/A</v>
      </c>
      <c r="K93" s="1" t="e">
        <f>VLOOKUP(A1,Data!$A$1:$DZU$999999,1576,FALSE)</f>
        <v>#N/A</v>
      </c>
      <c r="L93" s="1" t="e">
        <f>VLOOKUP(A1,Data!$A$1:$DZU$999999,1577,FALSE)</f>
        <v>#N/A</v>
      </c>
      <c r="M93" s="1" t="e">
        <f>VLOOKUP(A1,Data!$A$1:$DZU$999999,1578,FALSE)</f>
        <v>#N/A</v>
      </c>
      <c r="N93" s="1" t="e">
        <f>VLOOKUP(A1,Data!$A$1:$DZU$999999,1579,FALSE)</f>
        <v>#N/A</v>
      </c>
      <c r="O93" s="1" t="e">
        <f>VLOOKUP(A1,Data!$A$1:$DZU$999999,1580,FALSE)</f>
        <v>#N/A</v>
      </c>
      <c r="P93" s="1" t="e">
        <f>VLOOKUP(A1,Data!$A$1:$DZU$999999,1581,FALSE)</f>
        <v>#N/A</v>
      </c>
      <c r="Q93" s="1" t="e">
        <f>VLOOKUP(A1,Data!$A$1:$DZU$999999,1582,FALSE)</f>
        <v>#N/A</v>
      </c>
    </row>
    <row r="94" spans="1:17" x14ac:dyDescent="0.35">
      <c r="A94" s="1" t="e">
        <f>VLOOKUP(A1,Data!$A$1:$DZU$999999,1583,FALSE)</f>
        <v>#N/A</v>
      </c>
      <c r="B94" s="1" t="e">
        <f>VLOOKUP(A1,Data!$A$1:$DZU$999999,1584,FALSE)</f>
        <v>#N/A</v>
      </c>
      <c r="C94" s="1" t="e">
        <f>VLOOKUP(A1,Data!$A$1:$DZU$999999,1585,FALSE)</f>
        <v>#N/A</v>
      </c>
      <c r="D94" s="1" t="e">
        <f>VLOOKUP(A1,Data!$A$1:$DZU$999999,1586,FALSE)</f>
        <v>#N/A</v>
      </c>
      <c r="E94" s="1" t="e">
        <f>VLOOKUP(A1,Data!$A$1:$DZU$999999,1587,FALSE)</f>
        <v>#N/A</v>
      </c>
      <c r="F94" s="1" t="e">
        <f>VLOOKUP(A1,Data!$A$1:$DZU$999999,1588,FALSE)</f>
        <v>#N/A</v>
      </c>
      <c r="G94" s="1" t="e">
        <f>VLOOKUP(A1,Data!$A$1:$DZU$999999,1589,FALSE)</f>
        <v>#N/A</v>
      </c>
      <c r="H94" s="1" t="e">
        <f>VLOOKUP(A1,Data!$A$1:$DZU$999999,1590,FALSE)</f>
        <v>#N/A</v>
      </c>
      <c r="I94" s="1" t="e">
        <f>VLOOKUP(A1,Data!$A$1:$DZU$999999,1591,FALSE)</f>
        <v>#N/A</v>
      </c>
      <c r="J94" s="1" t="e">
        <f>VLOOKUP(A1,Data!$A$1:$DZU$999999,1592,FALSE)</f>
        <v>#N/A</v>
      </c>
      <c r="K94" s="1" t="e">
        <f>VLOOKUP(A1,Data!$A$1:$DZU$999999,1593,FALSE)</f>
        <v>#N/A</v>
      </c>
      <c r="L94" s="1" t="e">
        <f>VLOOKUP(A1,Data!$A$1:$DZU$999999,1594,FALSE)</f>
        <v>#N/A</v>
      </c>
      <c r="M94" s="1" t="e">
        <f>VLOOKUP(A1,Data!$A$1:$DZU$999999,1595,FALSE)</f>
        <v>#N/A</v>
      </c>
      <c r="N94" s="1" t="e">
        <f>VLOOKUP(A1,Data!$A$1:$DZU$999999,1596,FALSE)</f>
        <v>#N/A</v>
      </c>
      <c r="O94" s="1" t="e">
        <f>VLOOKUP(A1,Data!$A$1:$DZU$999999,1597,FALSE)</f>
        <v>#N/A</v>
      </c>
      <c r="P94" s="1" t="e">
        <f>VLOOKUP(A1,Data!$A$1:$DZU$999999,1598,FALSE)</f>
        <v>#N/A</v>
      </c>
      <c r="Q94" s="1" t="e">
        <f>VLOOKUP(A1,Data!$A$1:$DZU$999999,1599,FALSE)</f>
        <v>#N/A</v>
      </c>
    </row>
    <row r="95" spans="1:17" x14ac:dyDescent="0.35">
      <c r="A95" s="1" t="e">
        <f>VLOOKUP(A1,Data!$A$1:$DZU$999999,1600,FALSE)</f>
        <v>#N/A</v>
      </c>
      <c r="B95" s="1" t="e">
        <f>VLOOKUP(A1,Data!$A$1:$DZU$999999,1601,FALSE)</f>
        <v>#N/A</v>
      </c>
      <c r="C95" s="1" t="e">
        <f>VLOOKUP(A1,Data!$A$1:$DZU$999999,1602,FALSE)</f>
        <v>#N/A</v>
      </c>
      <c r="D95" s="1" t="e">
        <f>VLOOKUP(A1,Data!$A$1:$DZU$999999,1603,FALSE)</f>
        <v>#N/A</v>
      </c>
      <c r="E95" s="1" t="e">
        <f>VLOOKUP(A1,Data!$A$1:$DZU$999999,1604,FALSE)</f>
        <v>#N/A</v>
      </c>
      <c r="F95" s="1" t="e">
        <f>VLOOKUP(A1,Data!$A$1:$DZU$999999,1605,FALSE)</f>
        <v>#N/A</v>
      </c>
      <c r="G95" s="1" t="e">
        <f>VLOOKUP(A1,Data!$A$1:$DZU$999999,1606,FALSE)</f>
        <v>#N/A</v>
      </c>
      <c r="H95" s="1" t="e">
        <f>VLOOKUP(A1,Data!$A$1:$DZU$999999,1607,FALSE)</f>
        <v>#N/A</v>
      </c>
      <c r="I95" s="1" t="e">
        <f>VLOOKUP(A1,Data!$A$1:$DZU$999999,1608,FALSE)</f>
        <v>#N/A</v>
      </c>
      <c r="J95" s="1" t="e">
        <f>VLOOKUP(A1,Data!$A$1:$DZU$999999,1609,FALSE)</f>
        <v>#N/A</v>
      </c>
      <c r="K95" s="1" t="e">
        <f>VLOOKUP(A1,Data!$A$1:$DZU$999999,1610,FALSE)</f>
        <v>#N/A</v>
      </c>
      <c r="L95" s="1" t="e">
        <f>VLOOKUP(A1,Data!$A$1:$DZU$999999,1611,FALSE)</f>
        <v>#N/A</v>
      </c>
      <c r="M95" s="1" t="e">
        <f>VLOOKUP(A1,Data!$A$1:$DZU$999999,1612,FALSE)</f>
        <v>#N/A</v>
      </c>
      <c r="N95" s="1" t="e">
        <f>VLOOKUP(A1,Data!$A$1:$DZU$999999,1613,FALSE)</f>
        <v>#N/A</v>
      </c>
      <c r="O95" s="1" t="e">
        <f>VLOOKUP(A1,Data!$A$1:$DZU$999999,1614,FALSE)</f>
        <v>#N/A</v>
      </c>
      <c r="P95" s="1" t="e">
        <f>VLOOKUP(A1,Data!$A$1:$DZU$999999,1615,FALSE)</f>
        <v>#N/A</v>
      </c>
      <c r="Q95" s="1" t="e">
        <f>VLOOKUP(A1,Data!$A$1:$DZU$999999,1616,FALSE)</f>
        <v>#N/A</v>
      </c>
    </row>
    <row r="96" spans="1:17" x14ac:dyDescent="0.35">
      <c r="A96" s="1" t="e">
        <f>VLOOKUP(A1,Data!$A$1:$DZU$999999,1617,FALSE)</f>
        <v>#N/A</v>
      </c>
      <c r="B96" s="1" t="e">
        <f>VLOOKUP(A1,Data!$A$1:$DZU$999999,1618,FALSE)</f>
        <v>#N/A</v>
      </c>
      <c r="C96" s="1" t="e">
        <f>VLOOKUP(A1,Data!$A$1:$DZU$999999,1619,FALSE)</f>
        <v>#N/A</v>
      </c>
      <c r="D96" s="1" t="e">
        <f>VLOOKUP(A1,Data!$A$1:$DZU$999999,1620,FALSE)</f>
        <v>#N/A</v>
      </c>
      <c r="E96" s="1" t="e">
        <f>VLOOKUP(A1,Data!$A$1:$DZU$999999,1621,FALSE)</f>
        <v>#N/A</v>
      </c>
      <c r="F96" s="1" t="e">
        <f>VLOOKUP(A1,Data!$A$1:$DZU$999999,1622,FALSE)</f>
        <v>#N/A</v>
      </c>
      <c r="G96" s="1" t="e">
        <f>VLOOKUP(A1,Data!$A$1:$DZU$999999,1623,FALSE)</f>
        <v>#N/A</v>
      </c>
      <c r="H96" s="1" t="e">
        <f>VLOOKUP(A1,Data!$A$1:$DZU$999999,1624,FALSE)</f>
        <v>#N/A</v>
      </c>
      <c r="I96" s="1" t="e">
        <f>VLOOKUP(A1,Data!$A$1:$DZU$999999,1625,FALSE)</f>
        <v>#N/A</v>
      </c>
      <c r="J96" s="1" t="e">
        <f>VLOOKUP(A1,Data!$A$1:$DZU$999999,1626,FALSE)</f>
        <v>#N/A</v>
      </c>
      <c r="K96" s="1" t="e">
        <f>VLOOKUP(A1,Data!$A$1:$DZU$999999,1627,FALSE)</f>
        <v>#N/A</v>
      </c>
      <c r="L96" s="1" t="e">
        <f>VLOOKUP(A1,Data!$A$1:$DZU$999999,1628,FALSE)</f>
        <v>#N/A</v>
      </c>
      <c r="M96" s="1" t="e">
        <f>VLOOKUP(A1,Data!$A$1:$DZU$999999,1629,FALSE)</f>
        <v>#N/A</v>
      </c>
      <c r="N96" s="1" t="e">
        <f>VLOOKUP(A1,Data!$A$1:$DZU$999999,1630,FALSE)</f>
        <v>#N/A</v>
      </c>
      <c r="O96" s="1" t="e">
        <f>VLOOKUP(A1,Data!$A$1:$DZU$999999,1631,FALSE)</f>
        <v>#N/A</v>
      </c>
      <c r="P96" s="1" t="e">
        <f>VLOOKUP(A1,Data!$A$1:$DZU$999999,1632,FALSE)</f>
        <v>#N/A</v>
      </c>
      <c r="Q96" s="1" t="e">
        <f>VLOOKUP(A1,Data!$A$1:$DZU$999999,1633,FALSE)</f>
        <v>#N/A</v>
      </c>
    </row>
    <row r="97" spans="1:17" x14ac:dyDescent="0.35">
      <c r="A97" s="1" t="e">
        <f>VLOOKUP(A1,Data!$A$1:$DZU$999999,1634,FALSE)</f>
        <v>#N/A</v>
      </c>
      <c r="B97" s="1" t="e">
        <f>VLOOKUP(A1,Data!$A$1:$DZU$999999,1635,FALSE)</f>
        <v>#N/A</v>
      </c>
      <c r="C97" s="1" t="e">
        <f>VLOOKUP(A1,Data!$A$1:$DZU$999999,1636,FALSE)</f>
        <v>#N/A</v>
      </c>
      <c r="D97" s="1" t="e">
        <f>VLOOKUP(A1,Data!$A$1:$DZU$999999,1637,FALSE)</f>
        <v>#N/A</v>
      </c>
      <c r="E97" s="1" t="e">
        <f>VLOOKUP(A1,Data!$A$1:$DZU$999999,1638,FALSE)</f>
        <v>#N/A</v>
      </c>
      <c r="F97" s="1" t="e">
        <f>VLOOKUP(A1,Data!$A$1:$DZU$999999,1639,FALSE)</f>
        <v>#N/A</v>
      </c>
      <c r="G97" s="1" t="e">
        <f>VLOOKUP(A1,Data!$A$1:$DZU$999999,1640,FALSE)</f>
        <v>#N/A</v>
      </c>
      <c r="H97" s="1" t="e">
        <f>VLOOKUP(A1,Data!$A$1:$DZU$999999,1641,FALSE)</f>
        <v>#N/A</v>
      </c>
      <c r="I97" s="1" t="e">
        <f>VLOOKUP(A1,Data!$A$1:$DZU$999999,1642,FALSE)</f>
        <v>#N/A</v>
      </c>
      <c r="J97" s="1" t="e">
        <f>VLOOKUP(A1,Data!$A$1:$DZU$999999,1643,FALSE)</f>
        <v>#N/A</v>
      </c>
      <c r="K97" s="1" t="e">
        <f>VLOOKUP(A1,Data!$A$1:$DZU$999999,1644,FALSE)</f>
        <v>#N/A</v>
      </c>
      <c r="L97" s="1" t="e">
        <f>VLOOKUP(A1,Data!$A$1:$DZU$999999,1645,FALSE)</f>
        <v>#N/A</v>
      </c>
      <c r="M97" s="1" t="e">
        <f>VLOOKUP(A1,Data!$A$1:$DZU$999999,1646,FALSE)</f>
        <v>#N/A</v>
      </c>
      <c r="N97" s="1" t="e">
        <f>VLOOKUP(A1,Data!$A$1:$DZU$999999,1647,FALSE)</f>
        <v>#N/A</v>
      </c>
      <c r="O97" s="1" t="e">
        <f>VLOOKUP(A1,Data!$A$1:$DZU$999999,1648,FALSE)</f>
        <v>#N/A</v>
      </c>
      <c r="P97" s="1" t="e">
        <f>VLOOKUP(A1,Data!$A$1:$DZU$999999,1649,FALSE)</f>
        <v>#N/A</v>
      </c>
      <c r="Q97" s="1" t="e">
        <f>VLOOKUP(A1,Data!$A$1:$DZU$999999,1650,FALSE)</f>
        <v>#N/A</v>
      </c>
    </row>
    <row r="98" spans="1:17" x14ac:dyDescent="0.35">
      <c r="A98" s="1" t="e">
        <f>VLOOKUP(A1,Data!$A$1:$DZU$999999,1651,FALSE)</f>
        <v>#N/A</v>
      </c>
      <c r="B98" s="1" t="e">
        <f>VLOOKUP(A1,Data!$A$1:$DZU$999999,1652,FALSE)</f>
        <v>#N/A</v>
      </c>
      <c r="C98" s="1" t="e">
        <f>VLOOKUP(A1,Data!$A$1:$DZU$999999,1653,FALSE)</f>
        <v>#N/A</v>
      </c>
      <c r="D98" s="1" t="e">
        <f>VLOOKUP(A1,Data!$A$1:$DZU$999999,1654,FALSE)</f>
        <v>#N/A</v>
      </c>
      <c r="E98" s="1" t="e">
        <f>VLOOKUP(A1,Data!$A$1:$DZU$999999,1655,FALSE)</f>
        <v>#N/A</v>
      </c>
      <c r="F98" s="1" t="e">
        <f>VLOOKUP(A1,Data!$A$1:$DZU$999999,1656,FALSE)</f>
        <v>#N/A</v>
      </c>
      <c r="G98" s="1" t="e">
        <f>VLOOKUP(A1,Data!$A$1:$DZU$999999,1657,FALSE)</f>
        <v>#N/A</v>
      </c>
      <c r="H98" s="1" t="e">
        <f>VLOOKUP(A1,Data!$A$1:$DZU$999999,1658,FALSE)</f>
        <v>#N/A</v>
      </c>
      <c r="I98" s="1" t="e">
        <f>VLOOKUP(A1,Data!$A$1:$DZU$999999,1659,FALSE)</f>
        <v>#N/A</v>
      </c>
      <c r="J98" s="1" t="e">
        <f>VLOOKUP(A1,Data!$A$1:$DZU$999999,1660,FALSE)</f>
        <v>#N/A</v>
      </c>
      <c r="K98" s="1" t="e">
        <f>VLOOKUP(A1,Data!$A$1:$DZU$999999,1661,FALSE)</f>
        <v>#N/A</v>
      </c>
      <c r="L98" s="1" t="e">
        <f>VLOOKUP(A1,Data!$A$1:$DZU$999999,1662,FALSE)</f>
        <v>#N/A</v>
      </c>
      <c r="M98" s="1" t="e">
        <f>VLOOKUP(A1,Data!$A$1:$DZU$999999,1663,FALSE)</f>
        <v>#N/A</v>
      </c>
      <c r="N98" s="1" t="e">
        <f>VLOOKUP(A1,Data!$A$1:$DZU$999999,1664,FALSE)</f>
        <v>#N/A</v>
      </c>
      <c r="O98" s="1" t="e">
        <f>VLOOKUP(A1,Data!$A$1:$DZU$999999,1665,FALSE)</f>
        <v>#N/A</v>
      </c>
      <c r="P98" s="1" t="e">
        <f>VLOOKUP(A1,Data!$A$1:$DZU$999999,1666,FALSE)</f>
        <v>#N/A</v>
      </c>
      <c r="Q98" s="1" t="e">
        <f>VLOOKUP(A1,Data!$A$1:$DZU$999999,1667,FALSE)</f>
        <v>#N/A</v>
      </c>
    </row>
    <row r="99" spans="1:17" x14ac:dyDescent="0.35">
      <c r="A99" s="1" t="e">
        <f>VLOOKUP(A1,Data!$A$1:$DZU$999999,1668,FALSE)</f>
        <v>#N/A</v>
      </c>
      <c r="B99" s="1" t="e">
        <f>VLOOKUP(A1,Data!$A$1:$DZU$999999,1669,FALSE)</f>
        <v>#N/A</v>
      </c>
      <c r="C99" s="1" t="e">
        <f>VLOOKUP(A1,Data!$A$1:$DZU$999999,1670,FALSE)</f>
        <v>#N/A</v>
      </c>
      <c r="D99" s="1" t="e">
        <f>VLOOKUP(A1,Data!$A$1:$DZU$999999,1671,FALSE)</f>
        <v>#N/A</v>
      </c>
      <c r="E99" s="1" t="e">
        <f>VLOOKUP(A1,Data!$A$1:$DZU$999999,1672,FALSE)</f>
        <v>#N/A</v>
      </c>
      <c r="F99" s="1" t="e">
        <f>VLOOKUP(A1,Data!$A$1:$DZU$999999,1673,FALSE)</f>
        <v>#N/A</v>
      </c>
      <c r="G99" s="1" t="e">
        <f>VLOOKUP(A1,Data!$A$1:$DZU$999999,1674,FALSE)</f>
        <v>#N/A</v>
      </c>
      <c r="H99" s="1" t="e">
        <f>VLOOKUP(A1,Data!$A$1:$DZU$999999,1675,FALSE)</f>
        <v>#N/A</v>
      </c>
      <c r="I99" s="1" t="e">
        <f>VLOOKUP(A1,Data!$A$1:$DZU$999999,1676,FALSE)</f>
        <v>#N/A</v>
      </c>
      <c r="J99" s="1" t="e">
        <f>VLOOKUP(A1,Data!$A$1:$DZU$999999,1677,FALSE)</f>
        <v>#N/A</v>
      </c>
      <c r="K99" s="1" t="e">
        <f>VLOOKUP(A1,Data!$A$1:$DZU$999999,1678,FALSE)</f>
        <v>#N/A</v>
      </c>
      <c r="L99" s="1" t="e">
        <f>VLOOKUP(A1,Data!$A$1:$DZU$999999,1679,FALSE)</f>
        <v>#N/A</v>
      </c>
      <c r="M99" s="1" t="e">
        <f>VLOOKUP(A1,Data!$A$1:$DZU$999999,1680,FALSE)</f>
        <v>#N/A</v>
      </c>
      <c r="N99" s="1" t="e">
        <f>VLOOKUP(A1,Data!$A$1:$DZU$999999,1681,FALSE)</f>
        <v>#N/A</v>
      </c>
      <c r="O99" s="1" t="e">
        <f>VLOOKUP(A1,Data!$A$1:$DZU$999999,1682,FALSE)</f>
        <v>#N/A</v>
      </c>
      <c r="P99" s="1" t="e">
        <f>VLOOKUP(A1,Data!$A$1:$DZU$999999,1683,FALSE)</f>
        <v>#N/A</v>
      </c>
      <c r="Q99" s="1" t="e">
        <f>VLOOKUP(A1,Data!$A$1:$DZU$999999,1684,FALSE)</f>
        <v>#N/A</v>
      </c>
    </row>
    <row r="100" spans="1:17" x14ac:dyDescent="0.35">
      <c r="A100" s="1" t="e">
        <f>VLOOKUP(A1,Data!$A$1:$DZU$999999,1685,FALSE)</f>
        <v>#N/A</v>
      </c>
      <c r="B100" s="1" t="e">
        <f>VLOOKUP(A1,Data!$A$1:$DZU$999999,1686,FALSE)</f>
        <v>#N/A</v>
      </c>
      <c r="C100" s="1" t="e">
        <f>VLOOKUP(A1,Data!$A$1:$DZU$999999,1687,FALSE)</f>
        <v>#N/A</v>
      </c>
      <c r="D100" s="1" t="e">
        <f>VLOOKUP(A1,Data!$A$1:$DZU$999999,1688,FALSE)</f>
        <v>#N/A</v>
      </c>
      <c r="E100" s="1" t="e">
        <f>VLOOKUP(A1,Data!$A$1:$DZU$999999,1689,FALSE)</f>
        <v>#N/A</v>
      </c>
      <c r="F100" s="1" t="e">
        <f>VLOOKUP(A1,Data!$A$1:$DZU$999999,1690,FALSE)</f>
        <v>#N/A</v>
      </c>
      <c r="G100" s="1" t="e">
        <f>VLOOKUP(A1,Data!$A$1:$DZU$999999,1691,FALSE)</f>
        <v>#N/A</v>
      </c>
      <c r="H100" s="1" t="e">
        <f>VLOOKUP(A1,Data!$A$1:$DZU$999999,1692,FALSE)</f>
        <v>#N/A</v>
      </c>
      <c r="I100" s="1" t="e">
        <f>VLOOKUP(A1,Data!$A$1:$DZU$999999,1693,FALSE)</f>
        <v>#N/A</v>
      </c>
      <c r="J100" s="1" t="e">
        <f>VLOOKUP(A1,Data!$A$1:$DZU$999999,1694,FALSE)</f>
        <v>#N/A</v>
      </c>
      <c r="K100" s="1" t="e">
        <f>VLOOKUP(A1,Data!$A$1:$DZU$999999,1695,FALSE)</f>
        <v>#N/A</v>
      </c>
      <c r="L100" s="1" t="e">
        <f>VLOOKUP(A1,Data!$A$1:$DZU$999999,1696,FALSE)</f>
        <v>#N/A</v>
      </c>
      <c r="M100" s="1" t="e">
        <f>VLOOKUP(A1,Data!$A$1:$DZU$999999,1697,FALSE)</f>
        <v>#N/A</v>
      </c>
      <c r="N100" s="1" t="e">
        <f>VLOOKUP(A1,Data!$A$1:$DZU$999999,1698,FALSE)</f>
        <v>#N/A</v>
      </c>
      <c r="O100" s="1" t="e">
        <f>VLOOKUP(A1,Data!$A$1:$DZU$999999,1699,FALSE)</f>
        <v>#N/A</v>
      </c>
      <c r="P100" s="1" t="e">
        <f>VLOOKUP(A1,Data!$A$1:$DZU$999999,1700,FALSE)</f>
        <v>#N/A</v>
      </c>
      <c r="Q100" s="1" t="e">
        <f>VLOOKUP(A1,Data!$A$1:$DZU$999999,1701,FALSE)</f>
        <v>#N/A</v>
      </c>
    </row>
    <row r="101" spans="1:17" x14ac:dyDescent="0.35">
      <c r="A101" s="1" t="e">
        <f>VLOOKUP(A1,Data!$A$1:$DZU$999999,1702,FALSE)</f>
        <v>#N/A</v>
      </c>
      <c r="B101" s="1" t="e">
        <f>VLOOKUP(A1,Data!$A$1:$DZU$999999,1703,FALSE)</f>
        <v>#N/A</v>
      </c>
      <c r="C101" s="1" t="e">
        <f>VLOOKUP(A1,Data!$A$1:$DZU$999999,1704,FALSE)</f>
        <v>#N/A</v>
      </c>
      <c r="D101" s="1" t="e">
        <f>VLOOKUP(A1,Data!$A$1:$DZU$999999,1705,FALSE)</f>
        <v>#N/A</v>
      </c>
      <c r="E101" s="1" t="e">
        <f>VLOOKUP(A1,Data!$A$1:$DZU$999999,1706,FALSE)</f>
        <v>#N/A</v>
      </c>
      <c r="F101" s="1" t="e">
        <f>VLOOKUP(A1,Data!$A$1:$DZU$999999,1707,FALSE)</f>
        <v>#N/A</v>
      </c>
      <c r="G101" s="1" t="e">
        <f>VLOOKUP(A1,Data!$A$1:$DZU$999999,1708,FALSE)</f>
        <v>#N/A</v>
      </c>
      <c r="H101" s="1" t="e">
        <f>VLOOKUP(A1,Data!$A$1:$DZU$999999,1709,FALSE)</f>
        <v>#N/A</v>
      </c>
      <c r="I101" s="1" t="e">
        <f>VLOOKUP(A1,Data!$A$1:$DZU$999999,1710,FALSE)</f>
        <v>#N/A</v>
      </c>
      <c r="J101" s="1" t="e">
        <f>VLOOKUP(A1,Data!$A$1:$DZU$999999,1711,FALSE)</f>
        <v>#N/A</v>
      </c>
      <c r="K101" s="1" t="e">
        <f>VLOOKUP(A1,Data!$A$1:$DZU$999999,1712,FALSE)</f>
        <v>#N/A</v>
      </c>
      <c r="L101" s="1" t="e">
        <f>VLOOKUP(A1,Data!$A$1:$DZU$999999,1713,FALSE)</f>
        <v>#N/A</v>
      </c>
      <c r="M101" s="1" t="e">
        <f>VLOOKUP(A1,Data!$A$1:$DZU$999999,1714,FALSE)</f>
        <v>#N/A</v>
      </c>
      <c r="N101" s="1" t="e">
        <f>VLOOKUP(A1,Data!$A$1:$DZU$999999,1715,FALSE)</f>
        <v>#N/A</v>
      </c>
      <c r="O101" s="1" t="e">
        <f>VLOOKUP(A1,Data!$A$1:$DZU$999999,1716,FALSE)</f>
        <v>#N/A</v>
      </c>
      <c r="P101" s="1" t="e">
        <f>VLOOKUP(A1,Data!$A$1:$DZU$999999,1717,FALSE)</f>
        <v>#N/A</v>
      </c>
      <c r="Q101" s="1" t="e">
        <f>VLOOKUP(A1,Data!$A$1:$DZU$999999,1718,FALSE)</f>
        <v>#N/A</v>
      </c>
    </row>
    <row r="102" spans="1:17" x14ac:dyDescent="0.35">
      <c r="A102" s="1" t="e">
        <f>VLOOKUP(A1,Data!$A$1:$DZU$999999,1719,FALSE)</f>
        <v>#N/A</v>
      </c>
      <c r="B102" s="1" t="e">
        <f>VLOOKUP(A1,Data!$A$1:$DZU$999999,1720,FALSE)</f>
        <v>#N/A</v>
      </c>
      <c r="C102" s="1" t="e">
        <f>VLOOKUP(A1,Data!$A$1:$DZU$999999,1721,FALSE)</f>
        <v>#N/A</v>
      </c>
      <c r="D102" s="1" t="e">
        <f>VLOOKUP(A1,Data!$A$1:$DZU$999999,1722,FALSE)</f>
        <v>#N/A</v>
      </c>
      <c r="E102" s="1" t="e">
        <f>VLOOKUP(A1,Data!$A$1:$DZU$999999,1723,FALSE)</f>
        <v>#N/A</v>
      </c>
      <c r="F102" s="1" t="e">
        <f>VLOOKUP(A1,Data!$A$1:$DZU$999999,1724,FALSE)</f>
        <v>#N/A</v>
      </c>
      <c r="G102" s="1" t="e">
        <f>VLOOKUP(A1,Data!$A$1:$DZU$999999,1725,FALSE)</f>
        <v>#N/A</v>
      </c>
      <c r="H102" s="1" t="e">
        <f>VLOOKUP(A1,Data!$A$1:$DZU$999999,1726,FALSE)</f>
        <v>#N/A</v>
      </c>
      <c r="I102" s="1" t="e">
        <f>VLOOKUP(A1,Data!$A$1:$DZU$999999,1727,FALSE)</f>
        <v>#N/A</v>
      </c>
      <c r="J102" s="1" t="e">
        <f>VLOOKUP(A1,Data!$A$1:$DZU$999999,1728,FALSE)</f>
        <v>#N/A</v>
      </c>
      <c r="K102" s="1" t="e">
        <f>VLOOKUP(A1,Data!$A$1:$DZU$999999,1729,FALSE)</f>
        <v>#N/A</v>
      </c>
      <c r="L102" s="1" t="e">
        <f>VLOOKUP(A1,Data!$A$1:$DZU$999999,1730,FALSE)</f>
        <v>#N/A</v>
      </c>
      <c r="M102" s="1" t="e">
        <f>VLOOKUP(A1,Data!$A$1:$DZU$999999,1731,FALSE)</f>
        <v>#N/A</v>
      </c>
      <c r="N102" s="1" t="e">
        <f>VLOOKUP(A1,Data!$A$1:$DZU$999999,1732,FALSE)</f>
        <v>#N/A</v>
      </c>
      <c r="O102" s="1" t="e">
        <f>VLOOKUP(A1,Data!$A$1:$DZU$999999,1733,FALSE)</f>
        <v>#N/A</v>
      </c>
      <c r="P102" s="1" t="e">
        <f>VLOOKUP(A1,Data!$A$1:$DZU$999999,1734,FALSE)</f>
        <v>#N/A</v>
      </c>
      <c r="Q102" s="1" t="e">
        <f>VLOOKUP(A1,Data!$A$1:$DZU$999999,1735,FALSE)</f>
        <v>#N/A</v>
      </c>
    </row>
    <row r="103" spans="1:17" x14ac:dyDescent="0.35">
      <c r="A103" s="1" t="e">
        <f>VLOOKUP(A1,Data!$A$1:$DZU$999999,1736,FALSE)</f>
        <v>#N/A</v>
      </c>
      <c r="B103" s="1" t="e">
        <f>VLOOKUP(A1,Data!$A$1:$DZU$999999,1737,FALSE)</f>
        <v>#N/A</v>
      </c>
      <c r="C103" s="1" t="e">
        <f>VLOOKUP(A1,Data!$A$1:$DZU$999999,1738,FALSE)</f>
        <v>#N/A</v>
      </c>
      <c r="D103" s="1" t="e">
        <f>VLOOKUP(A1,Data!$A$1:$DZU$999999,1739,FALSE)</f>
        <v>#N/A</v>
      </c>
      <c r="E103" s="1" t="e">
        <f>VLOOKUP(A1,Data!$A$1:$DZU$999999,1740,FALSE)</f>
        <v>#N/A</v>
      </c>
      <c r="F103" s="1" t="e">
        <f>VLOOKUP(A1,Data!$A$1:$DZU$999999,1741,FALSE)</f>
        <v>#N/A</v>
      </c>
      <c r="G103" s="1" t="e">
        <f>VLOOKUP(A1,Data!$A$1:$DZU$999999,1742,FALSE)</f>
        <v>#N/A</v>
      </c>
      <c r="H103" s="1" t="e">
        <f>VLOOKUP(A1,Data!$A$1:$DZU$999999,1743,FALSE)</f>
        <v>#N/A</v>
      </c>
      <c r="I103" s="1" t="e">
        <f>VLOOKUP(A1,Data!$A$1:$DZU$999999,1744,FALSE)</f>
        <v>#N/A</v>
      </c>
      <c r="J103" s="1" t="e">
        <f>VLOOKUP(A1,Data!$A$1:$DZU$999999,1745,FALSE)</f>
        <v>#N/A</v>
      </c>
      <c r="K103" s="1" t="e">
        <f>VLOOKUP(A1,Data!$A$1:$DZU$999999,1746,FALSE)</f>
        <v>#N/A</v>
      </c>
      <c r="L103" s="1" t="e">
        <f>VLOOKUP(A1,Data!$A$1:$DZU$999999,1747,FALSE)</f>
        <v>#N/A</v>
      </c>
      <c r="M103" s="1" t="e">
        <f>VLOOKUP(A1,Data!$A$1:$DZU$999999,1748,FALSE)</f>
        <v>#N/A</v>
      </c>
      <c r="N103" s="1" t="e">
        <f>VLOOKUP(A1,Data!$A$1:$DZU$999999,1749,FALSE)</f>
        <v>#N/A</v>
      </c>
      <c r="O103" s="1" t="e">
        <f>VLOOKUP(A1,Data!$A$1:$DZU$999999,1750,FALSE)</f>
        <v>#N/A</v>
      </c>
      <c r="P103" s="1" t="e">
        <f>VLOOKUP(A1,Data!$A$1:$DZU$999999,1751,FALSE)</f>
        <v>#N/A</v>
      </c>
      <c r="Q103" s="1" t="e">
        <f>VLOOKUP(A1,Data!$A$1:$DZU$999999,1752,FALSE)</f>
        <v>#N/A</v>
      </c>
    </row>
    <row r="104" spans="1:17" x14ac:dyDescent="0.35">
      <c r="A104" s="1" t="e">
        <f>VLOOKUP(A1,Data!$A$1:$DZU$999999,1753,FALSE)</f>
        <v>#N/A</v>
      </c>
      <c r="B104" s="1" t="e">
        <f>VLOOKUP(A1,Data!$A$1:$DZU$999999,1754,FALSE)</f>
        <v>#N/A</v>
      </c>
      <c r="C104" s="1" t="e">
        <f>VLOOKUP(A1,Data!$A$1:$DZU$999999,1755,FALSE)</f>
        <v>#N/A</v>
      </c>
      <c r="D104" s="1" t="e">
        <f>VLOOKUP(A1,Data!$A$1:$DZU$999999,1756,FALSE)</f>
        <v>#N/A</v>
      </c>
      <c r="E104" s="1" t="e">
        <f>VLOOKUP(A1,Data!$A$1:$DZU$999999,1757,FALSE)</f>
        <v>#N/A</v>
      </c>
      <c r="F104" s="1" t="e">
        <f>VLOOKUP(A1,Data!$A$1:$DZU$999999,1758,FALSE)</f>
        <v>#N/A</v>
      </c>
      <c r="G104" s="1" t="e">
        <f>VLOOKUP(A1,Data!$A$1:$DZU$999999,1759,FALSE)</f>
        <v>#N/A</v>
      </c>
      <c r="H104" s="1" t="e">
        <f>VLOOKUP(A1,Data!$A$1:$DZU$999999,1760,FALSE)</f>
        <v>#N/A</v>
      </c>
      <c r="I104" s="1" t="e">
        <f>VLOOKUP(A1,Data!$A$1:$DZU$999999,1761,FALSE)</f>
        <v>#N/A</v>
      </c>
      <c r="J104" s="1" t="e">
        <f>VLOOKUP(A1,Data!$A$1:$DZU$999999,1762,FALSE)</f>
        <v>#N/A</v>
      </c>
      <c r="K104" s="1" t="e">
        <f>VLOOKUP(A1,Data!$A$1:$DZU$999999,1763,FALSE)</f>
        <v>#N/A</v>
      </c>
      <c r="L104" s="1" t="e">
        <f>VLOOKUP(A1,Data!$A$1:$DZU$999999,1764,FALSE)</f>
        <v>#N/A</v>
      </c>
      <c r="M104" s="1" t="e">
        <f>VLOOKUP(A1,Data!$A$1:$DZU$999999,1765,FALSE)</f>
        <v>#N/A</v>
      </c>
      <c r="N104" s="1" t="e">
        <f>VLOOKUP(A1,Data!$A$1:$DZU$999999,1766,FALSE)</f>
        <v>#N/A</v>
      </c>
      <c r="O104" s="1" t="e">
        <f>VLOOKUP(A1,Data!$A$1:$DZU$999999,1767,FALSE)</f>
        <v>#N/A</v>
      </c>
      <c r="P104" s="1" t="e">
        <f>VLOOKUP(A1,Data!$A$1:$DZU$999999,1768,FALSE)</f>
        <v>#N/A</v>
      </c>
      <c r="Q104" s="1" t="e">
        <f>VLOOKUP(A1,Data!$A$1:$DZU$999999,1769,FALSE)</f>
        <v>#N/A</v>
      </c>
    </row>
    <row r="105" spans="1:17" x14ac:dyDescent="0.35">
      <c r="A105" s="1" t="e">
        <f>VLOOKUP(A1,Data!$A$1:$DZU$999999,1770,FALSE)</f>
        <v>#N/A</v>
      </c>
      <c r="B105" s="1" t="e">
        <f>VLOOKUP(A1,Data!$A$1:$DZU$999999,1771,FALSE)</f>
        <v>#N/A</v>
      </c>
      <c r="C105" s="1" t="e">
        <f>VLOOKUP(A1,Data!$A$1:$DZU$999999,1772,FALSE)</f>
        <v>#N/A</v>
      </c>
      <c r="D105" s="1" t="e">
        <f>VLOOKUP(A1,Data!$A$1:$DZU$999999,1773,FALSE)</f>
        <v>#N/A</v>
      </c>
      <c r="E105" s="1" t="e">
        <f>VLOOKUP(A1,Data!$A$1:$DZU$999999,1774,FALSE)</f>
        <v>#N/A</v>
      </c>
      <c r="F105" s="1" t="e">
        <f>VLOOKUP(A1,Data!$A$1:$DZU$999999,1775,FALSE)</f>
        <v>#N/A</v>
      </c>
      <c r="G105" s="1" t="e">
        <f>VLOOKUP(A1,Data!$A$1:$DZU$999999,1776,FALSE)</f>
        <v>#N/A</v>
      </c>
      <c r="H105" s="1" t="e">
        <f>VLOOKUP(A1,Data!$A$1:$DZU$999999,1777,FALSE)</f>
        <v>#N/A</v>
      </c>
      <c r="I105" s="1" t="e">
        <f>VLOOKUP(A1,Data!$A$1:$DZU$999999,1778,FALSE)</f>
        <v>#N/A</v>
      </c>
      <c r="J105" s="1" t="e">
        <f>VLOOKUP(A1,Data!$A$1:$DZU$999999,1779,FALSE)</f>
        <v>#N/A</v>
      </c>
      <c r="K105" s="1" t="e">
        <f>VLOOKUP(A1,Data!$A$1:$DZU$999999,1780,FALSE)</f>
        <v>#N/A</v>
      </c>
      <c r="L105" s="1" t="e">
        <f>VLOOKUP(A1,Data!$A$1:$DZU$999999,1781,FALSE)</f>
        <v>#N/A</v>
      </c>
      <c r="M105" s="1" t="e">
        <f>VLOOKUP(A1,Data!$A$1:$DZU$999999,1782,FALSE)</f>
        <v>#N/A</v>
      </c>
      <c r="N105" s="1" t="e">
        <f>VLOOKUP(A1,Data!$A$1:$DZU$999999,1783,FALSE)</f>
        <v>#N/A</v>
      </c>
      <c r="O105" s="1" t="e">
        <f>VLOOKUP(A1,Data!$A$1:$DZU$999999,1784,FALSE)</f>
        <v>#N/A</v>
      </c>
      <c r="P105" s="1" t="e">
        <f>VLOOKUP(A1,Data!$A$1:$DZU$999999,1785,FALSE)</f>
        <v>#N/A</v>
      </c>
      <c r="Q105" s="1" t="e">
        <f>VLOOKUP(A1,Data!$A$1:$DZU$999999,1786,FALSE)</f>
        <v>#N/A</v>
      </c>
    </row>
    <row r="106" spans="1:17" x14ac:dyDescent="0.35">
      <c r="A106" s="1" t="e">
        <f>VLOOKUP(A1,Data!$A$1:$DZU$999999,1787,FALSE)</f>
        <v>#N/A</v>
      </c>
      <c r="B106" s="1" t="e">
        <f>VLOOKUP(A1,Data!$A$1:$DZU$999999,1788,FALSE)</f>
        <v>#N/A</v>
      </c>
      <c r="C106" s="1" t="e">
        <f>VLOOKUP(A1,Data!$A$1:$DZU$999999,1789,FALSE)</f>
        <v>#N/A</v>
      </c>
      <c r="D106" s="1" t="e">
        <f>VLOOKUP(A1,Data!$A$1:$DZU$999999,1790,FALSE)</f>
        <v>#N/A</v>
      </c>
      <c r="E106" s="1" t="e">
        <f>VLOOKUP(A1,Data!$A$1:$DZU$999999,1791,FALSE)</f>
        <v>#N/A</v>
      </c>
      <c r="F106" s="1" t="e">
        <f>VLOOKUP(A1,Data!$A$1:$DZU$999999,1792,FALSE)</f>
        <v>#N/A</v>
      </c>
      <c r="G106" s="1" t="e">
        <f>VLOOKUP(A1,Data!$A$1:$DZU$999999,1793,FALSE)</f>
        <v>#N/A</v>
      </c>
      <c r="H106" s="1" t="e">
        <f>VLOOKUP(A1,Data!$A$1:$DZU$999999,1794,FALSE)</f>
        <v>#N/A</v>
      </c>
      <c r="I106" s="1" t="e">
        <f>VLOOKUP(A1,Data!$A$1:$DZU$999999,1795,FALSE)</f>
        <v>#N/A</v>
      </c>
      <c r="J106" s="1" t="e">
        <f>VLOOKUP(A1,Data!$A$1:$DZU$999999,1796,FALSE)</f>
        <v>#N/A</v>
      </c>
      <c r="K106" s="1" t="e">
        <f>VLOOKUP(A1,Data!$A$1:$DZU$999999,1797,FALSE)</f>
        <v>#N/A</v>
      </c>
      <c r="L106" s="1" t="e">
        <f>VLOOKUP(A1,Data!$A$1:$DZU$999999,1798,FALSE)</f>
        <v>#N/A</v>
      </c>
      <c r="M106" s="1" t="e">
        <f>VLOOKUP(A1,Data!$A$1:$DZU$999999,1799,FALSE)</f>
        <v>#N/A</v>
      </c>
      <c r="N106" s="1" t="e">
        <f>VLOOKUP(A1,Data!$A$1:$DZU$999999,1800,FALSE)</f>
        <v>#N/A</v>
      </c>
      <c r="O106" s="1" t="e">
        <f>VLOOKUP(A1,Data!$A$1:$DZU$999999,1801,FALSE)</f>
        <v>#N/A</v>
      </c>
      <c r="P106" s="1" t="e">
        <f>VLOOKUP(A1,Data!$A$1:$DZU$999999,1802,FALSE)</f>
        <v>#N/A</v>
      </c>
      <c r="Q106" s="1" t="e">
        <f>VLOOKUP(A1,Data!$A$1:$DZU$999999,1803,FALSE)</f>
        <v>#N/A</v>
      </c>
    </row>
    <row r="107" spans="1:17" x14ac:dyDescent="0.35">
      <c r="A107" s="1" t="e">
        <f>VLOOKUP(A1,Data!$A$1:$DZU$999999,1804,FALSE)</f>
        <v>#N/A</v>
      </c>
      <c r="B107" s="1" t="e">
        <f>VLOOKUP(A1,Data!$A$1:$DZU$999999,1805,FALSE)</f>
        <v>#N/A</v>
      </c>
      <c r="C107" s="1" t="e">
        <f>VLOOKUP(A1,Data!$A$1:$DZU$999999,1806,FALSE)</f>
        <v>#N/A</v>
      </c>
      <c r="D107" s="1" t="e">
        <f>VLOOKUP(A1,Data!$A$1:$DZU$999999,1807,FALSE)</f>
        <v>#N/A</v>
      </c>
      <c r="E107" s="1" t="e">
        <f>VLOOKUP(A1,Data!$A$1:$DZU$999999,1808,FALSE)</f>
        <v>#N/A</v>
      </c>
      <c r="F107" s="1" t="e">
        <f>VLOOKUP(A1,Data!$A$1:$DZU$999999,1809,FALSE)</f>
        <v>#N/A</v>
      </c>
      <c r="G107" s="1" t="e">
        <f>VLOOKUP(A1,Data!$A$1:$DZU$999999,1810,FALSE)</f>
        <v>#N/A</v>
      </c>
      <c r="H107" s="1" t="e">
        <f>VLOOKUP(A1,Data!$A$1:$DZU$999999,1811,FALSE)</f>
        <v>#N/A</v>
      </c>
      <c r="I107" s="1" t="e">
        <f>VLOOKUP(A1,Data!$A$1:$DZU$999999,1812,FALSE)</f>
        <v>#N/A</v>
      </c>
      <c r="J107" s="1" t="e">
        <f>VLOOKUP(A1,Data!$A$1:$DZU$999999,1813,FALSE)</f>
        <v>#N/A</v>
      </c>
      <c r="K107" s="1" t="e">
        <f>VLOOKUP(A1,Data!$A$1:$DZU$999999,1814,FALSE)</f>
        <v>#N/A</v>
      </c>
      <c r="L107" s="1" t="e">
        <f>VLOOKUP(A1,Data!$A$1:$DZU$999999,1815,FALSE)</f>
        <v>#N/A</v>
      </c>
      <c r="M107" s="1" t="e">
        <f>VLOOKUP(A1,Data!$A$1:$DZU$999999,1816,FALSE)</f>
        <v>#N/A</v>
      </c>
      <c r="N107" s="1" t="e">
        <f>VLOOKUP(A1,Data!$A$1:$DZU$999999,1817,FALSE)</f>
        <v>#N/A</v>
      </c>
      <c r="O107" s="1" t="e">
        <f>VLOOKUP(A1,Data!$A$1:$DZU$999999,1818,FALSE)</f>
        <v>#N/A</v>
      </c>
      <c r="P107" s="1" t="e">
        <f>VLOOKUP(A1,Data!$A$1:$DZU$999999,1819,FALSE)</f>
        <v>#N/A</v>
      </c>
      <c r="Q107" s="1" t="e">
        <f>VLOOKUP(A1,Data!$A$1:$DZU$999999,1820,FALSE)</f>
        <v>#N/A</v>
      </c>
    </row>
    <row r="108" spans="1:17" x14ac:dyDescent="0.35">
      <c r="A108" s="1" t="e">
        <f>VLOOKUP(A1,Data!$A$1:$DZU$999999,1821,FALSE)</f>
        <v>#N/A</v>
      </c>
      <c r="B108" s="1" t="e">
        <f>VLOOKUP(A1,Data!$A$1:$DZU$999999,1822,FALSE)</f>
        <v>#N/A</v>
      </c>
      <c r="C108" s="1" t="e">
        <f>VLOOKUP(A1,Data!$A$1:$DZU$999999,1823,FALSE)</f>
        <v>#N/A</v>
      </c>
      <c r="D108" s="1" t="e">
        <f>VLOOKUP(A1,Data!$A$1:$DZU$999999,1824,FALSE)</f>
        <v>#N/A</v>
      </c>
      <c r="E108" s="1" t="e">
        <f>VLOOKUP(A1,Data!$A$1:$DZU$999999,1825,FALSE)</f>
        <v>#N/A</v>
      </c>
      <c r="F108" s="1" t="e">
        <f>VLOOKUP(A1,Data!$A$1:$DZU$999999,1826,FALSE)</f>
        <v>#N/A</v>
      </c>
      <c r="G108" s="1" t="e">
        <f>VLOOKUP(A1,Data!$A$1:$DZU$999999,1827,FALSE)</f>
        <v>#N/A</v>
      </c>
      <c r="H108" s="1" t="e">
        <f>VLOOKUP(A1,Data!$A$1:$DZU$999999,1828,FALSE)</f>
        <v>#N/A</v>
      </c>
      <c r="I108" s="1" t="e">
        <f>VLOOKUP(A1,Data!$A$1:$DZU$999999,1829,FALSE)</f>
        <v>#N/A</v>
      </c>
      <c r="J108" s="1" t="e">
        <f>VLOOKUP(A1,Data!$A$1:$DZU$999999,1830,FALSE)</f>
        <v>#N/A</v>
      </c>
      <c r="K108" s="1" t="e">
        <f>VLOOKUP(A1,Data!$A$1:$DZU$999999,1831,FALSE)</f>
        <v>#N/A</v>
      </c>
      <c r="L108" s="1" t="e">
        <f>VLOOKUP(A1,Data!$A$1:$DZU$999999,1832,FALSE)</f>
        <v>#N/A</v>
      </c>
      <c r="M108" s="1" t="e">
        <f>VLOOKUP(A1,Data!$A$1:$DZU$999999,1833,FALSE)</f>
        <v>#N/A</v>
      </c>
      <c r="N108" s="1" t="e">
        <f>VLOOKUP(A1,Data!$A$1:$DZU$999999,1834,FALSE)</f>
        <v>#N/A</v>
      </c>
      <c r="O108" s="1" t="e">
        <f>VLOOKUP(A1,Data!$A$1:$DZU$999999,1835,FALSE)</f>
        <v>#N/A</v>
      </c>
      <c r="P108" s="1" t="e">
        <f>VLOOKUP(A1,Data!$A$1:$DZU$999999,1836,FALSE)</f>
        <v>#N/A</v>
      </c>
      <c r="Q108" s="1" t="e">
        <f>VLOOKUP(A1,Data!$A$1:$DZU$999999,1837,FALSE)</f>
        <v>#N/A</v>
      </c>
    </row>
    <row r="109" spans="1:17" x14ac:dyDescent="0.35">
      <c r="A109" s="1" t="e">
        <f>VLOOKUP(A1,Data!$A$1:$DZU$999999,1838,FALSE)</f>
        <v>#N/A</v>
      </c>
      <c r="B109" s="1" t="e">
        <f>VLOOKUP(A1,Data!$A$1:$DZU$999999,1839,FALSE)</f>
        <v>#N/A</v>
      </c>
      <c r="C109" s="1" t="e">
        <f>VLOOKUP(A1,Data!$A$1:$DZU$999999,1840,FALSE)</f>
        <v>#N/A</v>
      </c>
      <c r="D109" s="1" t="e">
        <f>VLOOKUP(A1,Data!$A$1:$DZU$999999,1841,FALSE)</f>
        <v>#N/A</v>
      </c>
      <c r="E109" s="1" t="e">
        <f>VLOOKUP(A1,Data!$A$1:$DZU$999999,1842,FALSE)</f>
        <v>#N/A</v>
      </c>
      <c r="F109" s="1" t="e">
        <f>VLOOKUP(A1,Data!$A$1:$DZU$999999,1843,FALSE)</f>
        <v>#N/A</v>
      </c>
      <c r="G109" s="1" t="e">
        <f>VLOOKUP(A1,Data!$A$1:$DZU$999999,1844,FALSE)</f>
        <v>#N/A</v>
      </c>
      <c r="H109" s="1" t="e">
        <f>VLOOKUP(A1,Data!$A$1:$DZU$999999,1845,FALSE)</f>
        <v>#N/A</v>
      </c>
      <c r="I109" s="1" t="e">
        <f>VLOOKUP(A1,Data!$A$1:$DZU$999999,1846,FALSE)</f>
        <v>#N/A</v>
      </c>
      <c r="J109" s="1" t="e">
        <f>VLOOKUP(A1,Data!$A$1:$DZU$999999,1847,FALSE)</f>
        <v>#N/A</v>
      </c>
      <c r="K109" s="1" t="e">
        <f>VLOOKUP(A1,Data!$A$1:$DZU$999999,1848,FALSE)</f>
        <v>#N/A</v>
      </c>
      <c r="L109" s="1" t="e">
        <f>VLOOKUP(A1,Data!$A$1:$DZU$999999,1849,FALSE)</f>
        <v>#N/A</v>
      </c>
      <c r="M109" s="1" t="e">
        <f>VLOOKUP(A1,Data!$A$1:$DZU$999999,1850,FALSE)</f>
        <v>#N/A</v>
      </c>
      <c r="N109" s="1" t="e">
        <f>VLOOKUP(A1,Data!$A$1:$DZU$999999,1851,FALSE)</f>
        <v>#N/A</v>
      </c>
      <c r="O109" s="1" t="e">
        <f>VLOOKUP(A1,Data!$A$1:$DZU$999999,1852,FALSE)</f>
        <v>#N/A</v>
      </c>
      <c r="P109" s="1" t="e">
        <f>VLOOKUP(A1,Data!$A$1:$DZU$999999,1853,FALSE)</f>
        <v>#N/A</v>
      </c>
      <c r="Q109" s="1" t="e">
        <f>VLOOKUP(A1,Data!$A$1:$DZU$999999,1854,FALSE)</f>
        <v>#N/A</v>
      </c>
    </row>
    <row r="110" spans="1:17" x14ac:dyDescent="0.35">
      <c r="A110" s="1" t="e">
        <f>VLOOKUP(A1,Data!$A$1:$DZU$999999,1855,FALSE)</f>
        <v>#N/A</v>
      </c>
      <c r="B110" s="1" t="e">
        <f>VLOOKUP(A1,Data!$A$1:$DZU$999999,1856,FALSE)</f>
        <v>#N/A</v>
      </c>
      <c r="C110" s="1" t="e">
        <f>VLOOKUP(A1,Data!$A$1:$DZU$999999,1857,FALSE)</f>
        <v>#N/A</v>
      </c>
      <c r="D110" s="1" t="e">
        <f>VLOOKUP(A1,Data!$A$1:$DZU$999999,1858,FALSE)</f>
        <v>#N/A</v>
      </c>
      <c r="E110" s="1" t="e">
        <f>VLOOKUP(A1,Data!$A$1:$DZU$999999,1859,FALSE)</f>
        <v>#N/A</v>
      </c>
      <c r="F110" s="1" t="e">
        <f>VLOOKUP(A1,Data!$A$1:$DZU$999999,1860,FALSE)</f>
        <v>#N/A</v>
      </c>
      <c r="G110" s="1" t="e">
        <f>VLOOKUP(A1,Data!$A$1:$DZU$999999,1861,FALSE)</f>
        <v>#N/A</v>
      </c>
      <c r="H110" s="1" t="e">
        <f>VLOOKUP(A1,Data!$A$1:$DZU$999999,1862,FALSE)</f>
        <v>#N/A</v>
      </c>
      <c r="I110" s="1" t="e">
        <f>VLOOKUP(A1,Data!$A$1:$DZU$999999,1863,FALSE)</f>
        <v>#N/A</v>
      </c>
      <c r="J110" s="1" t="e">
        <f>VLOOKUP(A1,Data!$A$1:$DZU$999999,1864,FALSE)</f>
        <v>#N/A</v>
      </c>
      <c r="K110" s="1" t="e">
        <f>VLOOKUP(A1,Data!$A$1:$DZU$999999,1865,FALSE)</f>
        <v>#N/A</v>
      </c>
      <c r="L110" s="1" t="e">
        <f>VLOOKUP(A1,Data!$A$1:$DZU$999999,1866,FALSE)</f>
        <v>#N/A</v>
      </c>
      <c r="M110" s="1" t="e">
        <f>VLOOKUP(A1,Data!$A$1:$DZU$999999,1867,FALSE)</f>
        <v>#N/A</v>
      </c>
      <c r="N110" s="1" t="e">
        <f>VLOOKUP(A1,Data!$A$1:$DZU$999999,1868,FALSE)</f>
        <v>#N/A</v>
      </c>
      <c r="O110" s="1" t="e">
        <f>VLOOKUP(A1,Data!$A$1:$DZU$999999,1869,FALSE)</f>
        <v>#N/A</v>
      </c>
      <c r="P110" s="1" t="e">
        <f>VLOOKUP(A1,Data!$A$1:$DZU$999999,1870,FALSE)</f>
        <v>#N/A</v>
      </c>
      <c r="Q110" s="1" t="e">
        <f>VLOOKUP(A1,Data!$A$1:$DZU$999999,1871,FALSE)</f>
        <v>#N/A</v>
      </c>
    </row>
    <row r="111" spans="1:17" x14ac:dyDescent="0.35">
      <c r="A111" s="1" t="e">
        <f>VLOOKUP(A1,Data!$A$1:$DZU$999999,1872,FALSE)</f>
        <v>#N/A</v>
      </c>
      <c r="B111" s="1" t="e">
        <f>VLOOKUP(A1,Data!$A$1:$DZU$999999,1873,FALSE)</f>
        <v>#N/A</v>
      </c>
      <c r="C111" s="1" t="e">
        <f>VLOOKUP(A1,Data!$A$1:$DZU$999999,1874,FALSE)</f>
        <v>#N/A</v>
      </c>
      <c r="D111" s="1" t="e">
        <f>VLOOKUP(A1,Data!$A$1:$DZU$999999,1875,FALSE)</f>
        <v>#N/A</v>
      </c>
      <c r="E111" s="1" t="e">
        <f>VLOOKUP(A1,Data!$A$1:$DZU$999999,1876,FALSE)</f>
        <v>#N/A</v>
      </c>
      <c r="F111" s="1" t="e">
        <f>VLOOKUP(A1,Data!$A$1:$DZU$999999,1877,FALSE)</f>
        <v>#N/A</v>
      </c>
      <c r="G111" s="1" t="e">
        <f>VLOOKUP(A1,Data!$A$1:$DZU$999999,1878,FALSE)</f>
        <v>#N/A</v>
      </c>
      <c r="H111" s="1" t="e">
        <f>VLOOKUP(A1,Data!$A$1:$DZU$999999,1879,FALSE)</f>
        <v>#N/A</v>
      </c>
      <c r="I111" s="1" t="e">
        <f>VLOOKUP(A1,Data!$A$1:$DZU$999999,1880,FALSE)</f>
        <v>#N/A</v>
      </c>
      <c r="J111" s="1" t="e">
        <f>VLOOKUP(A1,Data!$A$1:$DZU$999999,1881,FALSE)</f>
        <v>#N/A</v>
      </c>
      <c r="K111" s="1" t="e">
        <f>VLOOKUP(A1,Data!$A$1:$DZU$999999,1882,FALSE)</f>
        <v>#N/A</v>
      </c>
      <c r="L111" s="1" t="e">
        <f>VLOOKUP(A1,Data!$A$1:$DZU$999999,1883,FALSE)</f>
        <v>#N/A</v>
      </c>
      <c r="M111" s="1" t="e">
        <f>VLOOKUP(A1,Data!$A$1:$DZU$999999,1884,FALSE)</f>
        <v>#N/A</v>
      </c>
      <c r="N111" s="1" t="e">
        <f>VLOOKUP(A1,Data!$A$1:$DZU$999999,1885,FALSE)</f>
        <v>#N/A</v>
      </c>
      <c r="O111" s="1" t="e">
        <f>VLOOKUP(A1,Data!$A$1:$DZU$999999,1886,FALSE)</f>
        <v>#N/A</v>
      </c>
      <c r="P111" s="1" t="e">
        <f>VLOOKUP(A1,Data!$A$1:$DZU$999999,1887,FALSE)</f>
        <v>#N/A</v>
      </c>
      <c r="Q111" s="1" t="e">
        <f>VLOOKUP(A1,Data!$A$1:$DZU$999999,1888,FALSE)</f>
        <v>#N/A</v>
      </c>
    </row>
    <row r="112" spans="1:17" x14ac:dyDescent="0.35">
      <c r="A112" s="1" t="e">
        <f>VLOOKUP(A1,Data!$A$1:$DZU$999999,1889,FALSE)</f>
        <v>#N/A</v>
      </c>
      <c r="B112" s="1" t="e">
        <f>VLOOKUP(A1,Data!$A$1:$DZU$999999,1890,FALSE)</f>
        <v>#N/A</v>
      </c>
      <c r="C112" s="1" t="e">
        <f>VLOOKUP(A1,Data!$A$1:$DZU$999999,1891,FALSE)</f>
        <v>#N/A</v>
      </c>
      <c r="D112" s="1" t="e">
        <f>VLOOKUP(A1,Data!$A$1:$DZU$999999,1892,FALSE)</f>
        <v>#N/A</v>
      </c>
      <c r="E112" s="1" t="e">
        <f>VLOOKUP(A1,Data!$A$1:$DZU$999999,1893,FALSE)</f>
        <v>#N/A</v>
      </c>
      <c r="F112" s="1" t="e">
        <f>VLOOKUP(A1,Data!$A$1:$DZU$999999,1894,FALSE)</f>
        <v>#N/A</v>
      </c>
      <c r="G112" s="1" t="e">
        <f>VLOOKUP(A1,Data!$A$1:$DZU$999999,1895,FALSE)</f>
        <v>#N/A</v>
      </c>
      <c r="H112" s="1" t="e">
        <f>VLOOKUP(A1,Data!$A$1:$DZU$999999,1896,FALSE)</f>
        <v>#N/A</v>
      </c>
      <c r="I112" s="1" t="e">
        <f>VLOOKUP(A1,Data!$A$1:$DZU$999999,1897,FALSE)</f>
        <v>#N/A</v>
      </c>
      <c r="J112" s="1" t="e">
        <f>VLOOKUP(A1,Data!$A$1:$DZU$999999,1898,FALSE)</f>
        <v>#N/A</v>
      </c>
      <c r="K112" s="1" t="e">
        <f>VLOOKUP(A1,Data!$A$1:$DZU$999999,1899,FALSE)</f>
        <v>#N/A</v>
      </c>
      <c r="L112" s="1" t="e">
        <f>VLOOKUP(A1,Data!$A$1:$DZU$999999,1900,FALSE)</f>
        <v>#N/A</v>
      </c>
      <c r="M112" s="1" t="e">
        <f>VLOOKUP(A1,Data!$A$1:$DZU$999999,1901,FALSE)</f>
        <v>#N/A</v>
      </c>
      <c r="N112" s="1" t="e">
        <f>VLOOKUP(A1,Data!$A$1:$DZU$999999,1902,FALSE)</f>
        <v>#N/A</v>
      </c>
      <c r="O112" s="1" t="e">
        <f>VLOOKUP(A1,Data!$A$1:$DZU$999999,1903,FALSE)</f>
        <v>#N/A</v>
      </c>
      <c r="P112" s="1" t="e">
        <f>VLOOKUP(A1,Data!$A$1:$DZU$999999,1904,FALSE)</f>
        <v>#N/A</v>
      </c>
      <c r="Q112" s="1" t="e">
        <f>VLOOKUP(A1,Data!$A$1:$DZU$999999,1905,FALSE)</f>
        <v>#N/A</v>
      </c>
    </row>
    <row r="113" spans="1:17" x14ac:dyDescent="0.35">
      <c r="A113" s="1" t="e">
        <f>VLOOKUP(A1,Data!$A$1:$DZU$999999,1906,FALSE)</f>
        <v>#N/A</v>
      </c>
      <c r="B113" s="1" t="e">
        <f>VLOOKUP(A1,Data!$A$1:$DZU$999999,1907,FALSE)</f>
        <v>#N/A</v>
      </c>
      <c r="C113" s="1" t="e">
        <f>VLOOKUP(A1,Data!$A$1:$DZU$999999,1908,FALSE)</f>
        <v>#N/A</v>
      </c>
      <c r="D113" s="1" t="e">
        <f>VLOOKUP(A1,Data!$A$1:$DZU$999999,1909,FALSE)</f>
        <v>#N/A</v>
      </c>
      <c r="E113" s="1" t="e">
        <f>VLOOKUP(A1,Data!$A$1:$DZU$999999,1910,FALSE)</f>
        <v>#N/A</v>
      </c>
      <c r="F113" s="1" t="e">
        <f>VLOOKUP(A1,Data!$A$1:$DZU$999999,1911,FALSE)</f>
        <v>#N/A</v>
      </c>
      <c r="G113" s="1" t="e">
        <f>VLOOKUP(A1,Data!$A$1:$DZU$999999,1912,FALSE)</f>
        <v>#N/A</v>
      </c>
      <c r="H113" s="1" t="e">
        <f>VLOOKUP(A1,Data!$A$1:$DZU$999999,1913,FALSE)</f>
        <v>#N/A</v>
      </c>
      <c r="I113" s="1" t="e">
        <f>VLOOKUP(A1,Data!$A$1:$DZU$999999,1914,FALSE)</f>
        <v>#N/A</v>
      </c>
      <c r="J113" s="1" t="e">
        <f>VLOOKUP(A1,Data!$A$1:$DZU$999999,1915,FALSE)</f>
        <v>#N/A</v>
      </c>
      <c r="K113" s="1" t="e">
        <f>VLOOKUP(A1,Data!$A$1:$DZU$999999,1916,FALSE)</f>
        <v>#N/A</v>
      </c>
      <c r="L113" s="1" t="e">
        <f>VLOOKUP(A1,Data!$A$1:$DZU$999999,1917,FALSE)</f>
        <v>#N/A</v>
      </c>
      <c r="M113" s="1" t="e">
        <f>VLOOKUP(A1,Data!$A$1:$DZU$999999,1918,FALSE)</f>
        <v>#N/A</v>
      </c>
      <c r="N113" s="1" t="e">
        <f>VLOOKUP(A1,Data!$A$1:$DZU$999999,1919,FALSE)</f>
        <v>#N/A</v>
      </c>
      <c r="O113" s="1" t="e">
        <f>VLOOKUP(A1,Data!$A$1:$DZU$999999,1920,FALSE)</f>
        <v>#N/A</v>
      </c>
      <c r="P113" s="1" t="e">
        <f>VLOOKUP(A1,Data!$A$1:$DZU$999999,1921,FALSE)</f>
        <v>#N/A</v>
      </c>
      <c r="Q113" s="1" t="e">
        <f>VLOOKUP(A1,Data!$A$1:$DZU$999999,1922,FALSE)</f>
        <v>#N/A</v>
      </c>
    </row>
    <row r="114" spans="1:17" x14ac:dyDescent="0.35">
      <c r="A114" s="1" t="e">
        <f>VLOOKUP(A1,Data!$A$1:$DZU$999999,1923,FALSE)</f>
        <v>#N/A</v>
      </c>
      <c r="B114" s="1" t="e">
        <f>VLOOKUP(A1,Data!$A$1:$DZU$999999,1924,FALSE)</f>
        <v>#N/A</v>
      </c>
      <c r="C114" s="1" t="e">
        <f>VLOOKUP(A1,Data!$A$1:$DZU$999999,1925,FALSE)</f>
        <v>#N/A</v>
      </c>
      <c r="D114" s="1" t="e">
        <f>VLOOKUP(A1,Data!$A$1:$DZU$999999,1926,FALSE)</f>
        <v>#N/A</v>
      </c>
      <c r="E114" s="1" t="e">
        <f>VLOOKUP(A1,Data!$A$1:$DZU$999999,1927,FALSE)</f>
        <v>#N/A</v>
      </c>
      <c r="F114" s="1" t="e">
        <f>VLOOKUP(A1,Data!$A$1:$DZU$999999,1928,FALSE)</f>
        <v>#N/A</v>
      </c>
      <c r="G114" s="1" t="e">
        <f>VLOOKUP(A1,Data!$A$1:$DZU$999999,1929,FALSE)</f>
        <v>#N/A</v>
      </c>
      <c r="H114" s="1" t="e">
        <f>VLOOKUP(A1,Data!$A$1:$DZU$999999,1930,FALSE)</f>
        <v>#N/A</v>
      </c>
      <c r="I114" s="1" t="e">
        <f>VLOOKUP(A1,Data!$A$1:$DZU$999999,1931,FALSE)</f>
        <v>#N/A</v>
      </c>
      <c r="J114" s="1" t="e">
        <f>VLOOKUP(A1,Data!$A$1:$DZU$999999,1932,FALSE)</f>
        <v>#N/A</v>
      </c>
      <c r="K114" s="1" t="e">
        <f>VLOOKUP(A1,Data!$A$1:$DZU$999999,1933,FALSE)</f>
        <v>#N/A</v>
      </c>
      <c r="L114" s="1" t="e">
        <f>VLOOKUP(A1,Data!$A$1:$DZU$999999,1934,FALSE)</f>
        <v>#N/A</v>
      </c>
      <c r="M114" s="1" t="e">
        <f>VLOOKUP(A1,Data!$A$1:$DZU$999999,1935,FALSE)</f>
        <v>#N/A</v>
      </c>
      <c r="N114" s="1" t="e">
        <f>VLOOKUP(A1,Data!$A$1:$DZU$999999,1936,FALSE)</f>
        <v>#N/A</v>
      </c>
      <c r="O114" s="1" t="e">
        <f>VLOOKUP(A1,Data!$A$1:$DZU$999999,1937,FALSE)</f>
        <v>#N/A</v>
      </c>
      <c r="P114" s="1" t="e">
        <f>VLOOKUP(A1,Data!$A$1:$DZU$999999,1938,FALSE)</f>
        <v>#N/A</v>
      </c>
      <c r="Q114" s="1" t="e">
        <f>VLOOKUP(A1,Data!$A$1:$DZU$999999,1939,FALSE)</f>
        <v>#N/A</v>
      </c>
    </row>
    <row r="115" spans="1:17" x14ac:dyDescent="0.35">
      <c r="A115" s="1" t="e">
        <f>VLOOKUP(A1,Data!$A$1:$DZU$999999,1940,FALSE)</f>
        <v>#N/A</v>
      </c>
      <c r="B115" s="1" t="e">
        <f>VLOOKUP(A1,Data!$A$1:$DZU$999999,1941,FALSE)</f>
        <v>#N/A</v>
      </c>
      <c r="C115" s="1" t="e">
        <f>VLOOKUP(A1,Data!$A$1:$DZU$999999,1942,FALSE)</f>
        <v>#N/A</v>
      </c>
      <c r="D115" s="1" t="e">
        <f>VLOOKUP(A1,Data!$A$1:$DZU$999999,1943,FALSE)</f>
        <v>#N/A</v>
      </c>
      <c r="E115" s="1" t="e">
        <f>VLOOKUP(A1,Data!$A$1:$DZU$999999,1944,FALSE)</f>
        <v>#N/A</v>
      </c>
      <c r="F115" s="1" t="e">
        <f>VLOOKUP(A1,Data!$A$1:$DZU$999999,1945,FALSE)</f>
        <v>#N/A</v>
      </c>
      <c r="G115" s="1" t="e">
        <f>VLOOKUP(A1,Data!$A$1:$DZU$999999,1946,FALSE)</f>
        <v>#N/A</v>
      </c>
      <c r="H115" s="1" t="e">
        <f>VLOOKUP(A1,Data!$A$1:$DZU$999999,1947,FALSE)</f>
        <v>#N/A</v>
      </c>
      <c r="I115" s="1" t="e">
        <f>VLOOKUP(A1,Data!$A$1:$DZU$999999,1948,FALSE)</f>
        <v>#N/A</v>
      </c>
      <c r="J115" s="1" t="e">
        <f>VLOOKUP(A1,Data!$A$1:$DZU$999999,1949,FALSE)</f>
        <v>#N/A</v>
      </c>
      <c r="K115" s="1" t="e">
        <f>VLOOKUP(A1,Data!$A$1:$DZU$999999,1950,FALSE)</f>
        <v>#N/A</v>
      </c>
      <c r="L115" s="1" t="e">
        <f>VLOOKUP(A1,Data!$A$1:$DZU$999999,1951,FALSE)</f>
        <v>#N/A</v>
      </c>
      <c r="M115" s="1" t="e">
        <f>VLOOKUP(A1,Data!$A$1:$DZU$999999,1952,FALSE)</f>
        <v>#N/A</v>
      </c>
      <c r="N115" s="1" t="e">
        <f>VLOOKUP(A1,Data!$A$1:$DZU$999999,1953,FALSE)</f>
        <v>#N/A</v>
      </c>
      <c r="O115" s="1" t="e">
        <f>VLOOKUP(A1,Data!$A$1:$DZU$999999,1954,FALSE)</f>
        <v>#N/A</v>
      </c>
      <c r="P115" s="1" t="e">
        <f>VLOOKUP(A1,Data!$A$1:$DZU$999999,1955,FALSE)</f>
        <v>#N/A</v>
      </c>
      <c r="Q115" s="1" t="e">
        <f>VLOOKUP(A1,Data!$A$1:$DZU$999999,1956,FALSE)</f>
        <v>#N/A</v>
      </c>
    </row>
    <row r="116" spans="1:17" x14ac:dyDescent="0.35">
      <c r="A116" s="1" t="e">
        <f>VLOOKUP(A1,Data!$A$1:$DZU$999999,1957,FALSE)</f>
        <v>#N/A</v>
      </c>
      <c r="B116" s="1" t="e">
        <f>VLOOKUP(A1,Data!$A$1:$DZU$999999,1958,FALSE)</f>
        <v>#N/A</v>
      </c>
      <c r="C116" s="1" t="e">
        <f>VLOOKUP(A1,Data!$A$1:$DZU$999999,1959,FALSE)</f>
        <v>#N/A</v>
      </c>
      <c r="D116" s="1" t="e">
        <f>VLOOKUP(A1,Data!$A$1:$DZU$999999,1960,FALSE)</f>
        <v>#N/A</v>
      </c>
      <c r="E116" s="1" t="e">
        <f>VLOOKUP(A1,Data!$A$1:$DZU$999999,1961,FALSE)</f>
        <v>#N/A</v>
      </c>
      <c r="F116" s="1" t="e">
        <f>VLOOKUP(A1,Data!$A$1:$DZU$999999,1962,FALSE)</f>
        <v>#N/A</v>
      </c>
      <c r="G116" s="1" t="e">
        <f>VLOOKUP(A1,Data!$A$1:$DZU$999999,1963,FALSE)</f>
        <v>#N/A</v>
      </c>
      <c r="H116" s="1" t="e">
        <f>VLOOKUP(A1,Data!$A$1:$DZU$999999,1964,FALSE)</f>
        <v>#N/A</v>
      </c>
      <c r="I116" s="1" t="e">
        <f>VLOOKUP(A1,Data!$A$1:$DZU$999999,1965,FALSE)</f>
        <v>#N/A</v>
      </c>
      <c r="J116" s="1" t="e">
        <f>VLOOKUP(A1,Data!$A$1:$DZU$999999,1966,FALSE)</f>
        <v>#N/A</v>
      </c>
      <c r="K116" s="1" t="e">
        <f>VLOOKUP(A1,Data!$A$1:$DZU$999999,1967,FALSE)</f>
        <v>#N/A</v>
      </c>
      <c r="L116" s="1" t="e">
        <f>VLOOKUP(A1,Data!$A$1:$DZU$999999,1968,FALSE)</f>
        <v>#N/A</v>
      </c>
      <c r="M116" s="1" t="e">
        <f>VLOOKUP(A1,Data!$A$1:$DZU$999999,1969,FALSE)</f>
        <v>#N/A</v>
      </c>
      <c r="N116" s="1" t="e">
        <f>VLOOKUP(A1,Data!$A$1:$DZU$999999,1970,FALSE)</f>
        <v>#N/A</v>
      </c>
      <c r="O116" s="1" t="e">
        <f>VLOOKUP(A1,Data!$A$1:$DZU$999999,1971,FALSE)</f>
        <v>#N/A</v>
      </c>
      <c r="P116" s="1" t="e">
        <f>VLOOKUP(A1,Data!$A$1:$DZU$999999,1972,FALSE)</f>
        <v>#N/A</v>
      </c>
      <c r="Q116" s="1" t="e">
        <f>VLOOKUP(A1,Data!$A$1:$DZU$999999,1973,FALSE)</f>
        <v>#N/A</v>
      </c>
    </row>
    <row r="117" spans="1:17" x14ac:dyDescent="0.35">
      <c r="A117" s="1" t="e">
        <f>VLOOKUP(A1,Data!$A$1:$DZU$999999,1974,FALSE)</f>
        <v>#N/A</v>
      </c>
      <c r="B117" s="1" t="e">
        <f>VLOOKUP(A1,Data!$A$1:$DZU$999999,1975,FALSE)</f>
        <v>#N/A</v>
      </c>
      <c r="C117" s="1" t="e">
        <f>VLOOKUP(A1,Data!$A$1:$DZU$999999,1976,FALSE)</f>
        <v>#N/A</v>
      </c>
      <c r="D117" s="1" t="e">
        <f>VLOOKUP(A1,Data!$A$1:$DZU$999999,1977,FALSE)</f>
        <v>#N/A</v>
      </c>
      <c r="E117" s="1" t="e">
        <f>VLOOKUP(A1,Data!$A$1:$DZU$999999,1978,FALSE)</f>
        <v>#N/A</v>
      </c>
      <c r="F117" s="1" t="e">
        <f>VLOOKUP(A1,Data!$A$1:$DZU$999999,1979,FALSE)</f>
        <v>#N/A</v>
      </c>
      <c r="G117" s="1" t="e">
        <f>VLOOKUP(A1,Data!$A$1:$DZU$999999,1980,FALSE)</f>
        <v>#N/A</v>
      </c>
      <c r="H117" s="1" t="e">
        <f>VLOOKUP(A1,Data!$A$1:$DZU$999999,1981,FALSE)</f>
        <v>#N/A</v>
      </c>
      <c r="I117" s="1" t="e">
        <f>VLOOKUP(A1,Data!$A$1:$DZU$999999,1982,FALSE)</f>
        <v>#N/A</v>
      </c>
      <c r="J117" s="1" t="e">
        <f>VLOOKUP(A1,Data!$A$1:$DZU$999999,1983,FALSE)</f>
        <v>#N/A</v>
      </c>
      <c r="K117" s="1" t="e">
        <f>VLOOKUP(A1,Data!$A$1:$DZU$999999,1984,FALSE)</f>
        <v>#N/A</v>
      </c>
      <c r="L117" s="1" t="e">
        <f>VLOOKUP(A1,Data!$A$1:$DZU$999999,1985,FALSE)</f>
        <v>#N/A</v>
      </c>
      <c r="M117" s="1" t="e">
        <f>VLOOKUP(A1,Data!$A$1:$DZU$999999,1986,FALSE)</f>
        <v>#N/A</v>
      </c>
      <c r="N117" s="1" t="e">
        <f>VLOOKUP(A1,Data!$A$1:$DZU$999999,1987,FALSE)</f>
        <v>#N/A</v>
      </c>
      <c r="O117" s="1" t="e">
        <f>VLOOKUP(A1,Data!$A$1:$DZU$999999,1988,FALSE)</f>
        <v>#N/A</v>
      </c>
      <c r="P117" s="1" t="e">
        <f>VLOOKUP(A1,Data!$A$1:$DZU$999999,1989,FALSE)</f>
        <v>#N/A</v>
      </c>
      <c r="Q117" s="1" t="e">
        <f>VLOOKUP(A1,Data!$A$1:$DZU$999999,1990,FALSE)</f>
        <v>#N/A</v>
      </c>
    </row>
    <row r="118" spans="1:17" x14ac:dyDescent="0.35">
      <c r="A118" s="1" t="e">
        <f>VLOOKUP(A1,Data!$A$1:$DZU$999999,1991,FALSE)</f>
        <v>#N/A</v>
      </c>
      <c r="B118" s="1" t="e">
        <f>VLOOKUP(A1,Data!$A$1:$DZU$999999,1992,FALSE)</f>
        <v>#N/A</v>
      </c>
      <c r="C118" s="1" t="e">
        <f>VLOOKUP(A1,Data!$A$1:$DZU$999999,1993,FALSE)</f>
        <v>#N/A</v>
      </c>
      <c r="D118" s="1" t="e">
        <f>VLOOKUP(A1,Data!$A$1:$DZU$999999,1994,FALSE)</f>
        <v>#N/A</v>
      </c>
      <c r="E118" s="1" t="e">
        <f>VLOOKUP(A1,Data!$A$1:$DZU$999999,1995,FALSE)</f>
        <v>#N/A</v>
      </c>
      <c r="F118" s="1" t="e">
        <f>VLOOKUP(A1,Data!$A$1:$DZU$999999,1996,FALSE)</f>
        <v>#N/A</v>
      </c>
      <c r="G118" s="1" t="e">
        <f>VLOOKUP(A1,Data!$A$1:$DZU$999999,1997,FALSE)</f>
        <v>#N/A</v>
      </c>
      <c r="H118" s="1" t="e">
        <f>VLOOKUP(A1,Data!$A$1:$DZU$999999,1998,FALSE)</f>
        <v>#N/A</v>
      </c>
      <c r="I118" s="1" t="e">
        <f>VLOOKUP(A1,Data!$A$1:$DZU$999999,1999,FALSE)</f>
        <v>#N/A</v>
      </c>
      <c r="J118" s="1" t="e">
        <f>VLOOKUP(A1,Data!$A$1:$DZU$999999,2000,FALSE)</f>
        <v>#N/A</v>
      </c>
      <c r="K118" s="1" t="e">
        <f>VLOOKUP(A1,Data!$A$1:$DZU$999999,2001,FALSE)</f>
        <v>#N/A</v>
      </c>
      <c r="L118" s="1" t="e">
        <f>VLOOKUP(A1,Data!$A$1:$DZU$999999,2002,FALSE)</f>
        <v>#N/A</v>
      </c>
      <c r="M118" s="1" t="e">
        <f>VLOOKUP(A1,Data!$A$1:$DZU$999999,2003,FALSE)</f>
        <v>#N/A</v>
      </c>
      <c r="N118" s="1" t="e">
        <f>VLOOKUP(A1,Data!$A$1:$DZU$999999,2004,FALSE)</f>
        <v>#N/A</v>
      </c>
      <c r="O118" s="1" t="e">
        <f>VLOOKUP(A1,Data!$A$1:$DZU$999999,2005,FALSE)</f>
        <v>#N/A</v>
      </c>
      <c r="P118" s="1" t="e">
        <f>VLOOKUP(A1,Data!$A$1:$DZU$999999,2006,FALSE)</f>
        <v>#N/A</v>
      </c>
      <c r="Q118" s="1" t="e">
        <f>VLOOKUP(A1,Data!$A$1:$DZU$999999,2007,FALSE)</f>
        <v>#N/A</v>
      </c>
    </row>
    <row r="119" spans="1:17" x14ac:dyDescent="0.35">
      <c r="A119" s="1" t="e">
        <f>VLOOKUP(A1,Data!$A$1:$DZU$999999,2008,FALSE)</f>
        <v>#N/A</v>
      </c>
      <c r="B119" s="1" t="e">
        <f>VLOOKUP(A1,Data!$A$1:$DZU$999999,2009,FALSE)</f>
        <v>#N/A</v>
      </c>
      <c r="C119" s="1" t="e">
        <f>VLOOKUP(A1,Data!$A$1:$DZU$999999,2010,FALSE)</f>
        <v>#N/A</v>
      </c>
      <c r="D119" s="1" t="e">
        <f>VLOOKUP(A1,Data!$A$1:$DZU$999999,2011,FALSE)</f>
        <v>#N/A</v>
      </c>
      <c r="E119" s="1" t="e">
        <f>VLOOKUP(A1,Data!$A$1:$DZU$999999,2012,FALSE)</f>
        <v>#N/A</v>
      </c>
      <c r="F119" s="1" t="e">
        <f>VLOOKUP(A1,Data!$A$1:$DZU$999999,2013,FALSE)</f>
        <v>#N/A</v>
      </c>
      <c r="G119" s="1" t="e">
        <f>VLOOKUP(A1,Data!$A$1:$DZU$999999,2014,FALSE)</f>
        <v>#N/A</v>
      </c>
      <c r="H119" s="1" t="e">
        <f>VLOOKUP(A1,Data!$A$1:$DZU$999999,2015,FALSE)</f>
        <v>#N/A</v>
      </c>
      <c r="I119" s="1" t="e">
        <f>VLOOKUP(A1,Data!$A$1:$DZU$999999,2016,FALSE)</f>
        <v>#N/A</v>
      </c>
      <c r="J119" s="1" t="e">
        <f>VLOOKUP(A1,Data!$A$1:$DZU$999999,2017,FALSE)</f>
        <v>#N/A</v>
      </c>
      <c r="K119" s="1" t="e">
        <f>VLOOKUP(A1,Data!$A$1:$DZU$999999,2018,FALSE)</f>
        <v>#N/A</v>
      </c>
      <c r="L119" s="1" t="e">
        <f>VLOOKUP(A1,Data!$A$1:$DZU$999999,2019,FALSE)</f>
        <v>#N/A</v>
      </c>
      <c r="M119" s="1" t="e">
        <f>VLOOKUP(A1,Data!$A$1:$DZU$999999,2020,FALSE)</f>
        <v>#N/A</v>
      </c>
      <c r="N119" s="1" t="e">
        <f>VLOOKUP(A1,Data!$A$1:$DZU$999999,2021,FALSE)</f>
        <v>#N/A</v>
      </c>
      <c r="O119" s="1" t="e">
        <f>VLOOKUP(A1,Data!$A$1:$DZU$999999,2022,FALSE)</f>
        <v>#N/A</v>
      </c>
      <c r="P119" s="1" t="e">
        <f>VLOOKUP(A1,Data!$A$1:$DZU$999999,2023,FALSE)</f>
        <v>#N/A</v>
      </c>
      <c r="Q119" s="1" t="e">
        <f>VLOOKUP(A1,Data!$A$1:$DZU$999999,2024,FALSE)</f>
        <v>#N/A</v>
      </c>
    </row>
    <row r="120" spans="1:17" x14ac:dyDescent="0.35">
      <c r="A120" s="1" t="e">
        <f>VLOOKUP(A1,Data!$A$1:$DZU$999999,2025,FALSE)</f>
        <v>#N/A</v>
      </c>
      <c r="B120" s="1" t="e">
        <f>VLOOKUP(A1,Data!$A$1:$DZU$999999,2026,FALSE)</f>
        <v>#N/A</v>
      </c>
      <c r="C120" s="1" t="e">
        <f>VLOOKUP(A1,Data!$A$1:$DZU$999999,2027,FALSE)</f>
        <v>#N/A</v>
      </c>
      <c r="D120" s="1" t="e">
        <f>VLOOKUP(A1,Data!$A$1:$DZU$999999,2028,FALSE)</f>
        <v>#N/A</v>
      </c>
      <c r="E120" s="1" t="e">
        <f>VLOOKUP(A1,Data!$A$1:$DZU$999999,2029,FALSE)</f>
        <v>#N/A</v>
      </c>
      <c r="F120" s="1" t="e">
        <f>VLOOKUP(A1,Data!$A$1:$DZU$999999,2030,FALSE)</f>
        <v>#N/A</v>
      </c>
      <c r="G120" s="1" t="e">
        <f>VLOOKUP(A1,Data!$A$1:$DZU$999999,2031,FALSE)</f>
        <v>#N/A</v>
      </c>
      <c r="H120" s="1" t="e">
        <f>VLOOKUP(A1,Data!$A$1:$DZU$999999,2032,FALSE)</f>
        <v>#N/A</v>
      </c>
      <c r="I120" s="1" t="e">
        <f>VLOOKUP(A1,Data!$A$1:$DZU$999999,2033,FALSE)</f>
        <v>#N/A</v>
      </c>
      <c r="J120" s="1" t="e">
        <f>VLOOKUP(A1,Data!$A$1:$DZU$999999,2034,FALSE)</f>
        <v>#N/A</v>
      </c>
      <c r="K120" s="1" t="e">
        <f>VLOOKUP(A1,Data!$A$1:$DZU$999999,2035,FALSE)</f>
        <v>#N/A</v>
      </c>
      <c r="L120" s="1" t="e">
        <f>VLOOKUP(A1,Data!$A$1:$DZU$999999,2036,FALSE)</f>
        <v>#N/A</v>
      </c>
      <c r="M120" s="1" t="e">
        <f>VLOOKUP(A1,Data!$A$1:$DZU$999999,2037,FALSE)</f>
        <v>#N/A</v>
      </c>
      <c r="N120" s="1" t="e">
        <f>VLOOKUP(A1,Data!$A$1:$DZU$999999,2038,FALSE)</f>
        <v>#N/A</v>
      </c>
      <c r="O120" s="1" t="e">
        <f>VLOOKUP(A1,Data!$A$1:$DZU$999999,2039,FALSE)</f>
        <v>#N/A</v>
      </c>
      <c r="P120" s="1" t="e">
        <f>VLOOKUP(A1,Data!$A$1:$DZU$999999,2040,FALSE)</f>
        <v>#N/A</v>
      </c>
      <c r="Q120" s="1" t="e">
        <f>VLOOKUP(A1,Data!$A$1:$DZU$999999,2041,FALSE)</f>
        <v>#N/A</v>
      </c>
    </row>
    <row r="121" spans="1:17" x14ac:dyDescent="0.35">
      <c r="A121" s="1" t="e">
        <f>VLOOKUP(A1,Data!$A$1:$DZU$999999,2042,FALSE)</f>
        <v>#N/A</v>
      </c>
      <c r="B121" s="1" t="e">
        <f>VLOOKUP(A1,Data!$A$1:$DZU$999999,2043,FALSE)</f>
        <v>#N/A</v>
      </c>
      <c r="C121" s="1" t="e">
        <f>VLOOKUP(A1,Data!$A$1:$DZU$999999,2044,FALSE)</f>
        <v>#N/A</v>
      </c>
      <c r="D121" s="1" t="e">
        <f>VLOOKUP(A1,Data!$A$1:$DZU$999999,2045,FALSE)</f>
        <v>#N/A</v>
      </c>
      <c r="E121" s="1" t="e">
        <f>VLOOKUP(A1,Data!$A$1:$DZU$999999,2046,FALSE)</f>
        <v>#N/A</v>
      </c>
      <c r="F121" s="1" t="e">
        <f>VLOOKUP(A1,Data!$A$1:$DZU$999999,2047,FALSE)</f>
        <v>#N/A</v>
      </c>
      <c r="G121" s="1" t="e">
        <f>VLOOKUP(A1,Data!$A$1:$DZU$999999,2048,FALSE)</f>
        <v>#N/A</v>
      </c>
      <c r="H121" s="1" t="e">
        <f>VLOOKUP(A1,Data!$A$1:$DZU$999999,2049,FALSE)</f>
        <v>#N/A</v>
      </c>
      <c r="I121" s="1" t="e">
        <f>VLOOKUP(A1,Data!$A$1:$DZU$999999,2050,FALSE)</f>
        <v>#N/A</v>
      </c>
      <c r="J121" s="1" t="e">
        <f>VLOOKUP(A1,Data!$A$1:$DZU$999999,2051,FALSE)</f>
        <v>#N/A</v>
      </c>
      <c r="K121" s="1" t="e">
        <f>VLOOKUP(A1,Data!$A$1:$DZU$999999,2052,FALSE)</f>
        <v>#N/A</v>
      </c>
      <c r="L121" s="1" t="e">
        <f>VLOOKUP(A1,Data!$A$1:$DZU$999999,2053,FALSE)</f>
        <v>#N/A</v>
      </c>
      <c r="M121" s="1" t="e">
        <f>VLOOKUP(A1,Data!$A$1:$DZU$999999,2054,FALSE)</f>
        <v>#N/A</v>
      </c>
      <c r="N121" s="1" t="e">
        <f>VLOOKUP(A1,Data!$A$1:$DZU$999999,2055,FALSE)</f>
        <v>#N/A</v>
      </c>
      <c r="O121" s="1" t="e">
        <f>VLOOKUP(A1,Data!$A$1:$DZU$999999,2056,FALSE)</f>
        <v>#N/A</v>
      </c>
      <c r="P121" s="1" t="e">
        <f>VLOOKUP(A1,Data!$A$1:$DZU$999999,2057,FALSE)</f>
        <v>#N/A</v>
      </c>
      <c r="Q121" s="1" t="e">
        <f>VLOOKUP(A1,Data!$A$1:$DZU$999999,2058,FALSE)</f>
        <v>#N/A</v>
      </c>
    </row>
    <row r="122" spans="1:17" x14ac:dyDescent="0.35">
      <c r="A122" s="1" t="e">
        <f>VLOOKUP(A1,Data!$A$1:$DZU$999999,2059,FALSE)</f>
        <v>#N/A</v>
      </c>
      <c r="B122" s="1" t="e">
        <f>VLOOKUP(A1,Data!$A$1:$DZU$999999,2060,FALSE)</f>
        <v>#N/A</v>
      </c>
      <c r="C122" s="1" t="e">
        <f>VLOOKUP(A1,Data!$A$1:$DZU$999999,2061,FALSE)</f>
        <v>#N/A</v>
      </c>
      <c r="D122" s="1" t="e">
        <f>VLOOKUP(A1,Data!$A$1:$DZU$999999,2062,FALSE)</f>
        <v>#N/A</v>
      </c>
      <c r="E122" s="1" t="e">
        <f>VLOOKUP(A1,Data!$A$1:$DZU$999999,2063,FALSE)</f>
        <v>#N/A</v>
      </c>
      <c r="F122" s="1" t="e">
        <f>VLOOKUP(A1,Data!$A$1:$DZU$999999,2064,FALSE)</f>
        <v>#N/A</v>
      </c>
      <c r="G122" s="1" t="e">
        <f>VLOOKUP(A1,Data!$A$1:$DZU$999999,2065,FALSE)</f>
        <v>#N/A</v>
      </c>
      <c r="H122" s="1" t="e">
        <f>VLOOKUP(A1,Data!$A$1:$DZU$999999,2066,FALSE)</f>
        <v>#N/A</v>
      </c>
      <c r="I122" s="1" t="e">
        <f>VLOOKUP(A1,Data!$A$1:$DZU$999999,2067,FALSE)</f>
        <v>#N/A</v>
      </c>
      <c r="J122" s="1" t="e">
        <f>VLOOKUP(A1,Data!$A$1:$DZU$999999,2068,FALSE)</f>
        <v>#N/A</v>
      </c>
      <c r="K122" s="1" t="e">
        <f>VLOOKUP(A1,Data!$A$1:$DZU$999999,2069,FALSE)</f>
        <v>#N/A</v>
      </c>
      <c r="L122" s="1" t="e">
        <f>VLOOKUP(A1,Data!$A$1:$DZU$999999,2070,FALSE)</f>
        <v>#N/A</v>
      </c>
      <c r="M122" s="1" t="e">
        <f>VLOOKUP(A1,Data!$A$1:$DZU$999999,2071,FALSE)</f>
        <v>#N/A</v>
      </c>
      <c r="N122" s="1" t="e">
        <f>VLOOKUP(A1,Data!$A$1:$DZU$999999,2072,FALSE)</f>
        <v>#N/A</v>
      </c>
      <c r="O122" s="1" t="e">
        <f>VLOOKUP(A1,Data!$A$1:$DZU$999999,2073,FALSE)</f>
        <v>#N/A</v>
      </c>
      <c r="P122" s="1" t="e">
        <f>VLOOKUP(A1,Data!$A$1:$DZU$999999,2074,FALSE)</f>
        <v>#N/A</v>
      </c>
      <c r="Q122" s="1" t="e">
        <f>VLOOKUP(A1,Data!$A$1:$DZU$999999,2075,FALSE)</f>
        <v>#N/A</v>
      </c>
    </row>
    <row r="123" spans="1:17" x14ac:dyDescent="0.35">
      <c r="A123" s="1" t="e">
        <f>VLOOKUP(A1,Data!$A$1:$DZU$999999,2076,FALSE)</f>
        <v>#N/A</v>
      </c>
      <c r="B123" s="1" t="e">
        <f>VLOOKUP(A1,Data!$A$1:$DZU$999999,2077,FALSE)</f>
        <v>#N/A</v>
      </c>
      <c r="C123" s="1" t="e">
        <f>VLOOKUP(A1,Data!$A$1:$DZU$999999,2078,FALSE)</f>
        <v>#N/A</v>
      </c>
      <c r="D123" s="1" t="e">
        <f>VLOOKUP(A1,Data!$A$1:$DZU$999999,2079,FALSE)</f>
        <v>#N/A</v>
      </c>
      <c r="E123" s="1" t="e">
        <f>VLOOKUP(A1,Data!$A$1:$DZU$999999,2080,FALSE)</f>
        <v>#N/A</v>
      </c>
      <c r="F123" s="1" t="e">
        <f>VLOOKUP(A1,Data!$A$1:$DZU$999999,2081,FALSE)</f>
        <v>#N/A</v>
      </c>
      <c r="G123" s="1" t="e">
        <f>VLOOKUP(A1,Data!$A$1:$DZU$999999,2082,FALSE)</f>
        <v>#N/A</v>
      </c>
      <c r="H123" s="1" t="e">
        <f>VLOOKUP(A1,Data!$A$1:$DZU$999999,2083,FALSE)</f>
        <v>#N/A</v>
      </c>
      <c r="I123" s="1" t="e">
        <f>VLOOKUP(A1,Data!$A$1:$DZU$999999,2084,FALSE)</f>
        <v>#N/A</v>
      </c>
      <c r="J123" s="1" t="e">
        <f>VLOOKUP(A1,Data!$A$1:$DZU$999999,2085,FALSE)</f>
        <v>#N/A</v>
      </c>
      <c r="K123" s="1" t="e">
        <f>VLOOKUP(A1,Data!$A$1:$DZU$999999,2086,FALSE)</f>
        <v>#N/A</v>
      </c>
      <c r="L123" s="1" t="e">
        <f>VLOOKUP(A1,Data!$A$1:$DZU$999999,2087,FALSE)</f>
        <v>#N/A</v>
      </c>
      <c r="M123" s="1" t="e">
        <f>VLOOKUP(A1,Data!$A$1:$DZU$999999,2088,FALSE)</f>
        <v>#N/A</v>
      </c>
      <c r="N123" s="1" t="e">
        <f>VLOOKUP(A1,Data!$A$1:$DZU$999999,2089,FALSE)</f>
        <v>#N/A</v>
      </c>
      <c r="O123" s="1" t="e">
        <f>VLOOKUP(A1,Data!$A$1:$DZU$999999,2090,FALSE)</f>
        <v>#N/A</v>
      </c>
      <c r="P123" s="1" t="e">
        <f>VLOOKUP(A1,Data!$A$1:$DZU$999999,2091,FALSE)</f>
        <v>#N/A</v>
      </c>
      <c r="Q123" s="1" t="e">
        <f>VLOOKUP(A1,Data!$A$1:$DZU$999999,2092,FALSE)</f>
        <v>#N/A</v>
      </c>
    </row>
    <row r="124" spans="1:17" x14ac:dyDescent="0.35">
      <c r="A124" s="1" t="e">
        <f>VLOOKUP(A1,Data!$A$1:$DZU$999999,2093,FALSE)</f>
        <v>#N/A</v>
      </c>
      <c r="B124" s="1" t="e">
        <f>VLOOKUP(A1,Data!$A$1:$DZU$999999,2094,FALSE)</f>
        <v>#N/A</v>
      </c>
      <c r="C124" s="1" t="e">
        <f>VLOOKUP(A1,Data!$A$1:$DZU$999999,2095,FALSE)</f>
        <v>#N/A</v>
      </c>
      <c r="D124" s="1" t="e">
        <f>VLOOKUP(A1,Data!$A$1:$DZU$999999,2096,FALSE)</f>
        <v>#N/A</v>
      </c>
      <c r="E124" s="1" t="e">
        <f>VLOOKUP(A1,Data!$A$1:$DZU$999999,2097,FALSE)</f>
        <v>#N/A</v>
      </c>
      <c r="F124" s="1" t="e">
        <f>VLOOKUP(A1,Data!$A$1:$DZU$999999,2098,FALSE)</f>
        <v>#N/A</v>
      </c>
      <c r="G124" s="1" t="e">
        <f>VLOOKUP(A1,Data!$A$1:$DZU$999999,2099,FALSE)</f>
        <v>#N/A</v>
      </c>
      <c r="H124" s="1" t="e">
        <f>VLOOKUP(A1,Data!$A$1:$DZU$999999,2100,FALSE)</f>
        <v>#N/A</v>
      </c>
      <c r="I124" s="1" t="e">
        <f>VLOOKUP(A1,Data!$A$1:$DZU$999999,2101,FALSE)</f>
        <v>#N/A</v>
      </c>
      <c r="J124" s="1" t="e">
        <f>VLOOKUP(A1,Data!$A$1:$DZU$999999,2102,FALSE)</f>
        <v>#N/A</v>
      </c>
      <c r="K124" s="1" t="e">
        <f>VLOOKUP(A1,Data!$A$1:$DZU$999999,2103,FALSE)</f>
        <v>#N/A</v>
      </c>
      <c r="L124" s="1" t="e">
        <f>VLOOKUP(A1,Data!$A$1:$DZU$999999,2104,FALSE)</f>
        <v>#N/A</v>
      </c>
      <c r="M124" s="1" t="e">
        <f>VLOOKUP(A1,Data!$A$1:$DZU$999999,2105,FALSE)</f>
        <v>#N/A</v>
      </c>
      <c r="N124" s="1" t="e">
        <f>VLOOKUP(A1,Data!$A$1:$DZU$999999,2106,FALSE)</f>
        <v>#N/A</v>
      </c>
      <c r="O124" s="1" t="e">
        <f>VLOOKUP(A1,Data!$A$1:$DZU$999999,2107,FALSE)</f>
        <v>#N/A</v>
      </c>
      <c r="P124" s="1" t="e">
        <f>VLOOKUP(A1,Data!$A$1:$DZU$999999,2108,FALSE)</f>
        <v>#N/A</v>
      </c>
      <c r="Q124" s="1" t="e">
        <f>VLOOKUP(A1,Data!$A$1:$DZU$999999,2109,FALSE)</f>
        <v>#N/A</v>
      </c>
    </row>
    <row r="125" spans="1:17" x14ac:dyDescent="0.35">
      <c r="A125" s="1" t="e">
        <f>VLOOKUP(A1,Data!$A$1:$DZU$999999,2110,FALSE)</f>
        <v>#N/A</v>
      </c>
      <c r="B125" s="1" t="e">
        <f>VLOOKUP(A1,Data!$A$1:$DZU$999999,2111,FALSE)</f>
        <v>#N/A</v>
      </c>
      <c r="C125" s="1" t="e">
        <f>VLOOKUP(A1,Data!$A$1:$DZU$999999,2112,FALSE)</f>
        <v>#N/A</v>
      </c>
      <c r="D125" s="1" t="e">
        <f>VLOOKUP(A1,Data!$A$1:$DZU$999999,2113,FALSE)</f>
        <v>#N/A</v>
      </c>
      <c r="E125" s="1" t="e">
        <f>VLOOKUP(A1,Data!$A$1:$DZU$999999,2114,FALSE)</f>
        <v>#N/A</v>
      </c>
      <c r="F125" s="1" t="e">
        <f>VLOOKUP(A1,Data!$A$1:$DZU$999999,2115,FALSE)</f>
        <v>#N/A</v>
      </c>
      <c r="G125" s="1" t="e">
        <f>VLOOKUP(A1,Data!$A$1:$DZU$999999,2116,FALSE)</f>
        <v>#N/A</v>
      </c>
      <c r="H125" s="1" t="e">
        <f>VLOOKUP(A1,Data!$A$1:$DZU$999999,2117,FALSE)</f>
        <v>#N/A</v>
      </c>
      <c r="I125" s="1" t="e">
        <f>VLOOKUP(A1,Data!$A$1:$DZU$999999,2118,FALSE)</f>
        <v>#N/A</v>
      </c>
      <c r="J125" s="1" t="e">
        <f>VLOOKUP(A1,Data!$A$1:$DZU$999999,2119,FALSE)</f>
        <v>#N/A</v>
      </c>
      <c r="K125" s="1" t="e">
        <f>VLOOKUP(A1,Data!$A$1:$DZU$999999,2120,FALSE)</f>
        <v>#N/A</v>
      </c>
      <c r="L125" s="1" t="e">
        <f>VLOOKUP(A1,Data!$A$1:$DZU$999999,2121,FALSE)</f>
        <v>#N/A</v>
      </c>
      <c r="M125" s="1" t="e">
        <f>VLOOKUP(A1,Data!$A$1:$DZU$999999,2122,FALSE)</f>
        <v>#N/A</v>
      </c>
      <c r="N125" s="1" t="e">
        <f>VLOOKUP(A1,Data!$A$1:$DZU$999999,2123,FALSE)</f>
        <v>#N/A</v>
      </c>
      <c r="O125" s="1" t="e">
        <f>VLOOKUP(A1,Data!$A$1:$DZU$999999,2124,FALSE)</f>
        <v>#N/A</v>
      </c>
      <c r="P125" s="1" t="e">
        <f>VLOOKUP(A1,Data!$A$1:$DZU$999999,2125,FALSE)</f>
        <v>#N/A</v>
      </c>
      <c r="Q125" s="1" t="e">
        <f>VLOOKUP(A1,Data!$A$1:$DZU$999999,2126,FALSE)</f>
        <v>#N/A</v>
      </c>
    </row>
    <row r="126" spans="1:17" x14ac:dyDescent="0.35">
      <c r="A126" s="1" t="e">
        <f>VLOOKUP(A1,Data!$A$1:$DZU$999999,2127,FALSE)</f>
        <v>#N/A</v>
      </c>
      <c r="B126" s="1" t="e">
        <f>VLOOKUP(A1,Data!$A$1:$DZU$999999,2128,FALSE)</f>
        <v>#N/A</v>
      </c>
      <c r="C126" s="1" t="e">
        <f>VLOOKUP(A1,Data!$A$1:$DZU$999999,2129,FALSE)</f>
        <v>#N/A</v>
      </c>
      <c r="D126" s="1" t="e">
        <f>VLOOKUP(A1,Data!$A$1:$DZU$999999,2130,FALSE)</f>
        <v>#N/A</v>
      </c>
      <c r="E126" s="1" t="e">
        <f>VLOOKUP(A1,Data!$A$1:$DZU$999999,2131,FALSE)</f>
        <v>#N/A</v>
      </c>
      <c r="F126" s="1" t="e">
        <f>VLOOKUP(A1,Data!$A$1:$DZU$999999,2132,FALSE)</f>
        <v>#N/A</v>
      </c>
      <c r="G126" s="1" t="e">
        <f>VLOOKUP(A1,Data!$A$1:$DZU$999999,2133,FALSE)</f>
        <v>#N/A</v>
      </c>
      <c r="H126" s="1" t="e">
        <f>VLOOKUP(A1,Data!$A$1:$DZU$999999,2134,FALSE)</f>
        <v>#N/A</v>
      </c>
      <c r="I126" s="1" t="e">
        <f>VLOOKUP(A1,Data!$A$1:$DZU$999999,2135,FALSE)</f>
        <v>#N/A</v>
      </c>
      <c r="J126" s="1" t="e">
        <f>VLOOKUP(A1,Data!$A$1:$DZU$999999,2136,FALSE)</f>
        <v>#N/A</v>
      </c>
      <c r="K126" s="1" t="e">
        <f>VLOOKUP(A1,Data!$A$1:$DZU$999999,2137,FALSE)</f>
        <v>#N/A</v>
      </c>
      <c r="L126" s="1" t="e">
        <f>VLOOKUP(A1,Data!$A$1:$DZU$999999,2138,FALSE)</f>
        <v>#N/A</v>
      </c>
      <c r="M126" s="1" t="e">
        <f>VLOOKUP(A1,Data!$A$1:$DZU$999999,2139,FALSE)</f>
        <v>#N/A</v>
      </c>
      <c r="N126" s="1" t="e">
        <f>VLOOKUP(A1,Data!$A$1:$DZU$999999,2140,FALSE)</f>
        <v>#N/A</v>
      </c>
      <c r="O126" s="1" t="e">
        <f>VLOOKUP(A1,Data!$A$1:$DZU$999999,2141,FALSE)</f>
        <v>#N/A</v>
      </c>
      <c r="P126" s="1" t="e">
        <f>VLOOKUP(A1,Data!$A$1:$DZU$999999,2142,FALSE)</f>
        <v>#N/A</v>
      </c>
      <c r="Q126" s="1" t="e">
        <f>VLOOKUP(A1,Data!$A$1:$DZU$999999,2143,FALSE)</f>
        <v>#N/A</v>
      </c>
    </row>
    <row r="127" spans="1:17" x14ac:dyDescent="0.35">
      <c r="A127" s="1" t="e">
        <f>VLOOKUP(A1,Data!$A$1:$DZU$999999,2144,FALSE)</f>
        <v>#N/A</v>
      </c>
      <c r="B127" s="1" t="e">
        <f>VLOOKUP(A1,Data!$A$1:$DZU$999999,2145,FALSE)</f>
        <v>#N/A</v>
      </c>
      <c r="C127" s="1" t="e">
        <f>VLOOKUP(A1,Data!$A$1:$DZU$999999,2146,FALSE)</f>
        <v>#N/A</v>
      </c>
      <c r="D127" s="1" t="e">
        <f>VLOOKUP(A1,Data!$A$1:$DZU$999999,2147,FALSE)</f>
        <v>#N/A</v>
      </c>
      <c r="E127" s="1" t="e">
        <f>VLOOKUP(A1,Data!$A$1:$DZU$999999,2148,FALSE)</f>
        <v>#N/A</v>
      </c>
      <c r="F127" s="1" t="e">
        <f>VLOOKUP(A1,Data!$A$1:$DZU$999999,2149,FALSE)</f>
        <v>#N/A</v>
      </c>
      <c r="G127" s="1" t="e">
        <f>VLOOKUP(A1,Data!$A$1:$DZU$999999,2150,FALSE)</f>
        <v>#N/A</v>
      </c>
      <c r="H127" s="1" t="e">
        <f>VLOOKUP(A1,Data!$A$1:$DZU$999999,2151,FALSE)</f>
        <v>#N/A</v>
      </c>
      <c r="I127" s="1" t="e">
        <f>VLOOKUP(A1,Data!$A$1:$DZU$999999,2152,FALSE)</f>
        <v>#N/A</v>
      </c>
      <c r="J127" s="1" t="e">
        <f>VLOOKUP(A1,Data!$A$1:$DZU$999999,2153,FALSE)</f>
        <v>#N/A</v>
      </c>
      <c r="K127" s="1" t="e">
        <f>VLOOKUP(A1,Data!$A$1:$DZU$999999,2154,FALSE)</f>
        <v>#N/A</v>
      </c>
      <c r="L127" s="1" t="e">
        <f>VLOOKUP(A1,Data!$A$1:$DZU$999999,2155,FALSE)</f>
        <v>#N/A</v>
      </c>
      <c r="M127" s="1" t="e">
        <f>VLOOKUP(A1,Data!$A$1:$DZU$999999,2156,FALSE)</f>
        <v>#N/A</v>
      </c>
      <c r="N127" s="1" t="e">
        <f>VLOOKUP(A1,Data!$A$1:$DZU$999999,2157,FALSE)</f>
        <v>#N/A</v>
      </c>
      <c r="O127" s="1" t="e">
        <f>VLOOKUP(A1,Data!$A$1:$DZU$999999,2158,FALSE)</f>
        <v>#N/A</v>
      </c>
      <c r="P127" s="1" t="e">
        <f>VLOOKUP(A1,Data!$A$1:$DZU$999999,2159,FALSE)</f>
        <v>#N/A</v>
      </c>
      <c r="Q127" s="1" t="e">
        <f>VLOOKUP(A1,Data!$A$1:$DZU$999999,2160,FALSE)</f>
        <v>#N/A</v>
      </c>
    </row>
    <row r="128" spans="1:17" x14ac:dyDescent="0.35">
      <c r="A128" s="1" t="e">
        <f>VLOOKUP(A1,Data!$A$1:$DZU$999999,2161,FALSE)</f>
        <v>#N/A</v>
      </c>
      <c r="B128" s="1" t="e">
        <f>VLOOKUP(A1,Data!$A$1:$DZU$999999,2162,FALSE)</f>
        <v>#N/A</v>
      </c>
      <c r="C128" s="1" t="e">
        <f>VLOOKUP(A1,Data!$A$1:$DZU$999999,2163,FALSE)</f>
        <v>#N/A</v>
      </c>
      <c r="D128" s="1" t="e">
        <f>VLOOKUP(A1,Data!$A$1:$DZU$999999,2164,FALSE)</f>
        <v>#N/A</v>
      </c>
      <c r="E128" s="1" t="e">
        <f>VLOOKUP(A1,Data!$A$1:$DZU$999999,2165,FALSE)</f>
        <v>#N/A</v>
      </c>
      <c r="F128" s="1" t="e">
        <f>VLOOKUP(A1,Data!$A$1:$DZU$999999,2166,FALSE)</f>
        <v>#N/A</v>
      </c>
      <c r="G128" s="1" t="e">
        <f>VLOOKUP(A1,Data!$A$1:$DZU$999999,2167,FALSE)</f>
        <v>#N/A</v>
      </c>
      <c r="H128" s="1" t="e">
        <f>VLOOKUP(A1,Data!$A$1:$DZU$999999,2168,FALSE)</f>
        <v>#N/A</v>
      </c>
      <c r="I128" s="1" t="e">
        <f>VLOOKUP(A1,Data!$A$1:$DZU$999999,2169,FALSE)</f>
        <v>#N/A</v>
      </c>
      <c r="J128" s="1" t="e">
        <f>VLOOKUP(A1,Data!$A$1:$DZU$999999,2170,FALSE)</f>
        <v>#N/A</v>
      </c>
      <c r="K128" s="1" t="e">
        <f>VLOOKUP(A1,Data!$A$1:$DZU$999999,2171,FALSE)</f>
        <v>#N/A</v>
      </c>
      <c r="L128" s="1" t="e">
        <f>VLOOKUP(A1,Data!$A$1:$DZU$999999,2172,FALSE)</f>
        <v>#N/A</v>
      </c>
      <c r="M128" s="1" t="e">
        <f>VLOOKUP(A1,Data!$A$1:$DZU$999999,2173,FALSE)</f>
        <v>#N/A</v>
      </c>
      <c r="N128" s="1" t="e">
        <f>VLOOKUP(A1,Data!$A$1:$DZU$999999,2174,FALSE)</f>
        <v>#N/A</v>
      </c>
      <c r="O128" s="1" t="e">
        <f>VLOOKUP(A1,Data!$A$1:$DZU$999999,2175,FALSE)</f>
        <v>#N/A</v>
      </c>
      <c r="P128" s="1" t="e">
        <f>VLOOKUP(A1,Data!$A$1:$DZU$999999,2176,FALSE)</f>
        <v>#N/A</v>
      </c>
      <c r="Q128" s="1" t="e">
        <f>VLOOKUP(A1,Data!$A$1:$DZU$999999,2177,FALSE)</f>
        <v>#N/A</v>
      </c>
    </row>
    <row r="129" spans="1:17" x14ac:dyDescent="0.35">
      <c r="A129" s="1" t="e">
        <f>VLOOKUP(A1,Data!$A$1:$DZU$999999,2178,FALSE)</f>
        <v>#N/A</v>
      </c>
      <c r="B129" s="1" t="e">
        <f>VLOOKUP(A1,Data!$A$1:$DZU$999999,2179,FALSE)</f>
        <v>#N/A</v>
      </c>
      <c r="C129" s="1" t="e">
        <f>VLOOKUP(A1,Data!$A$1:$DZU$999999,2180,FALSE)</f>
        <v>#N/A</v>
      </c>
      <c r="D129" s="1" t="e">
        <f>VLOOKUP(A1,Data!$A$1:$DZU$999999,2181,FALSE)</f>
        <v>#N/A</v>
      </c>
      <c r="E129" s="1" t="e">
        <f>VLOOKUP(A1,Data!$A$1:$DZU$999999,2182,FALSE)</f>
        <v>#N/A</v>
      </c>
      <c r="F129" s="1" t="e">
        <f>VLOOKUP(A1,Data!$A$1:$DZU$999999,2183,FALSE)</f>
        <v>#N/A</v>
      </c>
      <c r="G129" s="1" t="e">
        <f>VLOOKUP(A1,Data!$A$1:$DZU$999999,2184,FALSE)</f>
        <v>#N/A</v>
      </c>
      <c r="H129" s="1" t="e">
        <f>VLOOKUP(A1,Data!$A$1:$DZU$999999,2185,FALSE)</f>
        <v>#N/A</v>
      </c>
      <c r="I129" s="1" t="e">
        <f>VLOOKUP(A1,Data!$A$1:$DZU$999999,2186,FALSE)</f>
        <v>#N/A</v>
      </c>
      <c r="J129" s="1" t="e">
        <f>VLOOKUP(A1,Data!$A$1:$DZU$999999,2187,FALSE)</f>
        <v>#N/A</v>
      </c>
      <c r="K129" s="1" t="e">
        <f>VLOOKUP(A1,Data!$A$1:$DZU$999999,2188,FALSE)</f>
        <v>#N/A</v>
      </c>
      <c r="L129" s="1" t="e">
        <f>VLOOKUP(A1,Data!$A$1:$DZU$999999,2189,FALSE)</f>
        <v>#N/A</v>
      </c>
      <c r="M129" s="1" t="e">
        <f>VLOOKUP(A1,Data!$A$1:$DZU$999999,2190,FALSE)</f>
        <v>#N/A</v>
      </c>
      <c r="N129" s="1" t="e">
        <f>VLOOKUP(A1,Data!$A$1:$DZU$999999,2191,FALSE)</f>
        <v>#N/A</v>
      </c>
      <c r="O129" s="1" t="e">
        <f>VLOOKUP(A1,Data!$A$1:$DZU$999999,2192,FALSE)</f>
        <v>#N/A</v>
      </c>
      <c r="P129" s="1" t="e">
        <f>VLOOKUP(A1,Data!$A$1:$DZU$999999,2193,FALSE)</f>
        <v>#N/A</v>
      </c>
      <c r="Q129" s="1" t="e">
        <f>VLOOKUP(A1,Data!$A$1:$DZU$999999,2194,FALSE)</f>
        <v>#N/A</v>
      </c>
    </row>
    <row r="130" spans="1:17" x14ac:dyDescent="0.35">
      <c r="A130" s="1" t="e">
        <f>VLOOKUP(A1,Data!$A$1:$DZU$999999,2195,FALSE)</f>
        <v>#N/A</v>
      </c>
      <c r="B130" s="1" t="e">
        <f>VLOOKUP(A1,Data!$A$1:$DZU$999999,2196,FALSE)</f>
        <v>#N/A</v>
      </c>
      <c r="C130" s="1" t="e">
        <f>VLOOKUP(A1,Data!$A$1:$DZU$999999,2197,FALSE)</f>
        <v>#N/A</v>
      </c>
      <c r="D130" s="1" t="e">
        <f>VLOOKUP(A1,Data!$A$1:$DZU$999999,2198,FALSE)</f>
        <v>#N/A</v>
      </c>
      <c r="E130" s="1" t="e">
        <f>VLOOKUP(A1,Data!$A$1:$DZU$999999,2199,FALSE)</f>
        <v>#N/A</v>
      </c>
      <c r="F130" s="1" t="e">
        <f>VLOOKUP(A1,Data!$A$1:$DZU$999999,2200,FALSE)</f>
        <v>#N/A</v>
      </c>
      <c r="G130" s="1" t="e">
        <f>VLOOKUP(A1,Data!$A$1:$DZU$999999,2201,FALSE)</f>
        <v>#N/A</v>
      </c>
      <c r="H130" s="1" t="e">
        <f>VLOOKUP(A1,Data!$A$1:$DZU$999999,2202,FALSE)</f>
        <v>#N/A</v>
      </c>
      <c r="I130" s="1" t="e">
        <f>VLOOKUP(A1,Data!$A$1:$DZU$999999,2203,FALSE)</f>
        <v>#N/A</v>
      </c>
      <c r="J130" s="1" t="e">
        <f>VLOOKUP(A1,Data!$A$1:$DZU$999999,2204,FALSE)</f>
        <v>#N/A</v>
      </c>
      <c r="K130" s="1" t="e">
        <f>VLOOKUP(A1,Data!$A$1:$DZU$999999,2205,FALSE)</f>
        <v>#N/A</v>
      </c>
      <c r="L130" s="1" t="e">
        <f>VLOOKUP(A1,Data!$A$1:$DZU$999999,2206,FALSE)</f>
        <v>#N/A</v>
      </c>
      <c r="M130" s="1" t="e">
        <f>VLOOKUP(A1,Data!$A$1:$DZU$999999,2207,FALSE)</f>
        <v>#N/A</v>
      </c>
      <c r="N130" s="1" t="e">
        <f>VLOOKUP(A1,Data!$A$1:$DZU$999999,2208,FALSE)</f>
        <v>#N/A</v>
      </c>
      <c r="O130" s="1" t="e">
        <f>VLOOKUP(A1,Data!$A$1:$DZU$999999,2209,FALSE)</f>
        <v>#N/A</v>
      </c>
      <c r="P130" s="1" t="e">
        <f>VLOOKUP(A1,Data!$A$1:$DZU$999999,2210,FALSE)</f>
        <v>#N/A</v>
      </c>
      <c r="Q130" s="1" t="e">
        <f>VLOOKUP(A1,Data!$A$1:$DZU$999999,2211,FALSE)</f>
        <v>#N/A</v>
      </c>
    </row>
    <row r="131" spans="1:17" x14ac:dyDescent="0.35">
      <c r="A131" s="1" t="e">
        <f>VLOOKUP(A1,Data!$A$1:$DZU$999999,2212,FALSE)</f>
        <v>#N/A</v>
      </c>
      <c r="B131" s="1" t="e">
        <f>VLOOKUP(A1,Data!$A$1:$DZU$999999,2213,FALSE)</f>
        <v>#N/A</v>
      </c>
      <c r="C131" s="1" t="e">
        <f>VLOOKUP(A1,Data!$A$1:$DZU$999999,2214,FALSE)</f>
        <v>#N/A</v>
      </c>
      <c r="D131" s="1" t="e">
        <f>VLOOKUP(A1,Data!$A$1:$DZU$999999,2215,FALSE)</f>
        <v>#N/A</v>
      </c>
      <c r="E131" s="1" t="e">
        <f>VLOOKUP(A1,Data!$A$1:$DZU$999999,2216,FALSE)</f>
        <v>#N/A</v>
      </c>
      <c r="F131" s="1" t="e">
        <f>VLOOKUP(A1,Data!$A$1:$DZU$999999,2217,FALSE)</f>
        <v>#N/A</v>
      </c>
      <c r="G131" s="1" t="e">
        <f>VLOOKUP(A1,Data!$A$1:$DZU$999999,2218,FALSE)</f>
        <v>#N/A</v>
      </c>
      <c r="H131" s="1" t="e">
        <f>VLOOKUP(A1,Data!$A$1:$DZU$999999,2219,FALSE)</f>
        <v>#N/A</v>
      </c>
      <c r="I131" s="1" t="e">
        <f>VLOOKUP(A1,Data!$A$1:$DZU$999999,2220,FALSE)</f>
        <v>#N/A</v>
      </c>
      <c r="J131" s="1" t="e">
        <f>VLOOKUP(A1,Data!$A$1:$DZU$999999,2221,FALSE)</f>
        <v>#N/A</v>
      </c>
      <c r="K131" s="1" t="e">
        <f>VLOOKUP(A1,Data!$A$1:$DZU$999999,2222,FALSE)</f>
        <v>#N/A</v>
      </c>
      <c r="L131" s="1" t="e">
        <f>VLOOKUP(A1,Data!$A$1:$DZU$999999,2223,FALSE)</f>
        <v>#N/A</v>
      </c>
      <c r="M131" s="1" t="e">
        <f>VLOOKUP(A1,Data!$A$1:$DZU$999999,2224,FALSE)</f>
        <v>#N/A</v>
      </c>
      <c r="N131" s="1" t="e">
        <f>VLOOKUP(A1,Data!$A$1:$DZU$999999,2225,FALSE)</f>
        <v>#N/A</v>
      </c>
      <c r="O131" s="1" t="e">
        <f>VLOOKUP(A1,Data!$A$1:$DZU$999999,2226,FALSE)</f>
        <v>#N/A</v>
      </c>
      <c r="P131" s="1" t="e">
        <f>VLOOKUP(A1,Data!$A$1:$DZU$999999,2227,FALSE)</f>
        <v>#N/A</v>
      </c>
      <c r="Q131" s="1" t="e">
        <f>VLOOKUP(A1,Data!$A$1:$DZU$999999,2228,FALSE)</f>
        <v>#N/A</v>
      </c>
    </row>
    <row r="132" spans="1:17" x14ac:dyDescent="0.35">
      <c r="A132" s="1" t="e">
        <f>VLOOKUP(A1,Data!$A$1:$DZU$999999,2229,FALSE)</f>
        <v>#N/A</v>
      </c>
      <c r="B132" s="1" t="e">
        <f>VLOOKUP(A1,Data!$A$1:$DZU$999999,2230,FALSE)</f>
        <v>#N/A</v>
      </c>
      <c r="C132" s="1" t="e">
        <f>VLOOKUP(A1,Data!$A$1:$DZU$999999,2231,FALSE)</f>
        <v>#N/A</v>
      </c>
      <c r="D132" s="1" t="e">
        <f>VLOOKUP(A1,Data!$A$1:$DZU$999999,2232,FALSE)</f>
        <v>#N/A</v>
      </c>
      <c r="E132" s="1" t="e">
        <f>VLOOKUP(A1,Data!$A$1:$DZU$999999,2233,FALSE)</f>
        <v>#N/A</v>
      </c>
      <c r="F132" s="1" t="e">
        <f>VLOOKUP(A1,Data!$A$1:$DZU$999999,2234,FALSE)</f>
        <v>#N/A</v>
      </c>
      <c r="G132" s="1" t="e">
        <f>VLOOKUP(A1,Data!$A$1:$DZU$999999,2235,FALSE)</f>
        <v>#N/A</v>
      </c>
      <c r="H132" s="1" t="e">
        <f>VLOOKUP(A1,Data!$A$1:$DZU$999999,2236,FALSE)</f>
        <v>#N/A</v>
      </c>
      <c r="I132" s="1" t="e">
        <f>VLOOKUP(A1,Data!$A$1:$DZU$999999,2237,FALSE)</f>
        <v>#N/A</v>
      </c>
      <c r="J132" s="1" t="e">
        <f>VLOOKUP(A1,Data!$A$1:$DZU$999999,2238,FALSE)</f>
        <v>#N/A</v>
      </c>
      <c r="K132" s="1" t="e">
        <f>VLOOKUP(A1,Data!$A$1:$DZU$999999,2239,FALSE)</f>
        <v>#N/A</v>
      </c>
      <c r="L132" s="1" t="e">
        <f>VLOOKUP(A1,Data!$A$1:$DZU$999999,2240,FALSE)</f>
        <v>#N/A</v>
      </c>
      <c r="M132" s="1" t="e">
        <f>VLOOKUP(A1,Data!$A$1:$DZU$999999,2241,FALSE)</f>
        <v>#N/A</v>
      </c>
      <c r="N132" s="1" t="e">
        <f>VLOOKUP(A1,Data!$A$1:$DZU$999999,2242,FALSE)</f>
        <v>#N/A</v>
      </c>
      <c r="O132" s="1" t="e">
        <f>VLOOKUP(A1,Data!$A$1:$DZU$999999,2243,FALSE)</f>
        <v>#N/A</v>
      </c>
      <c r="P132" s="1" t="e">
        <f>VLOOKUP(A1,Data!$A$1:$DZU$999999,2244,FALSE)</f>
        <v>#N/A</v>
      </c>
      <c r="Q132" s="1" t="e">
        <f>VLOOKUP(A1,Data!$A$1:$DZU$999999,2245,FALSE)</f>
        <v>#N/A</v>
      </c>
    </row>
    <row r="133" spans="1:17" x14ac:dyDescent="0.35">
      <c r="A133" s="1" t="e">
        <f>VLOOKUP(A1,Data!$A$1:$DZU$999999,2246,FALSE)</f>
        <v>#N/A</v>
      </c>
      <c r="B133" s="1" t="e">
        <f>VLOOKUP(A1,Data!$A$1:$DZU$999999,2247,FALSE)</f>
        <v>#N/A</v>
      </c>
      <c r="C133" s="1" t="e">
        <f>VLOOKUP(A1,Data!$A$1:$DZU$999999,2248,FALSE)</f>
        <v>#N/A</v>
      </c>
      <c r="D133" s="1" t="e">
        <f>VLOOKUP(A1,Data!$A$1:$DZU$999999,2249,FALSE)</f>
        <v>#N/A</v>
      </c>
      <c r="E133" s="1" t="e">
        <f>VLOOKUP(A1,Data!$A$1:$DZU$999999,2250,FALSE)</f>
        <v>#N/A</v>
      </c>
      <c r="F133" s="1" t="e">
        <f>VLOOKUP(A1,Data!$A$1:$DZU$999999,2251,FALSE)</f>
        <v>#N/A</v>
      </c>
      <c r="G133" s="1" t="e">
        <f>VLOOKUP(A1,Data!$A$1:$DZU$999999,2252,FALSE)</f>
        <v>#N/A</v>
      </c>
      <c r="H133" s="1" t="e">
        <f>VLOOKUP(A1,Data!$A$1:$DZU$999999,2253,FALSE)</f>
        <v>#N/A</v>
      </c>
      <c r="I133" s="1" t="e">
        <f>VLOOKUP(A1,Data!$A$1:$DZU$999999,2254,FALSE)</f>
        <v>#N/A</v>
      </c>
      <c r="J133" s="1" t="e">
        <f>VLOOKUP(A1,Data!$A$1:$DZU$999999,2255,FALSE)</f>
        <v>#N/A</v>
      </c>
      <c r="K133" s="1" t="e">
        <f>VLOOKUP(A1,Data!$A$1:$DZU$999999,2256,FALSE)</f>
        <v>#N/A</v>
      </c>
      <c r="L133" s="1" t="e">
        <f>VLOOKUP(A1,Data!$A$1:$DZU$999999,2257,FALSE)</f>
        <v>#N/A</v>
      </c>
      <c r="M133" s="1" t="e">
        <f>VLOOKUP(A1,Data!$A$1:$DZU$999999,2258,FALSE)</f>
        <v>#N/A</v>
      </c>
      <c r="N133" s="1" t="e">
        <f>VLOOKUP(A1,Data!$A$1:$DZU$999999,2259,FALSE)</f>
        <v>#N/A</v>
      </c>
      <c r="O133" s="1" t="e">
        <f>VLOOKUP(A1,Data!$A$1:$DZU$999999,2260,FALSE)</f>
        <v>#N/A</v>
      </c>
      <c r="P133" s="1" t="e">
        <f>VLOOKUP(A1,Data!$A$1:$DZU$999999,2261,FALSE)</f>
        <v>#N/A</v>
      </c>
      <c r="Q133" s="1" t="e">
        <f>VLOOKUP(A1,Data!$A$1:$DZU$999999,2262,FALSE)</f>
        <v>#N/A</v>
      </c>
    </row>
    <row r="134" spans="1:17" x14ac:dyDescent="0.35">
      <c r="A134" s="1" t="e">
        <f>VLOOKUP(A1,Data!$A$1:$DZU$999999,2263,FALSE)</f>
        <v>#N/A</v>
      </c>
      <c r="B134" s="1" t="e">
        <f>VLOOKUP(A1,Data!$A$1:$DZU$999999,2264,FALSE)</f>
        <v>#N/A</v>
      </c>
      <c r="C134" s="1" t="e">
        <f>VLOOKUP(A1,Data!$A$1:$DZU$999999,2265,FALSE)</f>
        <v>#N/A</v>
      </c>
      <c r="D134" s="1" t="e">
        <f>VLOOKUP(A1,Data!$A$1:$DZU$999999,2266,FALSE)</f>
        <v>#N/A</v>
      </c>
      <c r="E134" s="1" t="e">
        <f>VLOOKUP(A1,Data!$A$1:$DZU$999999,2267,FALSE)</f>
        <v>#N/A</v>
      </c>
      <c r="F134" s="1" t="e">
        <f>VLOOKUP(A1,Data!$A$1:$DZU$999999,2268,FALSE)</f>
        <v>#N/A</v>
      </c>
      <c r="G134" s="1" t="e">
        <f>VLOOKUP(A1,Data!$A$1:$DZU$999999,2269,FALSE)</f>
        <v>#N/A</v>
      </c>
      <c r="H134" s="1" t="e">
        <f>VLOOKUP(A1,Data!$A$1:$DZU$999999,2270,FALSE)</f>
        <v>#N/A</v>
      </c>
      <c r="I134" s="1" t="e">
        <f>VLOOKUP(A1,Data!$A$1:$DZU$999999,2271,FALSE)</f>
        <v>#N/A</v>
      </c>
      <c r="J134" s="1" t="e">
        <f>VLOOKUP(A1,Data!$A$1:$DZU$999999,2272,FALSE)</f>
        <v>#N/A</v>
      </c>
      <c r="K134" s="1" t="e">
        <f>VLOOKUP(A1,Data!$A$1:$DZU$999999,2273,FALSE)</f>
        <v>#N/A</v>
      </c>
      <c r="L134" s="1" t="e">
        <f>VLOOKUP(A1,Data!$A$1:$DZU$999999,2274,FALSE)</f>
        <v>#N/A</v>
      </c>
      <c r="M134" s="1" t="e">
        <f>VLOOKUP(A1,Data!$A$1:$DZU$999999,2275,FALSE)</f>
        <v>#N/A</v>
      </c>
      <c r="N134" s="1" t="e">
        <f>VLOOKUP(A1,Data!$A$1:$DZU$999999,2276,FALSE)</f>
        <v>#N/A</v>
      </c>
      <c r="O134" s="1" t="e">
        <f>VLOOKUP(A1,Data!$A$1:$DZU$999999,2277,FALSE)</f>
        <v>#N/A</v>
      </c>
      <c r="P134" s="1" t="e">
        <f>VLOOKUP(A1,Data!$A$1:$DZU$999999,2278,FALSE)</f>
        <v>#N/A</v>
      </c>
      <c r="Q134" s="1" t="e">
        <f>VLOOKUP(A1,Data!$A$1:$DZU$999999,2279,FALSE)</f>
        <v>#N/A</v>
      </c>
    </row>
    <row r="135" spans="1:17" x14ac:dyDescent="0.35">
      <c r="A135" s="1" t="e">
        <f>VLOOKUP(A1,Data!$A$1:$DZU$999999,2280,FALSE)</f>
        <v>#N/A</v>
      </c>
      <c r="B135" s="1" t="e">
        <f>VLOOKUP(A1,Data!$A$1:$DZU$999999,2281,FALSE)</f>
        <v>#N/A</v>
      </c>
      <c r="C135" s="1" t="e">
        <f>VLOOKUP(A1,Data!$A$1:$DZU$999999,2282,FALSE)</f>
        <v>#N/A</v>
      </c>
      <c r="D135" s="1" t="e">
        <f>VLOOKUP(A1,Data!$A$1:$DZU$999999,2283,FALSE)</f>
        <v>#N/A</v>
      </c>
      <c r="E135" s="1" t="e">
        <f>VLOOKUP(A1,Data!$A$1:$DZU$999999,2284,FALSE)</f>
        <v>#N/A</v>
      </c>
      <c r="F135" s="1" t="e">
        <f>VLOOKUP(A1,Data!$A$1:$DZU$999999,2285,FALSE)</f>
        <v>#N/A</v>
      </c>
      <c r="G135" s="1" t="e">
        <f>VLOOKUP(A1,Data!$A$1:$DZU$999999,2286,FALSE)</f>
        <v>#N/A</v>
      </c>
      <c r="H135" s="1" t="e">
        <f>VLOOKUP(A1,Data!$A$1:$DZU$999999,2287,FALSE)</f>
        <v>#N/A</v>
      </c>
      <c r="I135" s="1" t="e">
        <f>VLOOKUP(A1,Data!$A$1:$DZU$999999,2288,FALSE)</f>
        <v>#N/A</v>
      </c>
      <c r="J135" s="1" t="e">
        <f>VLOOKUP(A1,Data!$A$1:$DZU$999999,2289,FALSE)</f>
        <v>#N/A</v>
      </c>
      <c r="K135" s="1" t="e">
        <f>VLOOKUP(A1,Data!$A$1:$DZU$999999,2290,FALSE)</f>
        <v>#N/A</v>
      </c>
      <c r="L135" s="1" t="e">
        <f>VLOOKUP(A1,Data!$A$1:$DZU$999999,2291,FALSE)</f>
        <v>#N/A</v>
      </c>
      <c r="M135" s="1" t="e">
        <f>VLOOKUP(A1,Data!$A$1:$DZU$999999,2292,FALSE)</f>
        <v>#N/A</v>
      </c>
      <c r="N135" s="1" t="e">
        <f>VLOOKUP(A1,Data!$A$1:$DZU$999999,2293,FALSE)</f>
        <v>#N/A</v>
      </c>
      <c r="O135" s="1" t="e">
        <f>VLOOKUP(A1,Data!$A$1:$DZU$999999,2294,FALSE)</f>
        <v>#N/A</v>
      </c>
      <c r="P135" s="1" t="e">
        <f>VLOOKUP(A1,Data!$A$1:$DZU$999999,2295,FALSE)</f>
        <v>#N/A</v>
      </c>
      <c r="Q135" s="1" t="e">
        <f>VLOOKUP(A1,Data!$A$1:$DZU$999999,2296,FALSE)</f>
        <v>#N/A</v>
      </c>
    </row>
    <row r="136" spans="1:17" x14ac:dyDescent="0.35">
      <c r="A136" s="1" t="e">
        <f>VLOOKUP(A1,Data!$A$1:$DZU$999999,2297,FALSE)</f>
        <v>#N/A</v>
      </c>
      <c r="B136" s="1" t="e">
        <f>VLOOKUP(A1,Data!$A$1:$DZU$999999,2298,FALSE)</f>
        <v>#N/A</v>
      </c>
      <c r="C136" s="1" t="e">
        <f>VLOOKUP(A1,Data!$A$1:$DZU$999999,2299,FALSE)</f>
        <v>#N/A</v>
      </c>
      <c r="D136" s="1" t="e">
        <f>VLOOKUP(A1,Data!$A$1:$DZU$999999,2300,FALSE)</f>
        <v>#N/A</v>
      </c>
      <c r="E136" s="1" t="e">
        <f>VLOOKUP(A1,Data!$A$1:$DZU$999999,2301,FALSE)</f>
        <v>#N/A</v>
      </c>
      <c r="F136" s="1" t="e">
        <f>VLOOKUP(A1,Data!$A$1:$DZU$999999,2302,FALSE)</f>
        <v>#N/A</v>
      </c>
      <c r="G136" s="1" t="e">
        <f>VLOOKUP(A1,Data!$A$1:$DZU$999999,2303,FALSE)</f>
        <v>#N/A</v>
      </c>
      <c r="H136" s="1" t="e">
        <f>VLOOKUP(A1,Data!$A$1:$DZU$999999,2304,FALSE)</f>
        <v>#N/A</v>
      </c>
      <c r="I136" s="1" t="e">
        <f>VLOOKUP(A1,Data!$A$1:$DZU$999999,2305,FALSE)</f>
        <v>#N/A</v>
      </c>
      <c r="J136" s="1" t="e">
        <f>VLOOKUP(A1,Data!$A$1:$DZU$999999,2306,FALSE)</f>
        <v>#N/A</v>
      </c>
      <c r="K136" s="1" t="e">
        <f>VLOOKUP(A1,Data!$A$1:$DZU$999999,2307,FALSE)</f>
        <v>#N/A</v>
      </c>
      <c r="L136" s="1" t="e">
        <f>VLOOKUP(A1,Data!$A$1:$DZU$999999,2308,FALSE)</f>
        <v>#N/A</v>
      </c>
      <c r="M136" s="1" t="e">
        <f>VLOOKUP(A1,Data!$A$1:$DZU$999999,2309,FALSE)</f>
        <v>#N/A</v>
      </c>
      <c r="N136" s="1" t="e">
        <f>VLOOKUP(A1,Data!$A$1:$DZU$999999,2310,FALSE)</f>
        <v>#N/A</v>
      </c>
      <c r="O136" s="1" t="e">
        <f>VLOOKUP(A1,Data!$A$1:$DZU$999999,2311,FALSE)</f>
        <v>#N/A</v>
      </c>
      <c r="P136" s="1" t="e">
        <f>VLOOKUP(A1,Data!$A$1:$DZU$999999,2312,FALSE)</f>
        <v>#N/A</v>
      </c>
      <c r="Q136" s="1" t="e">
        <f>VLOOKUP(A1,Data!$A$1:$DZU$999999,2313,FALSE)</f>
        <v>#N/A</v>
      </c>
    </row>
    <row r="137" spans="1:17" x14ac:dyDescent="0.35">
      <c r="A137" s="1" t="e">
        <f>VLOOKUP(A1,Data!$A$1:$DZU$999999,2314,FALSE)</f>
        <v>#N/A</v>
      </c>
      <c r="B137" s="1" t="e">
        <f>VLOOKUP(A1,Data!$A$1:$DZU$999999,2315,FALSE)</f>
        <v>#N/A</v>
      </c>
      <c r="C137" s="1" t="e">
        <f>VLOOKUP(A1,Data!$A$1:$DZU$999999,2316,FALSE)</f>
        <v>#N/A</v>
      </c>
      <c r="D137" s="1" t="e">
        <f>VLOOKUP(A1,Data!$A$1:$DZU$999999,2317,FALSE)</f>
        <v>#N/A</v>
      </c>
      <c r="E137" s="1" t="e">
        <f>VLOOKUP(A1,Data!$A$1:$DZU$999999,2318,FALSE)</f>
        <v>#N/A</v>
      </c>
      <c r="F137" s="1" t="e">
        <f>VLOOKUP(A1,Data!$A$1:$DZU$999999,2319,FALSE)</f>
        <v>#N/A</v>
      </c>
      <c r="G137" s="1" t="e">
        <f>VLOOKUP(A1,Data!$A$1:$DZU$999999,2320,FALSE)</f>
        <v>#N/A</v>
      </c>
      <c r="H137" s="1" t="e">
        <f>VLOOKUP(A1,Data!$A$1:$DZU$999999,2321,FALSE)</f>
        <v>#N/A</v>
      </c>
      <c r="I137" s="1" t="e">
        <f>VLOOKUP(A1,Data!$A$1:$DZU$999999,2322,FALSE)</f>
        <v>#N/A</v>
      </c>
      <c r="J137" s="1" t="e">
        <f>VLOOKUP(A1,Data!$A$1:$DZU$999999,2323,FALSE)</f>
        <v>#N/A</v>
      </c>
      <c r="K137" s="1" t="e">
        <f>VLOOKUP(A1,Data!$A$1:$DZU$999999,2324,FALSE)</f>
        <v>#N/A</v>
      </c>
      <c r="L137" s="1" t="e">
        <f>VLOOKUP(A1,Data!$A$1:$DZU$999999,2325,FALSE)</f>
        <v>#N/A</v>
      </c>
      <c r="M137" s="1" t="e">
        <f>VLOOKUP(A1,Data!$A$1:$DZU$999999,2326,FALSE)</f>
        <v>#N/A</v>
      </c>
      <c r="N137" s="1" t="e">
        <f>VLOOKUP(A1,Data!$A$1:$DZU$999999,2327,FALSE)</f>
        <v>#N/A</v>
      </c>
      <c r="O137" s="1" t="e">
        <f>VLOOKUP(A1,Data!$A$1:$DZU$999999,2328,FALSE)</f>
        <v>#N/A</v>
      </c>
      <c r="P137" s="1" t="e">
        <f>VLOOKUP(A1,Data!$A$1:$DZU$999999,2329,FALSE)</f>
        <v>#N/A</v>
      </c>
      <c r="Q137" s="1" t="e">
        <f>VLOOKUP(A1,Data!$A$1:$DZU$999999,2330,FALSE)</f>
        <v>#N/A</v>
      </c>
    </row>
    <row r="138" spans="1:17" x14ac:dyDescent="0.35">
      <c r="A138" s="1" t="e">
        <f>VLOOKUP(A1,Data!$A$1:$DZU$999999,2331,FALSE)</f>
        <v>#N/A</v>
      </c>
      <c r="B138" s="1" t="e">
        <f>VLOOKUP(A1,Data!$A$1:$DZU$999999,2332,FALSE)</f>
        <v>#N/A</v>
      </c>
      <c r="C138" s="1" t="e">
        <f>VLOOKUP(A1,Data!$A$1:$DZU$999999,2333,FALSE)</f>
        <v>#N/A</v>
      </c>
      <c r="D138" s="1" t="e">
        <f>VLOOKUP(A1,Data!$A$1:$DZU$999999,2334,FALSE)</f>
        <v>#N/A</v>
      </c>
      <c r="E138" s="1" t="e">
        <f>VLOOKUP(A1,Data!$A$1:$DZU$999999,2335,FALSE)</f>
        <v>#N/A</v>
      </c>
      <c r="F138" s="1" t="e">
        <f>VLOOKUP(A1,Data!$A$1:$DZU$999999,2336,FALSE)</f>
        <v>#N/A</v>
      </c>
      <c r="G138" s="1" t="e">
        <f>VLOOKUP(A1,Data!$A$1:$DZU$999999,2337,FALSE)</f>
        <v>#N/A</v>
      </c>
      <c r="H138" s="1" t="e">
        <f>VLOOKUP(A1,Data!$A$1:$DZU$999999,2338,FALSE)</f>
        <v>#N/A</v>
      </c>
      <c r="I138" s="1" t="e">
        <f>VLOOKUP(A1,Data!$A$1:$DZU$999999,2339,FALSE)</f>
        <v>#N/A</v>
      </c>
      <c r="J138" s="1" t="e">
        <f>VLOOKUP(A1,Data!$A$1:$DZU$999999,2340,FALSE)</f>
        <v>#N/A</v>
      </c>
      <c r="K138" s="1" t="e">
        <f>VLOOKUP(A1,Data!$A$1:$DZU$999999,2341,FALSE)</f>
        <v>#N/A</v>
      </c>
      <c r="L138" s="1" t="e">
        <f>VLOOKUP(A1,Data!$A$1:$DZU$999999,2342,FALSE)</f>
        <v>#N/A</v>
      </c>
      <c r="M138" s="1" t="e">
        <f>VLOOKUP(A1,Data!$A$1:$DZU$999999,2343,FALSE)</f>
        <v>#N/A</v>
      </c>
      <c r="N138" s="1" t="e">
        <f>VLOOKUP(A1,Data!$A$1:$DZU$999999,2344,FALSE)</f>
        <v>#N/A</v>
      </c>
      <c r="O138" s="1" t="e">
        <f>VLOOKUP(A1,Data!$A$1:$DZU$999999,2345,FALSE)</f>
        <v>#N/A</v>
      </c>
      <c r="P138" s="1" t="e">
        <f>VLOOKUP(A1,Data!$A$1:$DZU$999999,2346,FALSE)</f>
        <v>#N/A</v>
      </c>
      <c r="Q138" s="1" t="e">
        <f>VLOOKUP(A1,Data!$A$1:$DZU$999999,2347,FALSE)</f>
        <v>#N/A</v>
      </c>
    </row>
    <row r="139" spans="1:17" x14ac:dyDescent="0.35">
      <c r="A139" s="1" t="e">
        <f>VLOOKUP(A1,Data!$A$1:$DZU$999999,2348,FALSE)</f>
        <v>#N/A</v>
      </c>
      <c r="B139" s="1" t="e">
        <f>VLOOKUP(A1,Data!$A$1:$DZU$999999,2349,FALSE)</f>
        <v>#N/A</v>
      </c>
      <c r="C139" s="1" t="e">
        <f>VLOOKUP(A1,Data!$A$1:$DZU$999999,2350,FALSE)</f>
        <v>#N/A</v>
      </c>
      <c r="D139" s="1" t="e">
        <f>VLOOKUP(A1,Data!$A$1:$DZU$999999,2351,FALSE)</f>
        <v>#N/A</v>
      </c>
      <c r="E139" s="1" t="e">
        <f>VLOOKUP(A1,Data!$A$1:$DZU$999999,2352,FALSE)</f>
        <v>#N/A</v>
      </c>
      <c r="F139" s="1" t="e">
        <f>VLOOKUP(A1,Data!$A$1:$DZU$999999,2353,FALSE)</f>
        <v>#N/A</v>
      </c>
      <c r="G139" s="1" t="e">
        <f>VLOOKUP(A1,Data!$A$1:$DZU$999999,2354,FALSE)</f>
        <v>#N/A</v>
      </c>
      <c r="H139" s="1" t="e">
        <f>VLOOKUP(A1,Data!$A$1:$DZU$999999,2355,FALSE)</f>
        <v>#N/A</v>
      </c>
      <c r="I139" s="1" t="e">
        <f>VLOOKUP(A1,Data!$A$1:$DZU$999999,2356,FALSE)</f>
        <v>#N/A</v>
      </c>
      <c r="J139" s="1" t="e">
        <f>VLOOKUP(A1,Data!$A$1:$DZU$999999,2357,FALSE)</f>
        <v>#N/A</v>
      </c>
      <c r="K139" s="1" t="e">
        <f>VLOOKUP(A1,Data!$A$1:$DZU$999999,2358,FALSE)</f>
        <v>#N/A</v>
      </c>
      <c r="L139" s="1" t="e">
        <f>VLOOKUP(A1,Data!$A$1:$DZU$999999,2359,FALSE)</f>
        <v>#N/A</v>
      </c>
      <c r="M139" s="1" t="e">
        <f>VLOOKUP(A1,Data!$A$1:$DZU$999999,2360,FALSE)</f>
        <v>#N/A</v>
      </c>
      <c r="N139" s="1" t="e">
        <f>VLOOKUP(A1,Data!$A$1:$DZU$999999,2361,FALSE)</f>
        <v>#N/A</v>
      </c>
      <c r="O139" s="1" t="e">
        <f>VLOOKUP(A1,Data!$A$1:$DZU$999999,2362,FALSE)</f>
        <v>#N/A</v>
      </c>
      <c r="P139" s="1" t="e">
        <f>VLOOKUP(A1,Data!$A$1:$DZU$999999,2363,FALSE)</f>
        <v>#N/A</v>
      </c>
      <c r="Q139" s="1" t="e">
        <f>VLOOKUP(A1,Data!$A$1:$DZU$999999,2364,FALSE)</f>
        <v>#N/A</v>
      </c>
    </row>
    <row r="140" spans="1:17" x14ac:dyDescent="0.35">
      <c r="A140" s="1" t="e">
        <f>VLOOKUP(A1,Data!$A$1:$DZU$999999,2365,FALSE)</f>
        <v>#N/A</v>
      </c>
      <c r="B140" s="1" t="e">
        <f>VLOOKUP(A1,Data!$A$1:$DZU$999999,2366,FALSE)</f>
        <v>#N/A</v>
      </c>
      <c r="C140" s="1" t="e">
        <f>VLOOKUP(A1,Data!$A$1:$DZU$999999,2367,FALSE)</f>
        <v>#N/A</v>
      </c>
      <c r="D140" s="1" t="e">
        <f>VLOOKUP(A1,Data!$A$1:$DZU$999999,2368,FALSE)</f>
        <v>#N/A</v>
      </c>
      <c r="E140" s="1" t="e">
        <f>VLOOKUP(A1,Data!$A$1:$DZU$999999,2369,FALSE)</f>
        <v>#N/A</v>
      </c>
      <c r="F140" s="1" t="e">
        <f>VLOOKUP(A1,Data!$A$1:$DZU$999999,2370,FALSE)</f>
        <v>#N/A</v>
      </c>
      <c r="G140" s="1" t="e">
        <f>VLOOKUP(A1,Data!$A$1:$DZU$999999,2371,FALSE)</f>
        <v>#N/A</v>
      </c>
      <c r="H140" s="1" t="e">
        <f>VLOOKUP(A1,Data!$A$1:$DZU$999999,2372,FALSE)</f>
        <v>#N/A</v>
      </c>
      <c r="I140" s="1" t="e">
        <f>VLOOKUP(A1,Data!$A$1:$DZU$999999,2373,FALSE)</f>
        <v>#N/A</v>
      </c>
      <c r="J140" s="1" t="e">
        <f>VLOOKUP(A1,Data!$A$1:$DZU$999999,2374,FALSE)</f>
        <v>#N/A</v>
      </c>
      <c r="K140" s="1" t="e">
        <f>VLOOKUP(A1,Data!$A$1:$DZU$999999,2375,FALSE)</f>
        <v>#N/A</v>
      </c>
      <c r="L140" s="1" t="e">
        <f>VLOOKUP(A1,Data!$A$1:$DZU$999999,2376,FALSE)</f>
        <v>#N/A</v>
      </c>
      <c r="M140" s="1" t="e">
        <f>VLOOKUP(A1,Data!$A$1:$DZU$999999,2377,FALSE)</f>
        <v>#N/A</v>
      </c>
      <c r="N140" s="1" t="e">
        <f>VLOOKUP(A1,Data!$A$1:$DZU$999999,2378,FALSE)</f>
        <v>#N/A</v>
      </c>
      <c r="O140" s="1" t="e">
        <f>VLOOKUP(A1,Data!$A$1:$DZU$999999,2379,FALSE)</f>
        <v>#N/A</v>
      </c>
      <c r="P140" s="1" t="e">
        <f>VLOOKUP(A1,Data!$A$1:$DZU$999999,2380,FALSE)</f>
        <v>#N/A</v>
      </c>
      <c r="Q140" s="1" t="e">
        <f>VLOOKUP(A1,Data!$A$1:$DZU$999999,2381,FALSE)</f>
        <v>#N/A</v>
      </c>
    </row>
    <row r="141" spans="1:17" x14ac:dyDescent="0.35">
      <c r="A141" s="1" t="e">
        <f>VLOOKUP(A1,Data!$A$1:$DZU$999999,2382,FALSE)</f>
        <v>#N/A</v>
      </c>
      <c r="B141" s="1" t="e">
        <f>VLOOKUP(A1,Data!$A$1:$DZU$999999,2383,FALSE)</f>
        <v>#N/A</v>
      </c>
      <c r="C141" s="1" t="e">
        <f>VLOOKUP(A1,Data!$A$1:$DZU$999999,2384,FALSE)</f>
        <v>#N/A</v>
      </c>
      <c r="D141" s="1" t="e">
        <f>VLOOKUP(A1,Data!$A$1:$DZU$999999,2385,FALSE)</f>
        <v>#N/A</v>
      </c>
      <c r="E141" s="1" t="e">
        <f>VLOOKUP(A1,Data!$A$1:$DZU$999999,2386,FALSE)</f>
        <v>#N/A</v>
      </c>
      <c r="F141" s="1" t="e">
        <f>VLOOKUP(A1,Data!$A$1:$DZU$999999,2387,FALSE)</f>
        <v>#N/A</v>
      </c>
      <c r="G141" s="1" t="e">
        <f>VLOOKUP(A1,Data!$A$1:$DZU$999999,2388,FALSE)</f>
        <v>#N/A</v>
      </c>
      <c r="H141" s="1" t="e">
        <f>VLOOKUP(A1,Data!$A$1:$DZU$999999,2389,FALSE)</f>
        <v>#N/A</v>
      </c>
      <c r="I141" s="1" t="e">
        <f>VLOOKUP(A1,Data!$A$1:$DZU$999999,2390,FALSE)</f>
        <v>#N/A</v>
      </c>
      <c r="J141" s="1" t="e">
        <f>VLOOKUP(A1,Data!$A$1:$DZU$999999,2391,FALSE)</f>
        <v>#N/A</v>
      </c>
      <c r="K141" s="1" t="e">
        <f>VLOOKUP(A1,Data!$A$1:$DZU$999999,2392,FALSE)</f>
        <v>#N/A</v>
      </c>
      <c r="L141" s="1" t="e">
        <f>VLOOKUP(A1,Data!$A$1:$DZU$999999,2393,FALSE)</f>
        <v>#N/A</v>
      </c>
      <c r="M141" s="1" t="e">
        <f>VLOOKUP(A1,Data!$A$1:$DZU$999999,2394,FALSE)</f>
        <v>#N/A</v>
      </c>
      <c r="N141" s="1" t="e">
        <f>VLOOKUP(A1,Data!$A$1:$DZU$999999,2395,FALSE)</f>
        <v>#N/A</v>
      </c>
      <c r="O141" s="1" t="e">
        <f>VLOOKUP(A1,Data!$A$1:$DZU$999999,2396,FALSE)</f>
        <v>#N/A</v>
      </c>
      <c r="P141" s="1" t="e">
        <f>VLOOKUP(A1,Data!$A$1:$DZU$999999,2397,FALSE)</f>
        <v>#N/A</v>
      </c>
      <c r="Q141" s="1" t="e">
        <f>VLOOKUP(A1,Data!$A$1:$DZU$999999,2398,FALSE)</f>
        <v>#N/A</v>
      </c>
    </row>
    <row r="142" spans="1:17" x14ac:dyDescent="0.35">
      <c r="A142" s="1" t="e">
        <f>VLOOKUP(A1,Data!$A$1:$DZU$999999,2399,FALSE)</f>
        <v>#N/A</v>
      </c>
      <c r="B142" s="1" t="e">
        <f>VLOOKUP(A1,Data!$A$1:$DZU$999999,2400,FALSE)</f>
        <v>#N/A</v>
      </c>
      <c r="C142" s="1" t="e">
        <f>VLOOKUP(A1,Data!$A$1:$DZU$999999,2401,FALSE)</f>
        <v>#N/A</v>
      </c>
      <c r="D142" s="1" t="e">
        <f>VLOOKUP(A1,Data!$A$1:$DZU$999999,2402,FALSE)</f>
        <v>#N/A</v>
      </c>
      <c r="E142" s="1" t="e">
        <f>VLOOKUP(A1,Data!$A$1:$DZU$999999,2403,FALSE)</f>
        <v>#N/A</v>
      </c>
      <c r="F142" s="1" t="e">
        <f>VLOOKUP(A1,Data!$A$1:$DZU$999999,2404,FALSE)</f>
        <v>#N/A</v>
      </c>
      <c r="G142" s="1" t="e">
        <f>VLOOKUP(A1,Data!$A$1:$DZU$999999,2405,FALSE)</f>
        <v>#N/A</v>
      </c>
      <c r="H142" s="1" t="e">
        <f>VLOOKUP(A1,Data!$A$1:$DZU$999999,2406,FALSE)</f>
        <v>#N/A</v>
      </c>
      <c r="I142" s="1" t="e">
        <f>VLOOKUP(A1,Data!$A$1:$DZU$999999,2407,FALSE)</f>
        <v>#N/A</v>
      </c>
      <c r="J142" s="1" t="e">
        <f>VLOOKUP(A1,Data!$A$1:$DZU$999999,2408,FALSE)</f>
        <v>#N/A</v>
      </c>
      <c r="K142" s="1" t="e">
        <f>VLOOKUP(A1,Data!$A$1:$DZU$999999,2409,FALSE)</f>
        <v>#N/A</v>
      </c>
      <c r="L142" s="1" t="e">
        <f>VLOOKUP(A1,Data!$A$1:$DZU$999999,2410,FALSE)</f>
        <v>#N/A</v>
      </c>
      <c r="M142" s="1" t="e">
        <f>VLOOKUP(A1,Data!$A$1:$DZU$999999,2411,FALSE)</f>
        <v>#N/A</v>
      </c>
      <c r="N142" s="1" t="e">
        <f>VLOOKUP(A1,Data!$A$1:$DZU$999999,2412,FALSE)</f>
        <v>#N/A</v>
      </c>
      <c r="O142" s="1" t="e">
        <f>VLOOKUP(A1,Data!$A$1:$DZU$999999,2413,FALSE)</f>
        <v>#N/A</v>
      </c>
      <c r="P142" s="1" t="e">
        <f>VLOOKUP(A1,Data!$A$1:$DZU$999999,2414,FALSE)</f>
        <v>#N/A</v>
      </c>
      <c r="Q142" s="1" t="e">
        <f>VLOOKUP(A1,Data!$A$1:$DZU$999999,2415,FALSE)</f>
        <v>#N/A</v>
      </c>
    </row>
    <row r="143" spans="1:17" x14ac:dyDescent="0.35">
      <c r="A143" s="1" t="e">
        <f>VLOOKUP(A1,Data!$A$1:$DZU$999999,2416,FALSE)</f>
        <v>#N/A</v>
      </c>
      <c r="B143" s="1" t="e">
        <f>VLOOKUP(A1,Data!$A$1:$DZU$999999,2417,FALSE)</f>
        <v>#N/A</v>
      </c>
      <c r="C143" s="1" t="e">
        <f>VLOOKUP(A1,Data!$A$1:$DZU$999999,2418,FALSE)</f>
        <v>#N/A</v>
      </c>
      <c r="D143" s="1" t="e">
        <f>VLOOKUP(A1,Data!$A$1:$DZU$999999,2419,FALSE)</f>
        <v>#N/A</v>
      </c>
      <c r="E143" s="1" t="e">
        <f>VLOOKUP(A1,Data!$A$1:$DZU$999999,2420,FALSE)</f>
        <v>#N/A</v>
      </c>
      <c r="F143" s="1" t="e">
        <f>VLOOKUP(A1,Data!$A$1:$DZU$999999,2421,FALSE)</f>
        <v>#N/A</v>
      </c>
      <c r="G143" s="1" t="e">
        <f>VLOOKUP(A1,Data!$A$1:$DZU$999999,2422,FALSE)</f>
        <v>#N/A</v>
      </c>
      <c r="H143" s="1" t="e">
        <f>VLOOKUP(A1,Data!$A$1:$DZU$999999,2423,FALSE)</f>
        <v>#N/A</v>
      </c>
      <c r="I143" s="1" t="e">
        <f>VLOOKUP(A1,Data!$A$1:$DZU$999999,2424,FALSE)</f>
        <v>#N/A</v>
      </c>
      <c r="J143" s="1" t="e">
        <f>VLOOKUP(A1,Data!$A$1:$DZU$999999,2425,FALSE)</f>
        <v>#N/A</v>
      </c>
      <c r="K143" s="1" t="e">
        <f>VLOOKUP(A1,Data!$A$1:$DZU$999999,2426,FALSE)</f>
        <v>#N/A</v>
      </c>
      <c r="L143" s="1" t="e">
        <f>VLOOKUP(A1,Data!$A$1:$DZU$999999,2427,FALSE)</f>
        <v>#N/A</v>
      </c>
      <c r="M143" s="1" t="e">
        <f>VLOOKUP(A1,Data!$A$1:$DZU$999999,2428,FALSE)</f>
        <v>#N/A</v>
      </c>
      <c r="N143" s="1" t="e">
        <f>VLOOKUP(A1,Data!$A$1:$DZU$999999,2429,FALSE)</f>
        <v>#N/A</v>
      </c>
      <c r="O143" s="1" t="e">
        <f>VLOOKUP(A1,Data!$A$1:$DZU$999999,2430,FALSE)</f>
        <v>#N/A</v>
      </c>
      <c r="P143" s="1" t="e">
        <f>VLOOKUP(A1,Data!$A$1:$DZU$999999,2431,FALSE)</f>
        <v>#N/A</v>
      </c>
      <c r="Q143" s="1" t="e">
        <f>VLOOKUP(A1,Data!$A$1:$DZU$999999,2432,FALSE)</f>
        <v>#N/A</v>
      </c>
    </row>
    <row r="144" spans="1:17" x14ac:dyDescent="0.35">
      <c r="A144" s="1" t="e">
        <f>VLOOKUP(A1,Data!$A$1:$DZU$999999,2433,FALSE)</f>
        <v>#N/A</v>
      </c>
      <c r="B144" s="1" t="e">
        <f>VLOOKUP(A1,Data!$A$1:$DZU$999999,2434,FALSE)</f>
        <v>#N/A</v>
      </c>
      <c r="C144" s="1" t="e">
        <f>VLOOKUP(A1,Data!$A$1:$DZU$999999,2435,FALSE)</f>
        <v>#N/A</v>
      </c>
      <c r="D144" s="1" t="e">
        <f>VLOOKUP(A1,Data!$A$1:$DZU$999999,2436,FALSE)</f>
        <v>#N/A</v>
      </c>
      <c r="E144" s="1" t="e">
        <f>VLOOKUP(A1,Data!$A$1:$DZU$999999,2437,FALSE)</f>
        <v>#N/A</v>
      </c>
      <c r="F144" s="1" t="e">
        <f>VLOOKUP(A1,Data!$A$1:$DZU$999999,2438,FALSE)</f>
        <v>#N/A</v>
      </c>
      <c r="G144" s="1" t="e">
        <f>VLOOKUP(A1,Data!$A$1:$DZU$999999,2439,FALSE)</f>
        <v>#N/A</v>
      </c>
      <c r="H144" s="1" t="e">
        <f>VLOOKUP(A1,Data!$A$1:$DZU$999999,2440,FALSE)</f>
        <v>#N/A</v>
      </c>
      <c r="I144" s="1" t="e">
        <f>VLOOKUP(A1,Data!$A$1:$DZU$999999,2441,FALSE)</f>
        <v>#N/A</v>
      </c>
      <c r="J144" s="1" t="e">
        <f>VLOOKUP(A1,Data!$A$1:$DZU$999999,2442,FALSE)</f>
        <v>#N/A</v>
      </c>
      <c r="K144" s="1" t="e">
        <f>VLOOKUP(A1,Data!$A$1:$DZU$999999,2443,FALSE)</f>
        <v>#N/A</v>
      </c>
      <c r="L144" s="1" t="e">
        <f>VLOOKUP(A1,Data!$A$1:$DZU$999999,2444,FALSE)</f>
        <v>#N/A</v>
      </c>
      <c r="M144" s="1" t="e">
        <f>VLOOKUP(A1,Data!$A$1:$DZU$999999,2445,FALSE)</f>
        <v>#N/A</v>
      </c>
      <c r="N144" s="1" t="e">
        <f>VLOOKUP(A1,Data!$A$1:$DZU$999999,2446,FALSE)</f>
        <v>#N/A</v>
      </c>
      <c r="O144" s="1" t="e">
        <f>VLOOKUP(A1,Data!$A$1:$DZU$999999,2447,FALSE)</f>
        <v>#N/A</v>
      </c>
      <c r="P144" s="1" t="e">
        <f>VLOOKUP(A1,Data!$A$1:$DZU$999999,2448,FALSE)</f>
        <v>#N/A</v>
      </c>
      <c r="Q144" s="1" t="e">
        <f>VLOOKUP(A1,Data!$A$1:$DZU$999999,2449,FALSE)</f>
        <v>#N/A</v>
      </c>
    </row>
    <row r="145" spans="1:17" x14ac:dyDescent="0.35">
      <c r="A145" s="1" t="e">
        <f>VLOOKUP(A1,Data!$A$1:$DZU$999999,2450,FALSE)</f>
        <v>#N/A</v>
      </c>
      <c r="B145" s="1" t="e">
        <f>VLOOKUP(A1,Data!$A$1:$DZU$999999,2451,FALSE)</f>
        <v>#N/A</v>
      </c>
      <c r="C145" s="1" t="e">
        <f>VLOOKUP(A1,Data!$A$1:$DZU$999999,2452,FALSE)</f>
        <v>#N/A</v>
      </c>
      <c r="D145" s="1" t="e">
        <f>VLOOKUP(A1,Data!$A$1:$DZU$999999,2453,FALSE)</f>
        <v>#N/A</v>
      </c>
      <c r="E145" s="1" t="e">
        <f>VLOOKUP(A1,Data!$A$1:$DZU$999999,2454,FALSE)</f>
        <v>#N/A</v>
      </c>
      <c r="F145" s="1" t="e">
        <f>VLOOKUP(A1,Data!$A$1:$DZU$999999,2455,FALSE)</f>
        <v>#N/A</v>
      </c>
      <c r="G145" s="1" t="e">
        <f>VLOOKUP(A1,Data!$A$1:$DZU$999999,2456,FALSE)</f>
        <v>#N/A</v>
      </c>
      <c r="H145" s="1" t="e">
        <f>VLOOKUP(A1,Data!$A$1:$DZU$999999,2457,FALSE)</f>
        <v>#N/A</v>
      </c>
      <c r="I145" s="1" t="e">
        <f>VLOOKUP(A1,Data!$A$1:$DZU$999999,2458,FALSE)</f>
        <v>#N/A</v>
      </c>
      <c r="J145" s="1" t="e">
        <f>VLOOKUP(A1,Data!$A$1:$DZU$999999,2459,FALSE)</f>
        <v>#N/A</v>
      </c>
      <c r="K145" s="1" t="e">
        <f>VLOOKUP(A1,Data!$A$1:$DZU$999999,2460,FALSE)</f>
        <v>#N/A</v>
      </c>
      <c r="L145" s="1" t="e">
        <f>VLOOKUP(A1,Data!$A$1:$DZU$999999,2461,FALSE)</f>
        <v>#N/A</v>
      </c>
      <c r="M145" s="1" t="e">
        <f>VLOOKUP(A1,Data!$A$1:$DZU$999999,2462,FALSE)</f>
        <v>#N/A</v>
      </c>
      <c r="N145" s="1" t="e">
        <f>VLOOKUP(A1,Data!$A$1:$DZU$999999,2463,FALSE)</f>
        <v>#N/A</v>
      </c>
      <c r="O145" s="1" t="e">
        <f>VLOOKUP(A1,Data!$A$1:$DZU$999999,2464,FALSE)</f>
        <v>#N/A</v>
      </c>
      <c r="P145" s="1" t="e">
        <f>VLOOKUP(A1,Data!$A$1:$DZU$999999,2465,FALSE)</f>
        <v>#N/A</v>
      </c>
      <c r="Q145" s="1" t="e">
        <f>VLOOKUP(A1,Data!$A$1:$DZU$999999,2466,FALSE)</f>
        <v>#N/A</v>
      </c>
    </row>
    <row r="146" spans="1:17" x14ac:dyDescent="0.35">
      <c r="A146" s="1" t="e">
        <f>VLOOKUP(A1,Data!$A$1:$DZU$999999,2467,FALSE)</f>
        <v>#N/A</v>
      </c>
      <c r="B146" s="1" t="e">
        <f>VLOOKUP(A1,Data!$A$1:$DZU$999999,2468,FALSE)</f>
        <v>#N/A</v>
      </c>
      <c r="C146" s="1" t="e">
        <f>VLOOKUP(A1,Data!$A$1:$DZU$999999,2469,FALSE)</f>
        <v>#N/A</v>
      </c>
      <c r="D146" s="1" t="e">
        <f>VLOOKUP(A1,Data!$A$1:$DZU$999999,2470,FALSE)</f>
        <v>#N/A</v>
      </c>
      <c r="E146" s="1" t="e">
        <f>VLOOKUP(A1,Data!$A$1:$DZU$999999,2471,FALSE)</f>
        <v>#N/A</v>
      </c>
      <c r="F146" s="1" t="e">
        <f>VLOOKUP(A1,Data!$A$1:$DZU$999999,2472,FALSE)</f>
        <v>#N/A</v>
      </c>
      <c r="G146" s="1" t="e">
        <f>VLOOKUP(A1,Data!$A$1:$DZU$999999,2473,FALSE)</f>
        <v>#N/A</v>
      </c>
      <c r="H146" s="1" t="e">
        <f>VLOOKUP(A1,Data!$A$1:$DZU$999999,2474,FALSE)</f>
        <v>#N/A</v>
      </c>
      <c r="I146" s="1" t="e">
        <f>VLOOKUP(A1,Data!$A$1:$DZU$999999,2475,FALSE)</f>
        <v>#N/A</v>
      </c>
      <c r="J146" s="1" t="e">
        <f>VLOOKUP(A1,Data!$A$1:$DZU$999999,2476,FALSE)</f>
        <v>#N/A</v>
      </c>
      <c r="K146" s="1" t="e">
        <f>VLOOKUP(A1,Data!$A$1:$DZU$999999,2477,FALSE)</f>
        <v>#N/A</v>
      </c>
      <c r="L146" s="1" t="e">
        <f>VLOOKUP(A1,Data!$A$1:$DZU$999999,2478,FALSE)</f>
        <v>#N/A</v>
      </c>
      <c r="M146" s="1" t="e">
        <f>VLOOKUP(A1,Data!$A$1:$DZU$999999,2479,FALSE)</f>
        <v>#N/A</v>
      </c>
      <c r="N146" s="1" t="e">
        <f>VLOOKUP(A1,Data!$A$1:$DZU$999999,2480,FALSE)</f>
        <v>#N/A</v>
      </c>
      <c r="O146" s="1" t="e">
        <f>VLOOKUP(A1,Data!$A$1:$DZU$999999,2481,FALSE)</f>
        <v>#N/A</v>
      </c>
      <c r="P146" s="1" t="e">
        <f>VLOOKUP(A1,Data!$A$1:$DZU$999999,2482,FALSE)</f>
        <v>#N/A</v>
      </c>
      <c r="Q146" s="1" t="e">
        <f>VLOOKUP(A1,Data!$A$1:$DZU$999999,2483,FALSE)</f>
        <v>#N/A</v>
      </c>
    </row>
    <row r="147" spans="1:17" x14ac:dyDescent="0.35">
      <c r="A147" s="1" t="e">
        <f>VLOOKUP(A1,Data!$A$1:$DZU$999999,2484,FALSE)</f>
        <v>#N/A</v>
      </c>
      <c r="B147" s="1" t="e">
        <f>VLOOKUP(A1,Data!$A$1:$DZU$999999,2485,FALSE)</f>
        <v>#N/A</v>
      </c>
      <c r="C147" s="1" t="e">
        <f>VLOOKUP(A1,Data!$A$1:$DZU$999999,2486,FALSE)</f>
        <v>#N/A</v>
      </c>
      <c r="D147" s="1" t="e">
        <f>VLOOKUP(A1,Data!$A$1:$DZU$999999,2487,FALSE)</f>
        <v>#N/A</v>
      </c>
      <c r="E147" s="1" t="e">
        <f>VLOOKUP(A1,Data!$A$1:$DZU$999999,2488,FALSE)</f>
        <v>#N/A</v>
      </c>
      <c r="F147" s="1" t="e">
        <f>VLOOKUP(A1,Data!$A$1:$DZU$999999,2489,FALSE)</f>
        <v>#N/A</v>
      </c>
      <c r="G147" s="1" t="e">
        <f>VLOOKUP(A1,Data!$A$1:$DZU$999999,2490,FALSE)</f>
        <v>#N/A</v>
      </c>
      <c r="H147" s="1" t="e">
        <f>VLOOKUP(A1,Data!$A$1:$DZU$999999,2491,FALSE)</f>
        <v>#N/A</v>
      </c>
      <c r="I147" s="1" t="e">
        <f>VLOOKUP(A1,Data!$A$1:$DZU$999999,2492,FALSE)</f>
        <v>#N/A</v>
      </c>
      <c r="J147" s="1" t="e">
        <f>VLOOKUP(A1,Data!$A$1:$DZU$999999,2493,FALSE)</f>
        <v>#N/A</v>
      </c>
      <c r="K147" s="1" t="e">
        <f>VLOOKUP(A1,Data!$A$1:$DZU$999999,2494,FALSE)</f>
        <v>#N/A</v>
      </c>
      <c r="L147" s="1" t="e">
        <f>VLOOKUP(A1,Data!$A$1:$DZU$999999,2495,FALSE)</f>
        <v>#N/A</v>
      </c>
      <c r="M147" s="1" t="e">
        <f>VLOOKUP(A1,Data!$A$1:$DZU$999999,2496,FALSE)</f>
        <v>#N/A</v>
      </c>
      <c r="N147" s="1" t="e">
        <f>VLOOKUP(A1,Data!$A$1:$DZU$999999,2497,FALSE)</f>
        <v>#N/A</v>
      </c>
      <c r="O147" s="1" t="e">
        <f>VLOOKUP(A1,Data!$A$1:$DZU$999999,2498,FALSE)</f>
        <v>#N/A</v>
      </c>
      <c r="P147" s="1" t="e">
        <f>VLOOKUP(A1,Data!$A$1:$DZU$999999,2499,FALSE)</f>
        <v>#N/A</v>
      </c>
      <c r="Q147" s="1" t="e">
        <f>VLOOKUP(A1,Data!$A$1:$DZU$999999,2500,FALSE)</f>
        <v>#N/A</v>
      </c>
    </row>
    <row r="148" spans="1:17" x14ac:dyDescent="0.35">
      <c r="A148" s="1" t="e">
        <f>VLOOKUP(A1,Data!$A$1:$DZU$999999,2501,FALSE)</f>
        <v>#N/A</v>
      </c>
      <c r="B148" s="1" t="e">
        <f>VLOOKUP(A1,Data!$A$1:$DZU$999999,2502,FALSE)</f>
        <v>#N/A</v>
      </c>
      <c r="C148" s="1" t="e">
        <f>VLOOKUP(A1,Data!$A$1:$DZU$999999,2503,FALSE)</f>
        <v>#N/A</v>
      </c>
      <c r="D148" s="1" t="e">
        <f>VLOOKUP(A1,Data!$A$1:$DZU$999999,2504,FALSE)</f>
        <v>#N/A</v>
      </c>
      <c r="E148" s="1" t="e">
        <f>VLOOKUP(A1,Data!$A$1:$DZU$999999,2505,FALSE)</f>
        <v>#N/A</v>
      </c>
      <c r="F148" s="1" t="e">
        <f>VLOOKUP(A1,Data!$A$1:$DZU$999999,2506,FALSE)</f>
        <v>#N/A</v>
      </c>
      <c r="G148" s="1" t="e">
        <f>VLOOKUP(A1,Data!$A$1:$DZU$999999,2507,FALSE)</f>
        <v>#N/A</v>
      </c>
      <c r="H148" s="1" t="e">
        <f>VLOOKUP(A1,Data!$A$1:$DZU$999999,2508,FALSE)</f>
        <v>#N/A</v>
      </c>
      <c r="I148" s="1" t="e">
        <f>VLOOKUP(A1,Data!$A$1:$DZU$999999,2509,FALSE)</f>
        <v>#N/A</v>
      </c>
      <c r="J148" s="1" t="e">
        <f>VLOOKUP(A1,Data!$A$1:$DZU$999999,2510,FALSE)</f>
        <v>#N/A</v>
      </c>
      <c r="K148" s="1" t="e">
        <f>VLOOKUP(A1,Data!$A$1:$DZU$999999,2511,FALSE)</f>
        <v>#N/A</v>
      </c>
      <c r="L148" s="1" t="e">
        <f>VLOOKUP(A1,Data!$A$1:$DZU$999999,2512,FALSE)</f>
        <v>#N/A</v>
      </c>
      <c r="M148" s="1" t="e">
        <f>VLOOKUP(A1,Data!$A$1:$DZU$999999,2513,FALSE)</f>
        <v>#N/A</v>
      </c>
      <c r="N148" s="1" t="e">
        <f>VLOOKUP(A1,Data!$A$1:$DZU$999999,2514,FALSE)</f>
        <v>#N/A</v>
      </c>
      <c r="O148" s="1" t="e">
        <f>VLOOKUP(A1,Data!$A$1:$DZU$999999,2515,FALSE)</f>
        <v>#N/A</v>
      </c>
      <c r="P148" s="1" t="e">
        <f>VLOOKUP(A1,Data!$A$1:$DZU$999999,2516,FALSE)</f>
        <v>#N/A</v>
      </c>
      <c r="Q148" s="1" t="e">
        <f>VLOOKUP(A1,Data!$A$1:$DZU$999999,2517,FALSE)</f>
        <v>#N/A</v>
      </c>
    </row>
    <row r="149" spans="1:17" x14ac:dyDescent="0.35">
      <c r="A149" s="1" t="e">
        <f>VLOOKUP(A1,Data!$A$1:$DZU$999999,2518,FALSE)</f>
        <v>#N/A</v>
      </c>
      <c r="B149" s="1" t="e">
        <f>VLOOKUP(A1,Data!$A$1:$DZU$999999,2519,FALSE)</f>
        <v>#N/A</v>
      </c>
      <c r="C149" s="1" t="e">
        <f>VLOOKUP(A1,Data!$A$1:$DZU$999999,2520,FALSE)</f>
        <v>#N/A</v>
      </c>
      <c r="D149" s="1" t="e">
        <f>VLOOKUP(A1,Data!$A$1:$DZU$999999,2521,FALSE)</f>
        <v>#N/A</v>
      </c>
      <c r="E149" s="1" t="e">
        <f>VLOOKUP(A1,Data!$A$1:$DZU$999999,2522,FALSE)</f>
        <v>#N/A</v>
      </c>
      <c r="F149" s="1" t="e">
        <f>VLOOKUP(A1,Data!$A$1:$DZU$999999,2523,FALSE)</f>
        <v>#N/A</v>
      </c>
      <c r="G149" s="1" t="e">
        <f>VLOOKUP(A1,Data!$A$1:$DZU$999999,2524,FALSE)</f>
        <v>#N/A</v>
      </c>
      <c r="H149" s="1" t="e">
        <f>VLOOKUP(A1,Data!$A$1:$DZU$999999,2525,FALSE)</f>
        <v>#N/A</v>
      </c>
      <c r="I149" s="1" t="e">
        <f>VLOOKUP(A1,Data!$A$1:$DZU$999999,2526,FALSE)</f>
        <v>#N/A</v>
      </c>
      <c r="J149" s="1" t="e">
        <f>VLOOKUP(A1,Data!$A$1:$DZU$999999,2527,FALSE)</f>
        <v>#N/A</v>
      </c>
      <c r="K149" s="1" t="e">
        <f>VLOOKUP(A1,Data!$A$1:$DZU$999999,2528,FALSE)</f>
        <v>#N/A</v>
      </c>
      <c r="L149" s="1" t="e">
        <f>VLOOKUP(A1,Data!$A$1:$DZU$999999,2529,FALSE)</f>
        <v>#N/A</v>
      </c>
      <c r="M149" s="1" t="e">
        <f>VLOOKUP(A1,Data!$A$1:$DZU$999999,2530,FALSE)</f>
        <v>#N/A</v>
      </c>
      <c r="N149" s="1" t="e">
        <f>VLOOKUP(A1,Data!$A$1:$DZU$999999,2531,FALSE)</f>
        <v>#N/A</v>
      </c>
      <c r="O149" s="1" t="e">
        <f>VLOOKUP(A1,Data!$A$1:$DZU$999999,2532,FALSE)</f>
        <v>#N/A</v>
      </c>
      <c r="P149" s="1" t="e">
        <f>VLOOKUP(A1,Data!$A$1:$DZU$999999,2533,FALSE)</f>
        <v>#N/A</v>
      </c>
      <c r="Q149" s="1" t="e">
        <f>VLOOKUP(A1,Data!$A$1:$DZU$999999,2534,FALSE)</f>
        <v>#N/A</v>
      </c>
    </row>
    <row r="150" spans="1:17" x14ac:dyDescent="0.35">
      <c r="A150" s="1" t="e">
        <f>VLOOKUP(A1,Data!$A$1:$DZU$999999,2535,FALSE)</f>
        <v>#N/A</v>
      </c>
      <c r="B150" s="1" t="e">
        <f>VLOOKUP(A1,Data!$A$1:$DZU$999999,2536,FALSE)</f>
        <v>#N/A</v>
      </c>
      <c r="C150" s="1" t="e">
        <f>VLOOKUP(A1,Data!$A$1:$DZU$999999,2537,FALSE)</f>
        <v>#N/A</v>
      </c>
      <c r="D150" s="1" t="e">
        <f>VLOOKUP(A1,Data!$A$1:$DZU$999999,2538,FALSE)</f>
        <v>#N/A</v>
      </c>
      <c r="E150" s="1" t="e">
        <f>VLOOKUP(A1,Data!$A$1:$DZU$999999,2539,FALSE)</f>
        <v>#N/A</v>
      </c>
      <c r="F150" s="1" t="e">
        <f>VLOOKUP(A1,Data!$A$1:$DZU$999999,2540,FALSE)</f>
        <v>#N/A</v>
      </c>
      <c r="G150" s="1" t="e">
        <f>VLOOKUP(A1,Data!$A$1:$DZU$999999,2541,FALSE)</f>
        <v>#N/A</v>
      </c>
      <c r="H150" s="1" t="e">
        <f>VLOOKUP(A1,Data!$A$1:$DZU$999999,2542,FALSE)</f>
        <v>#N/A</v>
      </c>
      <c r="I150" s="1" t="e">
        <f>VLOOKUP(A1,Data!$A$1:$DZU$999999,2543,FALSE)</f>
        <v>#N/A</v>
      </c>
      <c r="J150" s="1" t="e">
        <f>VLOOKUP(A1,Data!$A$1:$DZU$999999,2544,FALSE)</f>
        <v>#N/A</v>
      </c>
      <c r="K150" s="1" t="e">
        <f>VLOOKUP(A1,Data!$A$1:$DZU$999999,2545,FALSE)</f>
        <v>#N/A</v>
      </c>
      <c r="L150" s="1" t="e">
        <f>VLOOKUP(A1,Data!$A$1:$DZU$999999,2546,FALSE)</f>
        <v>#N/A</v>
      </c>
      <c r="M150" s="1" t="e">
        <f>VLOOKUP(A1,Data!$A$1:$DZU$999999,2547,FALSE)</f>
        <v>#N/A</v>
      </c>
      <c r="N150" s="1" t="e">
        <f>VLOOKUP(A1,Data!$A$1:$DZU$999999,2548,FALSE)</f>
        <v>#N/A</v>
      </c>
      <c r="O150" s="1" t="e">
        <f>VLOOKUP(A1,Data!$A$1:$DZU$999999,2549,FALSE)</f>
        <v>#N/A</v>
      </c>
      <c r="P150" s="1" t="e">
        <f>VLOOKUP(A1,Data!$A$1:$DZU$999999,2550,FALSE)</f>
        <v>#N/A</v>
      </c>
      <c r="Q150" s="1" t="e">
        <f>VLOOKUP(A1,Data!$A$1:$DZU$999999,2551,FALSE)</f>
        <v>#N/A</v>
      </c>
    </row>
    <row r="151" spans="1:17" x14ac:dyDescent="0.35">
      <c r="A151" s="1" t="e">
        <f>VLOOKUP(A1,Data!$A$1:$DZU$999999,2552,FALSE)</f>
        <v>#N/A</v>
      </c>
      <c r="B151" s="1" t="e">
        <f>VLOOKUP(A1,Data!$A$1:$DZU$999999,2553,FALSE)</f>
        <v>#N/A</v>
      </c>
      <c r="C151" s="1" t="e">
        <f>VLOOKUP(A1,Data!$A$1:$DZU$999999,2554,FALSE)</f>
        <v>#N/A</v>
      </c>
      <c r="D151" s="1" t="e">
        <f>VLOOKUP(A1,Data!$A$1:$DZU$999999,2555,FALSE)</f>
        <v>#N/A</v>
      </c>
      <c r="E151" s="1" t="e">
        <f>VLOOKUP(A1,Data!$A$1:$DZU$999999,2556,FALSE)</f>
        <v>#N/A</v>
      </c>
      <c r="F151" s="1" t="e">
        <f>VLOOKUP(A1,Data!$A$1:$DZU$999999,2557,FALSE)</f>
        <v>#N/A</v>
      </c>
      <c r="G151" s="1" t="e">
        <f>VLOOKUP(A1,Data!$A$1:$DZU$999999,2558,FALSE)</f>
        <v>#N/A</v>
      </c>
      <c r="H151" s="1" t="e">
        <f>VLOOKUP(A1,Data!$A$1:$DZU$999999,2559,FALSE)</f>
        <v>#N/A</v>
      </c>
      <c r="I151" s="1" t="e">
        <f>VLOOKUP(A1,Data!$A$1:$DZU$999999,2560,FALSE)</f>
        <v>#N/A</v>
      </c>
      <c r="J151" s="1" t="e">
        <f>VLOOKUP(A1,Data!$A$1:$DZU$999999,2561,FALSE)</f>
        <v>#N/A</v>
      </c>
      <c r="K151" s="1" t="e">
        <f>VLOOKUP(A1,Data!$A$1:$DZU$999999,2562,FALSE)</f>
        <v>#N/A</v>
      </c>
      <c r="L151" s="1" t="e">
        <f>VLOOKUP(A1,Data!$A$1:$DZU$999999,2563,FALSE)</f>
        <v>#N/A</v>
      </c>
      <c r="M151" s="1" t="e">
        <f>VLOOKUP(A1,Data!$A$1:$DZU$999999,2564,FALSE)</f>
        <v>#N/A</v>
      </c>
      <c r="N151" s="1" t="e">
        <f>VLOOKUP(A1,Data!$A$1:$DZU$999999,2565,FALSE)</f>
        <v>#N/A</v>
      </c>
      <c r="O151" s="1" t="e">
        <f>VLOOKUP(A1,Data!$A$1:$DZU$999999,2566,FALSE)</f>
        <v>#N/A</v>
      </c>
      <c r="P151" s="1" t="e">
        <f>VLOOKUP(A1,Data!$A$1:$DZU$999999,2567,FALSE)</f>
        <v>#N/A</v>
      </c>
      <c r="Q151" s="1" t="e">
        <f>VLOOKUP(A1,Data!$A$1:$DZU$999999,2568,FALSE)</f>
        <v>#N/A</v>
      </c>
    </row>
    <row r="152" spans="1:17" x14ac:dyDescent="0.35">
      <c r="A152" s="1" t="e">
        <f>VLOOKUP(A1,Data!$A$1:$DZU$999999,2569,FALSE)</f>
        <v>#N/A</v>
      </c>
      <c r="B152" s="1" t="e">
        <f>VLOOKUP(A1,Data!$A$1:$DZU$999999,2570,FALSE)</f>
        <v>#N/A</v>
      </c>
      <c r="C152" s="1" t="e">
        <f>VLOOKUP(A1,Data!$A$1:$DZU$999999,2571,FALSE)</f>
        <v>#N/A</v>
      </c>
      <c r="D152" s="1" t="e">
        <f>VLOOKUP(A1,Data!$A$1:$DZU$999999,2572,FALSE)</f>
        <v>#N/A</v>
      </c>
      <c r="E152" s="1" t="e">
        <f>VLOOKUP(A1,Data!$A$1:$DZU$999999,2573,FALSE)</f>
        <v>#N/A</v>
      </c>
      <c r="F152" s="1" t="e">
        <f>VLOOKUP(A1,Data!$A$1:$DZU$999999,2574,FALSE)</f>
        <v>#N/A</v>
      </c>
      <c r="G152" s="1" t="e">
        <f>VLOOKUP(A1,Data!$A$1:$DZU$999999,2575,FALSE)</f>
        <v>#N/A</v>
      </c>
      <c r="H152" s="1" t="e">
        <f>VLOOKUP(A1,Data!$A$1:$DZU$999999,2576,FALSE)</f>
        <v>#N/A</v>
      </c>
      <c r="I152" s="1" t="e">
        <f>VLOOKUP(A1,Data!$A$1:$DZU$999999,2577,FALSE)</f>
        <v>#N/A</v>
      </c>
      <c r="J152" s="1" t="e">
        <f>VLOOKUP(A1,Data!$A$1:$DZU$999999,2578,FALSE)</f>
        <v>#N/A</v>
      </c>
      <c r="K152" s="1" t="e">
        <f>VLOOKUP(A1,Data!$A$1:$DZU$999999,2579,FALSE)</f>
        <v>#N/A</v>
      </c>
      <c r="L152" s="1" t="e">
        <f>VLOOKUP(A1,Data!$A$1:$DZU$999999,2580,FALSE)</f>
        <v>#N/A</v>
      </c>
      <c r="M152" s="1" t="e">
        <f>VLOOKUP(A1,Data!$A$1:$DZU$999999,2581,FALSE)</f>
        <v>#N/A</v>
      </c>
      <c r="N152" s="1" t="e">
        <f>VLOOKUP(A1,Data!$A$1:$DZU$999999,2582,FALSE)</f>
        <v>#N/A</v>
      </c>
      <c r="O152" s="1" t="e">
        <f>VLOOKUP(A1,Data!$A$1:$DZU$999999,2583,FALSE)</f>
        <v>#N/A</v>
      </c>
      <c r="P152" s="1" t="e">
        <f>VLOOKUP(A1,Data!$A$1:$DZU$999999,2584,FALSE)</f>
        <v>#N/A</v>
      </c>
      <c r="Q152" s="1" t="e">
        <f>VLOOKUP(A1,Data!$A$1:$DZU$999999,2585,FALSE)</f>
        <v>#N/A</v>
      </c>
    </row>
    <row r="153" spans="1:17" x14ac:dyDescent="0.35">
      <c r="A153" s="1" t="e">
        <f>VLOOKUP(A1,Data!$A$1:$DZU$999999,2586,FALSE)</f>
        <v>#N/A</v>
      </c>
      <c r="B153" s="1" t="e">
        <f>VLOOKUP(A1,Data!$A$1:$DZU$999999,2587,FALSE)</f>
        <v>#N/A</v>
      </c>
      <c r="C153" s="1" t="e">
        <f>VLOOKUP(A1,Data!$A$1:$DZU$999999,2588,FALSE)</f>
        <v>#N/A</v>
      </c>
      <c r="D153" s="1" t="e">
        <f>VLOOKUP(A1,Data!$A$1:$DZU$999999,2589,FALSE)</f>
        <v>#N/A</v>
      </c>
      <c r="E153" s="1" t="e">
        <f>VLOOKUP(A1,Data!$A$1:$DZU$999999,2590,FALSE)</f>
        <v>#N/A</v>
      </c>
      <c r="F153" s="1" t="e">
        <f>VLOOKUP(A1,Data!$A$1:$DZU$999999,2591,FALSE)</f>
        <v>#N/A</v>
      </c>
      <c r="G153" s="1" t="e">
        <f>VLOOKUP(A1,Data!$A$1:$DZU$999999,2592,FALSE)</f>
        <v>#N/A</v>
      </c>
      <c r="H153" s="1" t="e">
        <f>VLOOKUP(A1,Data!$A$1:$DZU$999999,2593,FALSE)</f>
        <v>#N/A</v>
      </c>
      <c r="I153" s="1" t="e">
        <f>VLOOKUP(A1,Data!$A$1:$DZU$999999,2594,FALSE)</f>
        <v>#N/A</v>
      </c>
      <c r="J153" s="1" t="e">
        <f>VLOOKUP(A1,Data!$A$1:$DZU$999999,2595,FALSE)</f>
        <v>#N/A</v>
      </c>
      <c r="K153" s="1" t="e">
        <f>VLOOKUP(A1,Data!$A$1:$DZU$999999,2596,FALSE)</f>
        <v>#N/A</v>
      </c>
      <c r="L153" s="1" t="e">
        <f>VLOOKUP(A1,Data!$A$1:$DZU$999999,2597,FALSE)</f>
        <v>#N/A</v>
      </c>
      <c r="M153" s="1" t="e">
        <f>VLOOKUP(A1,Data!$A$1:$DZU$999999,2598,FALSE)</f>
        <v>#N/A</v>
      </c>
      <c r="N153" s="1" t="e">
        <f>VLOOKUP(A1,Data!$A$1:$DZU$999999,2599,FALSE)</f>
        <v>#N/A</v>
      </c>
      <c r="O153" s="1" t="e">
        <f>VLOOKUP(A1,Data!$A$1:$DZU$999999,2600,FALSE)</f>
        <v>#N/A</v>
      </c>
      <c r="P153" s="1" t="e">
        <f>VLOOKUP(A1,Data!$A$1:$DZU$999999,2601,FALSE)</f>
        <v>#N/A</v>
      </c>
      <c r="Q153" s="1" t="e">
        <f>VLOOKUP(A1,Data!$A$1:$DZU$999999,2602,FALSE)</f>
        <v>#N/A</v>
      </c>
    </row>
    <row r="154" spans="1:17" x14ac:dyDescent="0.35">
      <c r="A154" s="1" t="e">
        <f>VLOOKUP(A1,Data!$A$1:$DZU$999999,2603,FALSE)</f>
        <v>#N/A</v>
      </c>
      <c r="B154" s="1" t="e">
        <f>VLOOKUP(A1,Data!$A$1:$DZU$999999,2604,FALSE)</f>
        <v>#N/A</v>
      </c>
      <c r="C154" s="1" t="e">
        <f>VLOOKUP(A1,Data!$A$1:$DZU$999999,2605,FALSE)</f>
        <v>#N/A</v>
      </c>
      <c r="D154" s="1" t="e">
        <f>VLOOKUP(A1,Data!$A$1:$DZU$999999,2606,FALSE)</f>
        <v>#N/A</v>
      </c>
      <c r="E154" s="1" t="e">
        <f>VLOOKUP(A1,Data!$A$1:$DZU$999999,2607,FALSE)</f>
        <v>#N/A</v>
      </c>
      <c r="F154" s="1" t="e">
        <f>VLOOKUP(A1,Data!$A$1:$DZU$999999,2608,FALSE)</f>
        <v>#N/A</v>
      </c>
      <c r="G154" s="1" t="e">
        <f>VLOOKUP(A1,Data!$A$1:$DZU$999999,2609,FALSE)</f>
        <v>#N/A</v>
      </c>
      <c r="H154" s="1" t="e">
        <f>VLOOKUP(A1,Data!$A$1:$DZU$999999,2610,FALSE)</f>
        <v>#N/A</v>
      </c>
      <c r="I154" s="1" t="e">
        <f>VLOOKUP(A1,Data!$A$1:$DZU$999999,2611,FALSE)</f>
        <v>#N/A</v>
      </c>
      <c r="J154" s="1" t="e">
        <f>VLOOKUP(A1,Data!$A$1:$DZU$999999,2612,FALSE)</f>
        <v>#N/A</v>
      </c>
      <c r="K154" s="1" t="e">
        <f>VLOOKUP(A1,Data!$A$1:$DZU$999999,2613,FALSE)</f>
        <v>#N/A</v>
      </c>
      <c r="L154" s="1" t="e">
        <f>VLOOKUP(A1,Data!$A$1:$DZU$999999,2614,FALSE)</f>
        <v>#N/A</v>
      </c>
      <c r="M154" s="1" t="e">
        <f>VLOOKUP(A1,Data!$A$1:$DZU$999999,2615,FALSE)</f>
        <v>#N/A</v>
      </c>
      <c r="N154" s="1" t="e">
        <f>VLOOKUP(A1,Data!$A$1:$DZU$999999,2616,FALSE)</f>
        <v>#N/A</v>
      </c>
      <c r="O154" s="1" t="e">
        <f>VLOOKUP(A1,Data!$A$1:$DZU$999999,2617,FALSE)</f>
        <v>#N/A</v>
      </c>
      <c r="P154" s="1" t="e">
        <f>VLOOKUP(A1,Data!$A$1:$DZU$999999,2618,FALSE)</f>
        <v>#N/A</v>
      </c>
      <c r="Q154" s="1" t="e">
        <f>VLOOKUP(A1,Data!$A$1:$DZU$999999,2619,FALSE)</f>
        <v>#N/A</v>
      </c>
    </row>
    <row r="155" spans="1:17" x14ac:dyDescent="0.35">
      <c r="A155" s="1" t="e">
        <f>VLOOKUP(A1,Data!$A$1:$DZU$999999,2620,FALSE)</f>
        <v>#N/A</v>
      </c>
      <c r="B155" s="1" t="e">
        <f>VLOOKUP(A1,Data!$A$1:$DZU$999999,2621,FALSE)</f>
        <v>#N/A</v>
      </c>
      <c r="C155" s="1" t="e">
        <f>VLOOKUP(A1,Data!$A$1:$DZU$999999,2622,FALSE)</f>
        <v>#N/A</v>
      </c>
      <c r="D155" s="1" t="e">
        <f>VLOOKUP(A1,Data!$A$1:$DZU$999999,2623,FALSE)</f>
        <v>#N/A</v>
      </c>
      <c r="E155" s="1" t="e">
        <f>VLOOKUP(A1,Data!$A$1:$DZU$999999,2624,FALSE)</f>
        <v>#N/A</v>
      </c>
      <c r="F155" s="1" t="e">
        <f>VLOOKUP(A1,Data!$A$1:$DZU$999999,2625,FALSE)</f>
        <v>#N/A</v>
      </c>
      <c r="G155" s="1" t="e">
        <f>VLOOKUP(A1,Data!$A$1:$DZU$999999,2626,FALSE)</f>
        <v>#N/A</v>
      </c>
      <c r="H155" s="1" t="e">
        <f>VLOOKUP(A1,Data!$A$1:$DZU$999999,2627,FALSE)</f>
        <v>#N/A</v>
      </c>
      <c r="I155" s="1" t="e">
        <f>VLOOKUP(A1,Data!$A$1:$DZU$999999,2628,FALSE)</f>
        <v>#N/A</v>
      </c>
      <c r="J155" s="1" t="e">
        <f>VLOOKUP(A1,Data!$A$1:$DZU$999999,2629,FALSE)</f>
        <v>#N/A</v>
      </c>
      <c r="K155" s="1" t="e">
        <f>VLOOKUP(A1,Data!$A$1:$DZU$999999,2630,FALSE)</f>
        <v>#N/A</v>
      </c>
      <c r="L155" s="1" t="e">
        <f>VLOOKUP(A1,Data!$A$1:$DZU$999999,2631,FALSE)</f>
        <v>#N/A</v>
      </c>
      <c r="M155" s="1" t="e">
        <f>VLOOKUP(A1,Data!$A$1:$DZU$999999,2632,FALSE)</f>
        <v>#N/A</v>
      </c>
      <c r="N155" s="1" t="e">
        <f>VLOOKUP(A1,Data!$A$1:$DZU$999999,2633,FALSE)</f>
        <v>#N/A</v>
      </c>
      <c r="O155" s="1" t="e">
        <f>VLOOKUP(A1,Data!$A$1:$DZU$999999,2634,FALSE)</f>
        <v>#N/A</v>
      </c>
      <c r="P155" s="1" t="e">
        <f>VLOOKUP(A1,Data!$A$1:$DZU$999999,2635,FALSE)</f>
        <v>#N/A</v>
      </c>
      <c r="Q155" s="1" t="e">
        <f>VLOOKUP(A1,Data!$A$1:$DZU$999999,2636,FALSE)</f>
        <v>#N/A</v>
      </c>
    </row>
    <row r="156" spans="1:17" x14ac:dyDescent="0.35">
      <c r="A156" s="1" t="e">
        <f>VLOOKUP(A1,Data!$A$1:$DZU$999999,2637,FALSE)</f>
        <v>#N/A</v>
      </c>
      <c r="B156" s="1" t="e">
        <f>VLOOKUP(A1,Data!$A$1:$DZU$999999,2638,FALSE)</f>
        <v>#N/A</v>
      </c>
      <c r="C156" s="1" t="e">
        <f>VLOOKUP(A1,Data!$A$1:$DZU$999999,2639,FALSE)</f>
        <v>#N/A</v>
      </c>
      <c r="D156" s="1" t="e">
        <f>VLOOKUP(A1,Data!$A$1:$DZU$999999,2640,FALSE)</f>
        <v>#N/A</v>
      </c>
      <c r="E156" s="1" t="e">
        <f>VLOOKUP(A1,Data!$A$1:$DZU$999999,2641,FALSE)</f>
        <v>#N/A</v>
      </c>
      <c r="F156" s="1" t="e">
        <f>VLOOKUP(A1,Data!$A$1:$DZU$999999,2642,FALSE)</f>
        <v>#N/A</v>
      </c>
      <c r="G156" s="1" t="e">
        <f>VLOOKUP(A1,Data!$A$1:$DZU$999999,2643,FALSE)</f>
        <v>#N/A</v>
      </c>
      <c r="H156" s="1" t="e">
        <f>VLOOKUP(A1,Data!$A$1:$DZU$999999,2644,FALSE)</f>
        <v>#N/A</v>
      </c>
      <c r="I156" s="1" t="e">
        <f>VLOOKUP(A1,Data!$A$1:$DZU$999999,2645,FALSE)</f>
        <v>#N/A</v>
      </c>
      <c r="J156" s="1" t="e">
        <f>VLOOKUP(A1,Data!$A$1:$DZU$999999,2646,FALSE)</f>
        <v>#N/A</v>
      </c>
      <c r="K156" s="1" t="e">
        <f>VLOOKUP(A1,Data!$A$1:$DZU$999999,2647,FALSE)</f>
        <v>#N/A</v>
      </c>
      <c r="L156" s="1" t="e">
        <f>VLOOKUP(A1,Data!$A$1:$DZU$999999,2648,FALSE)</f>
        <v>#N/A</v>
      </c>
      <c r="M156" s="1" t="e">
        <f>VLOOKUP(A1,Data!$A$1:$DZU$999999,2649,FALSE)</f>
        <v>#N/A</v>
      </c>
      <c r="N156" s="1" t="e">
        <f>VLOOKUP(A1,Data!$A$1:$DZU$999999,2650,FALSE)</f>
        <v>#N/A</v>
      </c>
      <c r="O156" s="1" t="e">
        <f>VLOOKUP(A1,Data!$A$1:$DZU$999999,2651,FALSE)</f>
        <v>#N/A</v>
      </c>
      <c r="P156" s="1" t="e">
        <f>VLOOKUP(A1,Data!$A$1:$DZU$999999,2652,FALSE)</f>
        <v>#N/A</v>
      </c>
      <c r="Q156" s="1" t="e">
        <f>VLOOKUP(A1,Data!$A$1:$DZU$999999,2653,FALSE)</f>
        <v>#N/A</v>
      </c>
    </row>
    <row r="157" spans="1:17" x14ac:dyDescent="0.35">
      <c r="A157" s="1" t="e">
        <f>VLOOKUP(A1,Data!$A$1:$DZU$999999,2654,FALSE)</f>
        <v>#N/A</v>
      </c>
      <c r="B157" s="1" t="e">
        <f>VLOOKUP(A1,Data!$A$1:$DZU$999999,2655,FALSE)</f>
        <v>#N/A</v>
      </c>
      <c r="C157" s="1" t="e">
        <f>VLOOKUP(A1,Data!$A$1:$DZU$999999,2656,FALSE)</f>
        <v>#N/A</v>
      </c>
      <c r="D157" s="1" t="e">
        <f>VLOOKUP(A1,Data!$A$1:$DZU$999999,2657,FALSE)</f>
        <v>#N/A</v>
      </c>
      <c r="E157" s="1" t="e">
        <f>VLOOKUP(A1,Data!$A$1:$DZU$999999,2658,FALSE)</f>
        <v>#N/A</v>
      </c>
      <c r="F157" s="1" t="e">
        <f>VLOOKUP(A1,Data!$A$1:$DZU$999999,2659,FALSE)</f>
        <v>#N/A</v>
      </c>
      <c r="G157" s="1" t="e">
        <f>VLOOKUP(A1,Data!$A$1:$DZU$999999,2660,FALSE)</f>
        <v>#N/A</v>
      </c>
      <c r="H157" s="1" t="e">
        <f>VLOOKUP(A1,Data!$A$1:$DZU$999999,2661,FALSE)</f>
        <v>#N/A</v>
      </c>
      <c r="I157" s="1" t="e">
        <f>VLOOKUP(A1,Data!$A$1:$DZU$999999,2662,FALSE)</f>
        <v>#N/A</v>
      </c>
      <c r="J157" s="1" t="e">
        <f>VLOOKUP(A1,Data!$A$1:$DZU$999999,2663,FALSE)</f>
        <v>#N/A</v>
      </c>
      <c r="K157" s="1" t="e">
        <f>VLOOKUP(A1,Data!$A$1:$DZU$999999,2664,FALSE)</f>
        <v>#N/A</v>
      </c>
      <c r="L157" s="1" t="e">
        <f>VLOOKUP(A1,Data!$A$1:$DZU$999999,2665,FALSE)</f>
        <v>#N/A</v>
      </c>
      <c r="M157" s="1" t="e">
        <f>VLOOKUP(A1,Data!$A$1:$DZU$999999,2666,FALSE)</f>
        <v>#N/A</v>
      </c>
      <c r="N157" s="1" t="e">
        <f>VLOOKUP(A1,Data!$A$1:$DZU$999999,2667,FALSE)</f>
        <v>#N/A</v>
      </c>
      <c r="O157" s="1" t="e">
        <f>VLOOKUP(A1,Data!$A$1:$DZU$999999,2668,FALSE)</f>
        <v>#N/A</v>
      </c>
      <c r="P157" s="1" t="e">
        <f>VLOOKUP(A1,Data!$A$1:$DZU$999999,2669,FALSE)</f>
        <v>#N/A</v>
      </c>
      <c r="Q157" s="1" t="e">
        <f>VLOOKUP(A1,Data!$A$1:$DZU$999999,2670,FALSE)</f>
        <v>#N/A</v>
      </c>
    </row>
    <row r="158" spans="1:17" x14ac:dyDescent="0.35">
      <c r="A158" s="1" t="e">
        <f>VLOOKUP(A1,Data!$A$1:$DZU$999999,2671,FALSE)</f>
        <v>#N/A</v>
      </c>
      <c r="B158" s="1" t="e">
        <f>VLOOKUP(A1,Data!$A$1:$DZU$999999,2672,FALSE)</f>
        <v>#N/A</v>
      </c>
      <c r="C158" s="1" t="e">
        <f>VLOOKUP(A1,Data!$A$1:$DZU$999999,2673,FALSE)</f>
        <v>#N/A</v>
      </c>
      <c r="D158" s="1" t="e">
        <f>VLOOKUP(A1,Data!$A$1:$DZU$999999,2674,FALSE)</f>
        <v>#N/A</v>
      </c>
      <c r="E158" s="1" t="e">
        <f>VLOOKUP(A1,Data!$A$1:$DZU$999999,2675,FALSE)</f>
        <v>#N/A</v>
      </c>
      <c r="F158" s="1" t="e">
        <f>VLOOKUP(A1,Data!$A$1:$DZU$999999,2676,FALSE)</f>
        <v>#N/A</v>
      </c>
      <c r="G158" s="1" t="e">
        <f>VLOOKUP(A1,Data!$A$1:$DZU$999999,2677,FALSE)</f>
        <v>#N/A</v>
      </c>
      <c r="H158" s="1" t="e">
        <f>VLOOKUP(A1,Data!$A$1:$DZU$999999,2678,FALSE)</f>
        <v>#N/A</v>
      </c>
      <c r="I158" s="1" t="e">
        <f>VLOOKUP(A1,Data!$A$1:$DZU$999999,2679,FALSE)</f>
        <v>#N/A</v>
      </c>
      <c r="J158" s="1" t="e">
        <f>VLOOKUP(A1,Data!$A$1:$DZU$999999,2680,FALSE)</f>
        <v>#N/A</v>
      </c>
      <c r="K158" s="1" t="e">
        <f>VLOOKUP(A1,Data!$A$1:$DZU$999999,2681,FALSE)</f>
        <v>#N/A</v>
      </c>
      <c r="L158" s="1" t="e">
        <f>VLOOKUP(A1,Data!$A$1:$DZU$999999,2682,FALSE)</f>
        <v>#N/A</v>
      </c>
      <c r="M158" s="1" t="e">
        <f>VLOOKUP(A1,Data!$A$1:$DZU$999999,2683,FALSE)</f>
        <v>#N/A</v>
      </c>
      <c r="N158" s="1" t="e">
        <f>VLOOKUP(A1,Data!$A$1:$DZU$999999,2684,FALSE)</f>
        <v>#N/A</v>
      </c>
      <c r="O158" s="1" t="e">
        <f>VLOOKUP(A1,Data!$A$1:$DZU$999999,2685,FALSE)</f>
        <v>#N/A</v>
      </c>
      <c r="P158" s="1" t="e">
        <f>VLOOKUP(A1,Data!$A$1:$DZU$999999,2686,FALSE)</f>
        <v>#N/A</v>
      </c>
      <c r="Q158" s="1" t="e">
        <f>VLOOKUP(A1,Data!$A$1:$DZU$999999,2687,FALSE)</f>
        <v>#N/A</v>
      </c>
    </row>
    <row r="159" spans="1:17" x14ac:dyDescent="0.35">
      <c r="A159" s="1" t="e">
        <f>VLOOKUP(A1,Data!$A$1:$DZU$999999,2688,FALSE)</f>
        <v>#N/A</v>
      </c>
      <c r="B159" s="1" t="e">
        <f>VLOOKUP(A1,Data!$A$1:$DZU$999999,2689,FALSE)</f>
        <v>#N/A</v>
      </c>
      <c r="C159" s="1" t="e">
        <f>VLOOKUP(A1,Data!$A$1:$DZU$999999,2690,FALSE)</f>
        <v>#N/A</v>
      </c>
      <c r="D159" s="1" t="e">
        <f>VLOOKUP(A1,Data!$A$1:$DZU$999999,2691,FALSE)</f>
        <v>#N/A</v>
      </c>
      <c r="E159" s="1" t="e">
        <f>VLOOKUP(A1,Data!$A$1:$DZU$999999,2692,FALSE)</f>
        <v>#N/A</v>
      </c>
      <c r="F159" s="1" t="e">
        <f>VLOOKUP(A1,Data!$A$1:$DZU$999999,2693,FALSE)</f>
        <v>#N/A</v>
      </c>
      <c r="G159" s="1" t="e">
        <f>VLOOKUP(A1,Data!$A$1:$DZU$999999,2694,FALSE)</f>
        <v>#N/A</v>
      </c>
      <c r="H159" s="1" t="e">
        <f>VLOOKUP(A1,Data!$A$1:$DZU$999999,2695,FALSE)</f>
        <v>#N/A</v>
      </c>
      <c r="I159" s="1" t="e">
        <f>VLOOKUP(A1,Data!$A$1:$DZU$999999,2696,FALSE)</f>
        <v>#N/A</v>
      </c>
      <c r="J159" s="1" t="e">
        <f>VLOOKUP(A1,Data!$A$1:$DZU$999999,2697,FALSE)</f>
        <v>#N/A</v>
      </c>
      <c r="K159" s="1" t="e">
        <f>VLOOKUP(A1,Data!$A$1:$DZU$999999,2698,FALSE)</f>
        <v>#N/A</v>
      </c>
      <c r="L159" s="1" t="e">
        <f>VLOOKUP(A1,Data!$A$1:$DZU$999999,2699,FALSE)</f>
        <v>#N/A</v>
      </c>
      <c r="M159" s="1" t="e">
        <f>VLOOKUP(A1,Data!$A$1:$DZU$999999,2700,FALSE)</f>
        <v>#N/A</v>
      </c>
      <c r="N159" s="1" t="e">
        <f>VLOOKUP(A1,Data!$A$1:$DZU$999999,2701,FALSE)</f>
        <v>#N/A</v>
      </c>
      <c r="O159" s="1" t="e">
        <f>VLOOKUP(A1,Data!$A$1:$DZU$999999,2702,FALSE)</f>
        <v>#N/A</v>
      </c>
      <c r="P159" s="1" t="e">
        <f>VLOOKUP(A1,Data!$A$1:$DZU$999999,2703,FALSE)</f>
        <v>#N/A</v>
      </c>
      <c r="Q159" s="1" t="e">
        <f>VLOOKUP(A1,Data!$A$1:$DZU$999999,2704,FALSE)</f>
        <v>#N/A</v>
      </c>
    </row>
    <row r="160" spans="1:17" x14ac:dyDescent="0.35">
      <c r="A160" s="1" t="e">
        <f>VLOOKUP(A1,Data!$A$1:$DZU$999999,2705,FALSE)</f>
        <v>#N/A</v>
      </c>
      <c r="B160" s="1" t="e">
        <f>VLOOKUP(A1,Data!$A$1:$DZU$999999,2706,FALSE)</f>
        <v>#N/A</v>
      </c>
      <c r="C160" s="1" t="e">
        <f>VLOOKUP(A1,Data!$A$1:$DZU$999999,2707,FALSE)</f>
        <v>#N/A</v>
      </c>
      <c r="D160" s="1" t="e">
        <f>VLOOKUP(A1,Data!$A$1:$DZU$999999,2708,FALSE)</f>
        <v>#N/A</v>
      </c>
      <c r="E160" s="1" t="e">
        <f>VLOOKUP(A1,Data!$A$1:$DZU$999999,2709,FALSE)</f>
        <v>#N/A</v>
      </c>
      <c r="F160" s="1" t="e">
        <f>VLOOKUP(A1,Data!$A$1:$DZU$999999,2710,FALSE)</f>
        <v>#N/A</v>
      </c>
      <c r="G160" s="1" t="e">
        <f>VLOOKUP(A1,Data!$A$1:$DZU$999999,2711,FALSE)</f>
        <v>#N/A</v>
      </c>
      <c r="H160" s="1" t="e">
        <f>VLOOKUP(A1,Data!$A$1:$DZU$999999,2712,FALSE)</f>
        <v>#N/A</v>
      </c>
      <c r="I160" s="1" t="e">
        <f>VLOOKUP(A1,Data!$A$1:$DZU$999999,2713,FALSE)</f>
        <v>#N/A</v>
      </c>
      <c r="J160" s="1" t="e">
        <f>VLOOKUP(A1,Data!$A$1:$DZU$999999,2714,FALSE)</f>
        <v>#N/A</v>
      </c>
      <c r="K160" s="1" t="e">
        <f>VLOOKUP(A1,Data!$A$1:$DZU$999999,2715,FALSE)</f>
        <v>#N/A</v>
      </c>
      <c r="L160" s="1" t="e">
        <f>VLOOKUP(A1,Data!$A$1:$DZU$999999,2716,FALSE)</f>
        <v>#N/A</v>
      </c>
      <c r="M160" s="1" t="e">
        <f>VLOOKUP(A1,Data!$A$1:$DZU$999999,2717,FALSE)</f>
        <v>#N/A</v>
      </c>
      <c r="N160" s="1" t="e">
        <f>VLOOKUP(A1,Data!$A$1:$DZU$999999,2718,FALSE)</f>
        <v>#N/A</v>
      </c>
      <c r="O160" s="1" t="e">
        <f>VLOOKUP(A1,Data!$A$1:$DZU$999999,2719,FALSE)</f>
        <v>#N/A</v>
      </c>
      <c r="P160" s="1" t="e">
        <f>VLOOKUP(A1,Data!$A$1:$DZU$999999,2720,FALSE)</f>
        <v>#N/A</v>
      </c>
      <c r="Q160" s="1" t="e">
        <f>VLOOKUP(A1,Data!$A$1:$DZU$999999,2721,FALSE)</f>
        <v>#N/A</v>
      </c>
    </row>
    <row r="161" spans="1:17" x14ac:dyDescent="0.35">
      <c r="A161" s="1" t="e">
        <f>VLOOKUP(A1,Data!$A$1:$DZU$999999,2722,FALSE)</f>
        <v>#N/A</v>
      </c>
      <c r="B161" s="1" t="e">
        <f>VLOOKUP(A1,Data!$A$1:$DZU$999999,2723,FALSE)</f>
        <v>#N/A</v>
      </c>
      <c r="C161" s="1" t="e">
        <f>VLOOKUP(A1,Data!$A$1:$DZU$999999,2724,FALSE)</f>
        <v>#N/A</v>
      </c>
      <c r="D161" s="1" t="e">
        <f>VLOOKUP(A1,Data!$A$1:$DZU$999999,2725,FALSE)</f>
        <v>#N/A</v>
      </c>
      <c r="E161" s="1" t="e">
        <f>VLOOKUP(A1,Data!$A$1:$DZU$999999,2726,FALSE)</f>
        <v>#N/A</v>
      </c>
      <c r="F161" s="1" t="e">
        <f>VLOOKUP(A1,Data!$A$1:$DZU$999999,2727,FALSE)</f>
        <v>#N/A</v>
      </c>
      <c r="G161" s="1" t="e">
        <f>VLOOKUP(A1,Data!$A$1:$DZU$999999,2728,FALSE)</f>
        <v>#N/A</v>
      </c>
      <c r="H161" s="1" t="e">
        <f>VLOOKUP(A1,Data!$A$1:$DZU$999999,2729,FALSE)</f>
        <v>#N/A</v>
      </c>
      <c r="I161" s="1" t="e">
        <f>VLOOKUP(A1,Data!$A$1:$DZU$999999,2730,FALSE)</f>
        <v>#N/A</v>
      </c>
      <c r="J161" s="1" t="e">
        <f>VLOOKUP(A1,Data!$A$1:$DZU$999999,2731,FALSE)</f>
        <v>#N/A</v>
      </c>
      <c r="K161" s="1" t="e">
        <f>VLOOKUP(A1,Data!$A$1:$DZU$999999,2732,FALSE)</f>
        <v>#N/A</v>
      </c>
      <c r="L161" s="1" t="e">
        <f>VLOOKUP(A1,Data!$A$1:$DZU$999999,2733,FALSE)</f>
        <v>#N/A</v>
      </c>
      <c r="M161" s="1" t="e">
        <f>VLOOKUP(A1,Data!$A$1:$DZU$999999,2734,FALSE)</f>
        <v>#N/A</v>
      </c>
      <c r="N161" s="1" t="e">
        <f>VLOOKUP(A1,Data!$A$1:$DZU$999999,2735,FALSE)</f>
        <v>#N/A</v>
      </c>
      <c r="O161" s="1" t="e">
        <f>VLOOKUP(A1,Data!$A$1:$DZU$999999,2736,FALSE)</f>
        <v>#N/A</v>
      </c>
      <c r="P161" s="1" t="e">
        <f>VLOOKUP(A1,Data!$A$1:$DZU$999999,2737,FALSE)</f>
        <v>#N/A</v>
      </c>
      <c r="Q161" s="1" t="e">
        <f>VLOOKUP(A1,Data!$A$1:$DZU$999999,2738,FALSE)</f>
        <v>#N/A</v>
      </c>
    </row>
    <row r="162" spans="1:17" x14ac:dyDescent="0.35">
      <c r="A162" s="1" t="e">
        <f>VLOOKUP(A1,Data!$A$1:$DZU$999999,2739,FALSE)</f>
        <v>#N/A</v>
      </c>
      <c r="B162" s="1" t="e">
        <f>VLOOKUP(A1,Data!$A$1:$DZU$999999,2740,FALSE)</f>
        <v>#N/A</v>
      </c>
      <c r="C162" s="1" t="e">
        <f>VLOOKUP(A1,Data!$A$1:$DZU$999999,2741,FALSE)</f>
        <v>#N/A</v>
      </c>
      <c r="D162" s="1" t="e">
        <f>VLOOKUP(A1,Data!$A$1:$DZU$999999,2742,FALSE)</f>
        <v>#N/A</v>
      </c>
      <c r="E162" s="1" t="e">
        <f>VLOOKUP(A1,Data!$A$1:$DZU$999999,2743,FALSE)</f>
        <v>#N/A</v>
      </c>
      <c r="F162" s="1" t="e">
        <f>VLOOKUP(A1,Data!$A$1:$DZU$999999,2744,FALSE)</f>
        <v>#N/A</v>
      </c>
      <c r="G162" s="1" t="e">
        <f>VLOOKUP(A1,Data!$A$1:$DZU$999999,2745,FALSE)</f>
        <v>#N/A</v>
      </c>
      <c r="H162" s="1" t="e">
        <f>VLOOKUP(A1,Data!$A$1:$DZU$999999,2746,FALSE)</f>
        <v>#N/A</v>
      </c>
      <c r="I162" s="1" t="e">
        <f>VLOOKUP(A1,Data!$A$1:$DZU$999999,2747,FALSE)</f>
        <v>#N/A</v>
      </c>
      <c r="J162" s="1" t="e">
        <f>VLOOKUP(A1,Data!$A$1:$DZU$999999,2748,FALSE)</f>
        <v>#N/A</v>
      </c>
      <c r="K162" s="1" t="e">
        <f>VLOOKUP(A1,Data!$A$1:$DZU$999999,2749,FALSE)</f>
        <v>#N/A</v>
      </c>
      <c r="L162" s="1" t="e">
        <f>VLOOKUP(A1,Data!$A$1:$DZU$999999,2750,FALSE)</f>
        <v>#N/A</v>
      </c>
      <c r="M162" s="1" t="e">
        <f>VLOOKUP(A1,Data!$A$1:$DZU$999999,2751,FALSE)</f>
        <v>#N/A</v>
      </c>
      <c r="N162" s="1" t="e">
        <f>VLOOKUP(A1,Data!$A$1:$DZU$999999,2752,FALSE)</f>
        <v>#N/A</v>
      </c>
      <c r="O162" s="1" t="e">
        <f>VLOOKUP(A1,Data!$A$1:$DZU$999999,2753,FALSE)</f>
        <v>#N/A</v>
      </c>
      <c r="P162" s="1" t="e">
        <f>VLOOKUP(A1,Data!$A$1:$DZU$999999,2754,FALSE)</f>
        <v>#N/A</v>
      </c>
      <c r="Q162" s="1" t="e">
        <f>VLOOKUP(A1,Data!$A$1:$DZU$999999,2755,FALSE)</f>
        <v>#N/A</v>
      </c>
    </row>
    <row r="163" spans="1:17" x14ac:dyDescent="0.35">
      <c r="A163" s="1" t="e">
        <f>VLOOKUP(A1,Data!$A$1:$DZU$999999,2756,FALSE)</f>
        <v>#N/A</v>
      </c>
      <c r="B163" s="1" t="e">
        <f>VLOOKUP(A1,Data!$A$1:$DZU$999999,2757,FALSE)</f>
        <v>#N/A</v>
      </c>
      <c r="C163" s="1" t="e">
        <f>VLOOKUP(A1,Data!$A$1:$DZU$999999,2758,FALSE)</f>
        <v>#N/A</v>
      </c>
      <c r="D163" s="1" t="e">
        <f>VLOOKUP(A1,Data!$A$1:$DZU$999999,2759,FALSE)</f>
        <v>#N/A</v>
      </c>
      <c r="E163" s="1" t="e">
        <f>VLOOKUP(A1,Data!$A$1:$DZU$999999,2760,FALSE)</f>
        <v>#N/A</v>
      </c>
      <c r="F163" s="1" t="e">
        <f>VLOOKUP(A1,Data!$A$1:$DZU$999999,2761,FALSE)</f>
        <v>#N/A</v>
      </c>
      <c r="G163" s="1" t="e">
        <f>VLOOKUP(A1,Data!$A$1:$DZU$999999,2762,FALSE)</f>
        <v>#N/A</v>
      </c>
      <c r="H163" s="1" t="e">
        <f>VLOOKUP(A1,Data!$A$1:$DZU$999999,2763,FALSE)</f>
        <v>#N/A</v>
      </c>
      <c r="I163" s="1" t="e">
        <f>VLOOKUP(A1,Data!$A$1:$DZU$999999,2764,FALSE)</f>
        <v>#N/A</v>
      </c>
      <c r="J163" s="1" t="e">
        <f>VLOOKUP(A1,Data!$A$1:$DZU$999999,2765,FALSE)</f>
        <v>#N/A</v>
      </c>
      <c r="K163" s="1" t="e">
        <f>VLOOKUP(A1,Data!$A$1:$DZU$999999,2766,FALSE)</f>
        <v>#N/A</v>
      </c>
      <c r="L163" s="1" t="e">
        <f>VLOOKUP(A1,Data!$A$1:$DZU$999999,2767,FALSE)</f>
        <v>#N/A</v>
      </c>
      <c r="M163" s="1" t="e">
        <f>VLOOKUP(A1,Data!$A$1:$DZU$999999,2768,FALSE)</f>
        <v>#N/A</v>
      </c>
      <c r="N163" s="1" t="e">
        <f>VLOOKUP(A1,Data!$A$1:$DZU$999999,2769,FALSE)</f>
        <v>#N/A</v>
      </c>
      <c r="O163" s="1" t="e">
        <f>VLOOKUP(A1,Data!$A$1:$DZU$999999,2770,FALSE)</f>
        <v>#N/A</v>
      </c>
      <c r="P163" s="1" t="e">
        <f>VLOOKUP(A1,Data!$A$1:$DZU$999999,2771,FALSE)</f>
        <v>#N/A</v>
      </c>
      <c r="Q163" s="1" t="e">
        <f>VLOOKUP(A1,Data!$A$1:$DZU$999999,2772,FALSE)</f>
        <v>#N/A</v>
      </c>
    </row>
    <row r="164" spans="1:17" x14ac:dyDescent="0.35">
      <c r="A164" s="1" t="e">
        <f>VLOOKUP(A1,Data!$A$1:$DZU$999999,2773,FALSE)</f>
        <v>#N/A</v>
      </c>
      <c r="B164" s="1" t="e">
        <f>VLOOKUP(A1,Data!$A$1:$DZU$999999,2774,FALSE)</f>
        <v>#N/A</v>
      </c>
      <c r="C164" s="1" t="e">
        <f>VLOOKUP(A1,Data!$A$1:$DZU$999999,2775,FALSE)</f>
        <v>#N/A</v>
      </c>
      <c r="D164" s="1" t="e">
        <f>VLOOKUP(A1,Data!$A$1:$DZU$999999,2776,FALSE)</f>
        <v>#N/A</v>
      </c>
      <c r="E164" s="1" t="e">
        <f>VLOOKUP(A1,Data!$A$1:$DZU$999999,2777,FALSE)</f>
        <v>#N/A</v>
      </c>
      <c r="F164" s="1" t="e">
        <f>VLOOKUP(A1,Data!$A$1:$DZU$999999,2778,FALSE)</f>
        <v>#N/A</v>
      </c>
      <c r="G164" s="1" t="e">
        <f>VLOOKUP(A1,Data!$A$1:$DZU$999999,2779,FALSE)</f>
        <v>#N/A</v>
      </c>
      <c r="H164" s="1" t="e">
        <f>VLOOKUP(A1,Data!$A$1:$DZU$999999,2780,FALSE)</f>
        <v>#N/A</v>
      </c>
      <c r="I164" s="1" t="e">
        <f>VLOOKUP(A1,Data!$A$1:$DZU$999999,2781,FALSE)</f>
        <v>#N/A</v>
      </c>
      <c r="J164" s="1" t="e">
        <f>VLOOKUP(A1,Data!$A$1:$DZU$999999,2782,FALSE)</f>
        <v>#N/A</v>
      </c>
      <c r="K164" s="1" t="e">
        <f>VLOOKUP(A1,Data!$A$1:$DZU$999999,2783,FALSE)</f>
        <v>#N/A</v>
      </c>
      <c r="L164" s="1" t="e">
        <f>VLOOKUP(A1,Data!$A$1:$DZU$999999,2784,FALSE)</f>
        <v>#N/A</v>
      </c>
      <c r="M164" s="1" t="e">
        <f>VLOOKUP(A1,Data!$A$1:$DZU$999999,2785,FALSE)</f>
        <v>#N/A</v>
      </c>
      <c r="N164" s="1" t="e">
        <f>VLOOKUP(A1,Data!$A$1:$DZU$999999,2786,FALSE)</f>
        <v>#N/A</v>
      </c>
      <c r="O164" s="1" t="e">
        <f>VLOOKUP(A1,Data!$A$1:$DZU$999999,2787,FALSE)</f>
        <v>#N/A</v>
      </c>
      <c r="P164" s="1" t="e">
        <f>VLOOKUP(A1,Data!$A$1:$DZU$999999,2788,FALSE)</f>
        <v>#N/A</v>
      </c>
      <c r="Q164" s="1" t="e">
        <f>VLOOKUP(A1,Data!$A$1:$DZU$999999,2789,FALSE)</f>
        <v>#N/A</v>
      </c>
    </row>
    <row r="165" spans="1:17" x14ac:dyDescent="0.35">
      <c r="A165" s="1" t="e">
        <f>VLOOKUP(A1,Data!$A$1:$DZU$999999,2790,FALSE)</f>
        <v>#N/A</v>
      </c>
      <c r="B165" s="1" t="e">
        <f>VLOOKUP(A1,Data!$A$1:$DZU$999999,2791,FALSE)</f>
        <v>#N/A</v>
      </c>
      <c r="C165" s="1" t="e">
        <f>VLOOKUP(A1,Data!$A$1:$DZU$999999,2792,FALSE)</f>
        <v>#N/A</v>
      </c>
      <c r="D165" s="1" t="e">
        <f>VLOOKUP(A1,Data!$A$1:$DZU$999999,2793,FALSE)</f>
        <v>#N/A</v>
      </c>
      <c r="E165" s="1" t="e">
        <f>VLOOKUP(A1,Data!$A$1:$DZU$999999,2794,FALSE)</f>
        <v>#N/A</v>
      </c>
      <c r="F165" s="1" t="e">
        <f>VLOOKUP(A1,Data!$A$1:$DZU$999999,2795,FALSE)</f>
        <v>#N/A</v>
      </c>
      <c r="G165" s="1" t="e">
        <f>VLOOKUP(A1,Data!$A$1:$DZU$999999,2796,FALSE)</f>
        <v>#N/A</v>
      </c>
      <c r="H165" s="1" t="e">
        <f>VLOOKUP(A1,Data!$A$1:$DZU$999999,2797,FALSE)</f>
        <v>#N/A</v>
      </c>
      <c r="I165" s="1" t="e">
        <f>VLOOKUP(A1,Data!$A$1:$DZU$999999,2798,FALSE)</f>
        <v>#N/A</v>
      </c>
      <c r="J165" s="1" t="e">
        <f>VLOOKUP(A1,Data!$A$1:$DZU$999999,2799,FALSE)</f>
        <v>#N/A</v>
      </c>
      <c r="K165" s="1" t="e">
        <f>VLOOKUP(A1,Data!$A$1:$DZU$999999,2800,FALSE)</f>
        <v>#N/A</v>
      </c>
      <c r="L165" s="1" t="e">
        <f>VLOOKUP(A1,Data!$A$1:$DZU$999999,2801,FALSE)</f>
        <v>#N/A</v>
      </c>
      <c r="M165" s="1" t="e">
        <f>VLOOKUP(A1,Data!$A$1:$DZU$999999,2802,FALSE)</f>
        <v>#N/A</v>
      </c>
      <c r="N165" s="1" t="e">
        <f>VLOOKUP(A1,Data!$A$1:$DZU$999999,2803,FALSE)</f>
        <v>#N/A</v>
      </c>
      <c r="O165" s="1" t="e">
        <f>VLOOKUP(A1,Data!$A$1:$DZU$999999,2804,FALSE)</f>
        <v>#N/A</v>
      </c>
      <c r="P165" s="1" t="e">
        <f>VLOOKUP(A1,Data!$A$1:$DZU$999999,2805,FALSE)</f>
        <v>#N/A</v>
      </c>
      <c r="Q165" s="1" t="e">
        <f>VLOOKUP(A1,Data!$A$1:$DZU$999999,2806,FALSE)</f>
        <v>#N/A</v>
      </c>
    </row>
    <row r="166" spans="1:17" x14ac:dyDescent="0.35">
      <c r="A166" s="1" t="e">
        <f>VLOOKUP(A1,Data!$A$1:$DZU$999999,2807,FALSE)</f>
        <v>#N/A</v>
      </c>
      <c r="B166" s="1" t="e">
        <f>VLOOKUP(A1,Data!$A$1:$DZU$999999,2808,FALSE)</f>
        <v>#N/A</v>
      </c>
      <c r="C166" s="1" t="e">
        <f>VLOOKUP(A1,Data!$A$1:$DZU$999999,2809,FALSE)</f>
        <v>#N/A</v>
      </c>
      <c r="D166" s="1" t="e">
        <f>VLOOKUP(A1,Data!$A$1:$DZU$999999,2810,FALSE)</f>
        <v>#N/A</v>
      </c>
      <c r="E166" s="1" t="e">
        <f>VLOOKUP(A1,Data!$A$1:$DZU$999999,2811,FALSE)</f>
        <v>#N/A</v>
      </c>
      <c r="F166" s="1" t="e">
        <f>VLOOKUP(A1,Data!$A$1:$DZU$999999,2812,FALSE)</f>
        <v>#N/A</v>
      </c>
      <c r="G166" s="1" t="e">
        <f>VLOOKUP(A1,Data!$A$1:$DZU$999999,2813,FALSE)</f>
        <v>#N/A</v>
      </c>
      <c r="H166" s="1" t="e">
        <f>VLOOKUP(A1,Data!$A$1:$DZU$999999,2814,FALSE)</f>
        <v>#N/A</v>
      </c>
      <c r="I166" s="1" t="e">
        <f>VLOOKUP(A1,Data!$A$1:$DZU$999999,2815,FALSE)</f>
        <v>#N/A</v>
      </c>
      <c r="J166" s="1" t="e">
        <f>VLOOKUP(A1,Data!$A$1:$DZU$999999,2816,FALSE)</f>
        <v>#N/A</v>
      </c>
      <c r="K166" s="1" t="e">
        <f>VLOOKUP(A1,Data!$A$1:$DZU$999999,2817,FALSE)</f>
        <v>#N/A</v>
      </c>
      <c r="L166" s="1" t="e">
        <f>VLOOKUP(A1,Data!$A$1:$DZU$999999,2818,FALSE)</f>
        <v>#N/A</v>
      </c>
      <c r="M166" s="1" t="e">
        <f>VLOOKUP(A1,Data!$A$1:$DZU$999999,2819,FALSE)</f>
        <v>#N/A</v>
      </c>
      <c r="N166" s="1" t="e">
        <f>VLOOKUP(A1,Data!$A$1:$DZU$999999,2820,FALSE)</f>
        <v>#N/A</v>
      </c>
      <c r="O166" s="1" t="e">
        <f>VLOOKUP(A1,Data!$A$1:$DZU$999999,2821,FALSE)</f>
        <v>#N/A</v>
      </c>
      <c r="P166" s="1" t="e">
        <f>VLOOKUP(A1,Data!$A$1:$DZU$999999,2822,FALSE)</f>
        <v>#N/A</v>
      </c>
      <c r="Q166" s="1" t="e">
        <f>VLOOKUP(A1,Data!$A$1:$DZU$999999,2823,FALSE)</f>
        <v>#N/A</v>
      </c>
    </row>
    <row r="167" spans="1:17" x14ac:dyDescent="0.35">
      <c r="A167" s="1" t="e">
        <f>VLOOKUP(A1,Data!$A$1:$DZU$999999,2824,FALSE)</f>
        <v>#N/A</v>
      </c>
      <c r="B167" s="1" t="e">
        <f>VLOOKUP(A1,Data!$A$1:$DZU$999999,2825,FALSE)</f>
        <v>#N/A</v>
      </c>
      <c r="C167" s="1" t="e">
        <f>VLOOKUP(A1,Data!$A$1:$DZU$999999,2826,FALSE)</f>
        <v>#N/A</v>
      </c>
      <c r="D167" s="1" t="e">
        <f>VLOOKUP(A1,Data!$A$1:$DZU$999999,2827,FALSE)</f>
        <v>#N/A</v>
      </c>
      <c r="E167" s="1" t="e">
        <f>VLOOKUP(A1,Data!$A$1:$DZU$999999,2828,FALSE)</f>
        <v>#N/A</v>
      </c>
      <c r="F167" s="1" t="e">
        <f>VLOOKUP(A1,Data!$A$1:$DZU$999999,2829,FALSE)</f>
        <v>#N/A</v>
      </c>
      <c r="G167" s="1" t="e">
        <f>VLOOKUP(A1,Data!$A$1:$DZU$999999,2830,FALSE)</f>
        <v>#N/A</v>
      </c>
      <c r="H167" s="1" t="e">
        <f>VLOOKUP(A1,Data!$A$1:$DZU$999999,2831,FALSE)</f>
        <v>#N/A</v>
      </c>
      <c r="I167" s="1" t="e">
        <f>VLOOKUP(A1,Data!$A$1:$DZU$999999,2832,FALSE)</f>
        <v>#N/A</v>
      </c>
      <c r="J167" s="1" t="e">
        <f>VLOOKUP(A1,Data!$A$1:$DZU$999999,2833,FALSE)</f>
        <v>#N/A</v>
      </c>
      <c r="K167" s="1" t="e">
        <f>VLOOKUP(A1,Data!$A$1:$DZU$999999,2834,FALSE)</f>
        <v>#N/A</v>
      </c>
      <c r="L167" s="1" t="e">
        <f>VLOOKUP(A1,Data!$A$1:$DZU$999999,2835,FALSE)</f>
        <v>#N/A</v>
      </c>
      <c r="M167" s="1" t="e">
        <f>VLOOKUP(A1,Data!$A$1:$DZU$999999,2836,FALSE)</f>
        <v>#N/A</v>
      </c>
      <c r="N167" s="1" t="e">
        <f>VLOOKUP(A1,Data!$A$1:$DZU$999999,2837,FALSE)</f>
        <v>#N/A</v>
      </c>
      <c r="O167" s="1" t="e">
        <f>VLOOKUP(A1,Data!$A$1:$DZU$999999,2838,FALSE)</f>
        <v>#N/A</v>
      </c>
      <c r="P167" s="1" t="e">
        <f>VLOOKUP(A1,Data!$A$1:$DZU$999999,2839,FALSE)</f>
        <v>#N/A</v>
      </c>
      <c r="Q167" s="1" t="e">
        <f>VLOOKUP(A1,Data!$A$1:$DZU$999999,2840,FALSE)</f>
        <v>#N/A</v>
      </c>
    </row>
    <row r="168" spans="1:17" x14ac:dyDescent="0.35">
      <c r="A168" s="1" t="e">
        <f>VLOOKUP(A1,Data!$A$1:$DZU$999999,2841,FALSE)</f>
        <v>#N/A</v>
      </c>
      <c r="B168" s="1" t="e">
        <f>VLOOKUP(A1,Data!$A$1:$DZU$999999,2842,FALSE)</f>
        <v>#N/A</v>
      </c>
      <c r="C168" s="1" t="e">
        <f>VLOOKUP(A1,Data!$A$1:$DZU$999999,2843,FALSE)</f>
        <v>#N/A</v>
      </c>
      <c r="D168" s="1" t="e">
        <f>VLOOKUP(A1,Data!$A$1:$DZU$999999,2844,FALSE)</f>
        <v>#N/A</v>
      </c>
      <c r="E168" s="1" t="e">
        <f>VLOOKUP(A1,Data!$A$1:$DZU$999999,2845,FALSE)</f>
        <v>#N/A</v>
      </c>
      <c r="F168" s="1" t="e">
        <f>VLOOKUP(A1,Data!$A$1:$DZU$999999,2846,FALSE)</f>
        <v>#N/A</v>
      </c>
      <c r="G168" s="1" t="e">
        <f>VLOOKUP(A1,Data!$A$1:$DZU$999999,2847,FALSE)</f>
        <v>#N/A</v>
      </c>
      <c r="H168" s="1" t="e">
        <f>VLOOKUP(A1,Data!$A$1:$DZU$999999,2848,FALSE)</f>
        <v>#N/A</v>
      </c>
      <c r="I168" s="1" t="e">
        <f>VLOOKUP(A1,Data!$A$1:$DZU$999999,2849,FALSE)</f>
        <v>#N/A</v>
      </c>
      <c r="J168" s="1" t="e">
        <f>VLOOKUP(A1,Data!$A$1:$DZU$999999,2850,FALSE)</f>
        <v>#N/A</v>
      </c>
      <c r="K168" s="1" t="e">
        <f>VLOOKUP(A1,Data!$A$1:$DZU$999999,2851,FALSE)</f>
        <v>#N/A</v>
      </c>
      <c r="L168" s="1" t="e">
        <f>VLOOKUP(A1,Data!$A$1:$DZU$999999,2852,FALSE)</f>
        <v>#N/A</v>
      </c>
      <c r="M168" s="1" t="e">
        <f>VLOOKUP(A1,Data!$A$1:$DZU$999999,2853,FALSE)</f>
        <v>#N/A</v>
      </c>
      <c r="N168" s="1" t="e">
        <f>VLOOKUP(A1,Data!$A$1:$DZU$999999,2854,FALSE)</f>
        <v>#N/A</v>
      </c>
      <c r="O168" s="1" t="e">
        <f>VLOOKUP(A1,Data!$A$1:$DZU$999999,2855,FALSE)</f>
        <v>#N/A</v>
      </c>
      <c r="P168" s="1" t="e">
        <f>VLOOKUP(A1,Data!$A$1:$DZU$999999,2856,FALSE)</f>
        <v>#N/A</v>
      </c>
      <c r="Q168" s="1" t="e">
        <f>VLOOKUP(A1,Data!$A$1:$DZU$999999,2857,FALSE)</f>
        <v>#N/A</v>
      </c>
    </row>
    <row r="169" spans="1:17" x14ac:dyDescent="0.35">
      <c r="A169" s="1" t="e">
        <f>VLOOKUP(A1,Data!$A$1:$DZU$999999,2858,FALSE)</f>
        <v>#N/A</v>
      </c>
      <c r="B169" s="1" t="e">
        <f>VLOOKUP(A1,Data!$A$1:$DZU$999999,2859,FALSE)</f>
        <v>#N/A</v>
      </c>
      <c r="C169" s="1" t="e">
        <f>VLOOKUP(A1,Data!$A$1:$DZU$999999,2860,FALSE)</f>
        <v>#N/A</v>
      </c>
      <c r="D169" s="1" t="e">
        <f>VLOOKUP(A1,Data!$A$1:$DZU$999999,2861,FALSE)</f>
        <v>#N/A</v>
      </c>
      <c r="E169" s="1" t="e">
        <f>VLOOKUP(A1,Data!$A$1:$DZU$999999,2862,FALSE)</f>
        <v>#N/A</v>
      </c>
      <c r="F169" s="1" t="e">
        <f>VLOOKUP(A1,Data!$A$1:$DZU$999999,2863,FALSE)</f>
        <v>#N/A</v>
      </c>
      <c r="G169" s="1" t="e">
        <f>VLOOKUP(A1,Data!$A$1:$DZU$999999,2864,FALSE)</f>
        <v>#N/A</v>
      </c>
      <c r="H169" s="1" t="e">
        <f>VLOOKUP(A1,Data!$A$1:$DZU$999999,2865,FALSE)</f>
        <v>#N/A</v>
      </c>
      <c r="I169" s="1" t="e">
        <f>VLOOKUP(A1,Data!$A$1:$DZU$999999,2866,FALSE)</f>
        <v>#N/A</v>
      </c>
      <c r="J169" s="1" t="e">
        <f>VLOOKUP(A1,Data!$A$1:$DZU$999999,2867,FALSE)</f>
        <v>#N/A</v>
      </c>
      <c r="K169" s="1" t="e">
        <f>VLOOKUP(A1,Data!$A$1:$DZU$999999,2868,FALSE)</f>
        <v>#N/A</v>
      </c>
      <c r="L169" s="1" t="e">
        <f>VLOOKUP(A1,Data!$A$1:$DZU$999999,2869,FALSE)</f>
        <v>#N/A</v>
      </c>
      <c r="M169" s="1" t="e">
        <f>VLOOKUP(A1,Data!$A$1:$DZU$999999,2870,FALSE)</f>
        <v>#N/A</v>
      </c>
      <c r="N169" s="1" t="e">
        <f>VLOOKUP(A1,Data!$A$1:$DZU$999999,2871,FALSE)</f>
        <v>#N/A</v>
      </c>
      <c r="O169" s="1" t="e">
        <f>VLOOKUP(A1,Data!$A$1:$DZU$999999,2872,FALSE)</f>
        <v>#N/A</v>
      </c>
      <c r="P169" s="1" t="e">
        <f>VLOOKUP(A1,Data!$A$1:$DZU$999999,2873,FALSE)</f>
        <v>#N/A</v>
      </c>
      <c r="Q169" s="1" t="e">
        <f>VLOOKUP(A1,Data!$A$1:$DZU$999999,2874,FALSE)</f>
        <v>#N/A</v>
      </c>
    </row>
    <row r="170" spans="1:17" x14ac:dyDescent="0.35">
      <c r="A170" s="1" t="e">
        <f>VLOOKUP(A1,Data!$A$1:$DZU$999999,2875,FALSE)</f>
        <v>#N/A</v>
      </c>
      <c r="B170" s="1" t="e">
        <f>VLOOKUP(A1,Data!$A$1:$DZU$999999,2876,FALSE)</f>
        <v>#N/A</v>
      </c>
      <c r="C170" s="1" t="e">
        <f>VLOOKUP(A1,Data!$A$1:$DZU$999999,2877,FALSE)</f>
        <v>#N/A</v>
      </c>
      <c r="D170" s="1" t="e">
        <f>VLOOKUP(A1,Data!$A$1:$DZU$999999,2878,FALSE)</f>
        <v>#N/A</v>
      </c>
      <c r="E170" s="1" t="e">
        <f>VLOOKUP(A1,Data!$A$1:$DZU$999999,2879,FALSE)</f>
        <v>#N/A</v>
      </c>
      <c r="F170" s="1" t="e">
        <f>VLOOKUP(A1,Data!$A$1:$DZU$999999,2880,FALSE)</f>
        <v>#N/A</v>
      </c>
      <c r="G170" s="1" t="e">
        <f>VLOOKUP(A1,Data!$A$1:$DZU$999999,2881,FALSE)</f>
        <v>#N/A</v>
      </c>
      <c r="H170" s="1" t="e">
        <f>VLOOKUP(A1,Data!$A$1:$DZU$999999,2882,FALSE)</f>
        <v>#N/A</v>
      </c>
      <c r="I170" s="1" t="e">
        <f>VLOOKUP(A1,Data!$A$1:$DZU$999999,2883,FALSE)</f>
        <v>#N/A</v>
      </c>
      <c r="J170" s="1" t="e">
        <f>VLOOKUP(A1,Data!$A$1:$DZU$999999,2884,FALSE)</f>
        <v>#N/A</v>
      </c>
      <c r="K170" s="1" t="e">
        <f>VLOOKUP(A1,Data!$A$1:$DZU$999999,2885,FALSE)</f>
        <v>#N/A</v>
      </c>
      <c r="L170" s="1" t="e">
        <f>VLOOKUP(A1,Data!$A$1:$DZU$999999,2886,FALSE)</f>
        <v>#N/A</v>
      </c>
      <c r="M170" s="1" t="e">
        <f>VLOOKUP(A1,Data!$A$1:$DZU$999999,2887,FALSE)</f>
        <v>#N/A</v>
      </c>
      <c r="N170" s="1" t="e">
        <f>VLOOKUP(A1,Data!$A$1:$DZU$999999,2888,FALSE)</f>
        <v>#N/A</v>
      </c>
      <c r="O170" s="1" t="e">
        <f>VLOOKUP(A1,Data!$A$1:$DZU$999999,2889,FALSE)</f>
        <v>#N/A</v>
      </c>
      <c r="P170" s="1" t="e">
        <f>VLOOKUP(A1,Data!$A$1:$DZU$999999,2890,FALSE)</f>
        <v>#N/A</v>
      </c>
      <c r="Q170" s="1" t="e">
        <f>VLOOKUP(A1,Data!$A$1:$DZU$999999,2891,FALSE)</f>
        <v>#N/A</v>
      </c>
    </row>
    <row r="171" spans="1:17" x14ac:dyDescent="0.35">
      <c r="A171" s="1" t="e">
        <f>VLOOKUP(A1,Data!$A$1:$DZU$999999,2892,FALSE)</f>
        <v>#N/A</v>
      </c>
      <c r="B171" s="1" t="e">
        <f>VLOOKUP(A1,Data!$A$1:$DZU$999999,2893,FALSE)</f>
        <v>#N/A</v>
      </c>
      <c r="C171" s="1" t="e">
        <f>VLOOKUP(A1,Data!$A$1:$DZU$999999,2894,FALSE)</f>
        <v>#N/A</v>
      </c>
      <c r="D171" s="1" t="e">
        <f>VLOOKUP(A1,Data!$A$1:$DZU$999999,2895,FALSE)</f>
        <v>#N/A</v>
      </c>
      <c r="E171" s="1" t="e">
        <f>VLOOKUP(A1,Data!$A$1:$DZU$999999,2896,FALSE)</f>
        <v>#N/A</v>
      </c>
      <c r="F171" s="1" t="e">
        <f>VLOOKUP(A1,Data!$A$1:$DZU$999999,2897,FALSE)</f>
        <v>#N/A</v>
      </c>
      <c r="G171" s="1" t="e">
        <f>VLOOKUP(A1,Data!$A$1:$DZU$999999,2898,FALSE)</f>
        <v>#N/A</v>
      </c>
      <c r="H171" s="1" t="e">
        <f>VLOOKUP(A1,Data!$A$1:$DZU$999999,2899,FALSE)</f>
        <v>#N/A</v>
      </c>
      <c r="I171" s="1" t="e">
        <f>VLOOKUP(A1,Data!$A$1:$DZU$999999,2900,FALSE)</f>
        <v>#N/A</v>
      </c>
      <c r="J171" s="1" t="e">
        <f>VLOOKUP(A1,Data!$A$1:$DZU$999999,2901,FALSE)</f>
        <v>#N/A</v>
      </c>
      <c r="K171" s="1" t="e">
        <f>VLOOKUP(A1,Data!$A$1:$DZU$999999,2902,FALSE)</f>
        <v>#N/A</v>
      </c>
      <c r="L171" s="1" t="e">
        <f>VLOOKUP(A1,Data!$A$1:$DZU$999999,2903,FALSE)</f>
        <v>#N/A</v>
      </c>
      <c r="M171" s="1" t="e">
        <f>VLOOKUP(A1,Data!$A$1:$DZU$999999,2904,FALSE)</f>
        <v>#N/A</v>
      </c>
      <c r="N171" s="1" t="e">
        <f>VLOOKUP(A1,Data!$A$1:$DZU$999999,2905,FALSE)</f>
        <v>#N/A</v>
      </c>
      <c r="O171" s="1" t="e">
        <f>VLOOKUP(A1,Data!$A$1:$DZU$999999,2906,FALSE)</f>
        <v>#N/A</v>
      </c>
      <c r="P171" s="1" t="e">
        <f>VLOOKUP(A1,Data!$A$1:$DZU$999999,2907,FALSE)</f>
        <v>#N/A</v>
      </c>
      <c r="Q171" s="1" t="e">
        <f>VLOOKUP(A1,Data!$A$1:$DZU$999999,2908,FALSE)</f>
        <v>#N/A</v>
      </c>
    </row>
    <row r="172" spans="1:17" x14ac:dyDescent="0.35">
      <c r="A172" s="1" t="e">
        <f>VLOOKUP(A1,Data!$A$1:$DZU$999999,2909,FALSE)</f>
        <v>#N/A</v>
      </c>
      <c r="B172" s="1" t="e">
        <f>VLOOKUP(A1,Data!$A$1:$DZU$999999,2910,FALSE)</f>
        <v>#N/A</v>
      </c>
      <c r="C172" s="1" t="e">
        <f>VLOOKUP(A1,Data!$A$1:$DZU$999999,2911,FALSE)</f>
        <v>#N/A</v>
      </c>
      <c r="D172" s="1" t="e">
        <f>VLOOKUP(A1,Data!$A$1:$DZU$999999,2912,FALSE)</f>
        <v>#N/A</v>
      </c>
      <c r="E172" s="1" t="e">
        <f>VLOOKUP(A1,Data!$A$1:$DZU$999999,2913,FALSE)</f>
        <v>#N/A</v>
      </c>
      <c r="F172" s="1" t="e">
        <f>VLOOKUP(A1,Data!$A$1:$DZU$999999,2914,FALSE)</f>
        <v>#N/A</v>
      </c>
      <c r="G172" s="1" t="e">
        <f>VLOOKUP(A1,Data!$A$1:$DZU$999999,2915,FALSE)</f>
        <v>#N/A</v>
      </c>
      <c r="H172" s="1" t="e">
        <f>VLOOKUP(A1,Data!$A$1:$DZU$999999,2916,FALSE)</f>
        <v>#N/A</v>
      </c>
      <c r="I172" s="1" t="e">
        <f>VLOOKUP(A1,Data!$A$1:$DZU$999999,2917,FALSE)</f>
        <v>#N/A</v>
      </c>
      <c r="J172" s="1" t="e">
        <f>VLOOKUP(A1,Data!$A$1:$DZU$999999,2918,FALSE)</f>
        <v>#N/A</v>
      </c>
      <c r="K172" s="1" t="e">
        <f>VLOOKUP(A1,Data!$A$1:$DZU$999999,2919,FALSE)</f>
        <v>#N/A</v>
      </c>
      <c r="L172" s="1" t="e">
        <f>VLOOKUP(A1,Data!$A$1:$DZU$999999,2920,FALSE)</f>
        <v>#N/A</v>
      </c>
      <c r="M172" s="1" t="e">
        <f>VLOOKUP(A1,Data!$A$1:$DZU$999999,2921,FALSE)</f>
        <v>#N/A</v>
      </c>
      <c r="N172" s="1" t="e">
        <f>VLOOKUP(A1,Data!$A$1:$DZU$999999,2922,FALSE)</f>
        <v>#N/A</v>
      </c>
      <c r="O172" s="1" t="e">
        <f>VLOOKUP(A1,Data!$A$1:$DZU$999999,2923,FALSE)</f>
        <v>#N/A</v>
      </c>
      <c r="P172" s="1" t="e">
        <f>VLOOKUP(A1,Data!$A$1:$DZU$999999,2924,FALSE)</f>
        <v>#N/A</v>
      </c>
      <c r="Q172" s="1" t="e">
        <f>VLOOKUP(A1,Data!$A$1:$DZU$999999,2925,FALSE)</f>
        <v>#N/A</v>
      </c>
    </row>
    <row r="173" spans="1:17" x14ac:dyDescent="0.35">
      <c r="A173" s="1" t="e">
        <f>VLOOKUP(A1,Data!$A$1:$DZU$999999,2926,FALSE)</f>
        <v>#N/A</v>
      </c>
      <c r="B173" s="1" t="e">
        <f>VLOOKUP(A1,Data!$A$1:$DZU$999999,2927,FALSE)</f>
        <v>#N/A</v>
      </c>
      <c r="C173" s="1" t="e">
        <f>VLOOKUP(A1,Data!$A$1:$DZU$999999,2928,FALSE)</f>
        <v>#N/A</v>
      </c>
      <c r="D173" s="1" t="e">
        <f>VLOOKUP(A1,Data!$A$1:$DZU$999999,2929,FALSE)</f>
        <v>#N/A</v>
      </c>
      <c r="E173" s="1" t="e">
        <f>VLOOKUP(A1,Data!$A$1:$DZU$999999,2930,FALSE)</f>
        <v>#N/A</v>
      </c>
      <c r="F173" s="1" t="e">
        <f>VLOOKUP(A1,Data!$A$1:$DZU$999999,2931,FALSE)</f>
        <v>#N/A</v>
      </c>
      <c r="G173" s="1" t="e">
        <f>VLOOKUP(A1,Data!$A$1:$DZU$999999,2932,FALSE)</f>
        <v>#N/A</v>
      </c>
      <c r="H173" s="1" t="e">
        <f>VLOOKUP(A1,Data!$A$1:$DZU$999999,2933,FALSE)</f>
        <v>#N/A</v>
      </c>
      <c r="I173" s="1" t="e">
        <f>VLOOKUP(A1,Data!$A$1:$DZU$999999,2934,FALSE)</f>
        <v>#N/A</v>
      </c>
      <c r="J173" s="1" t="e">
        <f>VLOOKUP(A1,Data!$A$1:$DZU$999999,2935,FALSE)</f>
        <v>#N/A</v>
      </c>
      <c r="K173" s="1" t="e">
        <f>VLOOKUP(A1,Data!$A$1:$DZU$999999,2936,FALSE)</f>
        <v>#N/A</v>
      </c>
      <c r="L173" s="1" t="e">
        <f>VLOOKUP(A1,Data!$A$1:$DZU$999999,2937,FALSE)</f>
        <v>#N/A</v>
      </c>
      <c r="M173" s="1" t="e">
        <f>VLOOKUP(A1,Data!$A$1:$DZU$999999,2938,FALSE)</f>
        <v>#N/A</v>
      </c>
      <c r="N173" s="1" t="e">
        <f>VLOOKUP(A1,Data!$A$1:$DZU$999999,2939,FALSE)</f>
        <v>#N/A</v>
      </c>
      <c r="O173" s="1" t="e">
        <f>VLOOKUP(A1,Data!$A$1:$DZU$999999,2940,FALSE)</f>
        <v>#N/A</v>
      </c>
      <c r="P173" s="1" t="e">
        <f>VLOOKUP(A1,Data!$A$1:$DZU$999999,2941,FALSE)</f>
        <v>#N/A</v>
      </c>
      <c r="Q173" s="1" t="e">
        <f>VLOOKUP(A1,Data!$A$1:$DZU$999999,2942,FALSE)</f>
        <v>#N/A</v>
      </c>
    </row>
    <row r="174" spans="1:17" x14ac:dyDescent="0.35">
      <c r="A174" s="1" t="e">
        <f>VLOOKUP(A1,Data!$A$1:$DZU$999999,2943,FALSE)</f>
        <v>#N/A</v>
      </c>
      <c r="B174" s="1" t="e">
        <f>VLOOKUP(A1,Data!$A$1:$DZU$999999,2944,FALSE)</f>
        <v>#N/A</v>
      </c>
      <c r="C174" s="1" t="e">
        <f>VLOOKUP(A1,Data!$A$1:$DZU$999999,2945,FALSE)</f>
        <v>#N/A</v>
      </c>
      <c r="D174" s="1" t="e">
        <f>VLOOKUP(A1,Data!$A$1:$DZU$999999,2946,FALSE)</f>
        <v>#N/A</v>
      </c>
      <c r="E174" s="1" t="e">
        <f>VLOOKUP(A1,Data!$A$1:$DZU$999999,2947,FALSE)</f>
        <v>#N/A</v>
      </c>
      <c r="F174" s="1" t="e">
        <f>VLOOKUP(A1,Data!$A$1:$DZU$999999,2948,FALSE)</f>
        <v>#N/A</v>
      </c>
      <c r="G174" s="1" t="e">
        <f>VLOOKUP(A1,Data!$A$1:$DZU$999999,2949,FALSE)</f>
        <v>#N/A</v>
      </c>
      <c r="H174" s="1" t="e">
        <f>VLOOKUP(A1,Data!$A$1:$DZU$999999,2950,FALSE)</f>
        <v>#N/A</v>
      </c>
      <c r="I174" s="1" t="e">
        <f>VLOOKUP(A1,Data!$A$1:$DZU$999999,2951,FALSE)</f>
        <v>#N/A</v>
      </c>
      <c r="J174" s="1" t="e">
        <f>VLOOKUP(A1,Data!$A$1:$DZU$999999,2952,FALSE)</f>
        <v>#N/A</v>
      </c>
      <c r="K174" s="1" t="e">
        <f>VLOOKUP(A1,Data!$A$1:$DZU$999999,2953,FALSE)</f>
        <v>#N/A</v>
      </c>
      <c r="L174" s="1" t="e">
        <f>VLOOKUP(A1,Data!$A$1:$DZU$999999,2954,FALSE)</f>
        <v>#N/A</v>
      </c>
      <c r="M174" s="1" t="e">
        <f>VLOOKUP(A1,Data!$A$1:$DZU$999999,2955,FALSE)</f>
        <v>#N/A</v>
      </c>
      <c r="N174" s="1" t="e">
        <f>VLOOKUP(A1,Data!$A$1:$DZU$999999,2956,FALSE)</f>
        <v>#N/A</v>
      </c>
      <c r="O174" s="1" t="e">
        <f>VLOOKUP(A1,Data!$A$1:$DZU$999999,2957,FALSE)</f>
        <v>#N/A</v>
      </c>
      <c r="P174" s="1" t="e">
        <f>VLOOKUP(A1,Data!$A$1:$DZU$999999,2958,FALSE)</f>
        <v>#N/A</v>
      </c>
      <c r="Q174" s="1" t="e">
        <f>VLOOKUP(A1,Data!$A$1:$DZU$999999,2959,FALSE)</f>
        <v>#N/A</v>
      </c>
    </row>
    <row r="175" spans="1:17" x14ac:dyDescent="0.35">
      <c r="A175" s="1" t="e">
        <f>VLOOKUP(A1,Data!$A$1:$DZU$999999,2960,FALSE)</f>
        <v>#N/A</v>
      </c>
      <c r="B175" s="1" t="e">
        <f>VLOOKUP(A1,Data!$A$1:$DZU$999999,2961,FALSE)</f>
        <v>#N/A</v>
      </c>
      <c r="C175" s="1" t="e">
        <f>VLOOKUP(A1,Data!$A$1:$DZU$999999,2962,FALSE)</f>
        <v>#N/A</v>
      </c>
      <c r="D175" s="1" t="e">
        <f>VLOOKUP(A1,Data!$A$1:$DZU$999999,2963,FALSE)</f>
        <v>#N/A</v>
      </c>
      <c r="E175" s="1" t="e">
        <f>VLOOKUP(A1,Data!$A$1:$DZU$999999,2964,FALSE)</f>
        <v>#N/A</v>
      </c>
      <c r="F175" s="1" t="e">
        <f>VLOOKUP(A1,Data!$A$1:$DZU$999999,2965,FALSE)</f>
        <v>#N/A</v>
      </c>
      <c r="G175" s="1" t="e">
        <f>VLOOKUP(A1,Data!$A$1:$DZU$999999,2966,FALSE)</f>
        <v>#N/A</v>
      </c>
      <c r="H175" s="1" t="e">
        <f>VLOOKUP(A1,Data!$A$1:$DZU$999999,2967,FALSE)</f>
        <v>#N/A</v>
      </c>
      <c r="I175" s="1" t="e">
        <f>VLOOKUP(A1,Data!$A$1:$DZU$999999,2968,FALSE)</f>
        <v>#N/A</v>
      </c>
      <c r="J175" s="1" t="e">
        <f>VLOOKUP(A1,Data!$A$1:$DZU$999999,2969,FALSE)</f>
        <v>#N/A</v>
      </c>
      <c r="K175" s="1" t="e">
        <f>VLOOKUP(A1,Data!$A$1:$DZU$999999,2970,FALSE)</f>
        <v>#N/A</v>
      </c>
      <c r="L175" s="1" t="e">
        <f>VLOOKUP(A1,Data!$A$1:$DZU$999999,2971,FALSE)</f>
        <v>#N/A</v>
      </c>
      <c r="M175" s="1" t="e">
        <f>VLOOKUP(A1,Data!$A$1:$DZU$999999,2972,FALSE)</f>
        <v>#N/A</v>
      </c>
      <c r="N175" s="1" t="e">
        <f>VLOOKUP(A1,Data!$A$1:$DZU$999999,2973,FALSE)</f>
        <v>#N/A</v>
      </c>
      <c r="O175" s="1" t="e">
        <f>VLOOKUP(A1,Data!$A$1:$DZU$999999,2974,FALSE)</f>
        <v>#N/A</v>
      </c>
      <c r="P175" s="1" t="e">
        <f>VLOOKUP(A1,Data!$A$1:$DZU$999999,2975,FALSE)</f>
        <v>#N/A</v>
      </c>
      <c r="Q175" s="1" t="e">
        <f>VLOOKUP(A1,Data!$A$1:$DZU$999999,2976,FALSE)</f>
        <v>#N/A</v>
      </c>
    </row>
    <row r="176" spans="1:17" x14ac:dyDescent="0.35">
      <c r="A176" s="1" t="e">
        <f>VLOOKUP(A1,Data!$A$1:$DZU$999999,2977,FALSE)</f>
        <v>#N/A</v>
      </c>
      <c r="B176" s="1" t="e">
        <f>VLOOKUP(A1,Data!$A$1:$DZU$999999,2978,FALSE)</f>
        <v>#N/A</v>
      </c>
      <c r="C176" s="1" t="e">
        <f>VLOOKUP(A1,Data!$A$1:$DZU$999999,2979,FALSE)</f>
        <v>#N/A</v>
      </c>
      <c r="D176" s="1" t="e">
        <f>VLOOKUP(A1,Data!$A$1:$DZU$999999,2980,FALSE)</f>
        <v>#N/A</v>
      </c>
      <c r="E176" s="1" t="e">
        <f>VLOOKUP(A1,Data!$A$1:$DZU$999999,2981,FALSE)</f>
        <v>#N/A</v>
      </c>
      <c r="F176" s="1" t="e">
        <f>VLOOKUP(A1,Data!$A$1:$DZU$999999,2982,FALSE)</f>
        <v>#N/A</v>
      </c>
      <c r="G176" s="1" t="e">
        <f>VLOOKUP(A1,Data!$A$1:$DZU$999999,2983,FALSE)</f>
        <v>#N/A</v>
      </c>
      <c r="H176" s="1" t="e">
        <f>VLOOKUP(A1,Data!$A$1:$DZU$999999,2984,FALSE)</f>
        <v>#N/A</v>
      </c>
      <c r="I176" s="1" t="e">
        <f>VLOOKUP(A1,Data!$A$1:$DZU$999999,2985,FALSE)</f>
        <v>#N/A</v>
      </c>
      <c r="J176" s="1" t="e">
        <f>VLOOKUP(A1,Data!$A$1:$DZU$999999,2986,FALSE)</f>
        <v>#N/A</v>
      </c>
      <c r="K176" s="1" t="e">
        <f>VLOOKUP(A1,Data!$A$1:$DZU$999999,2987,FALSE)</f>
        <v>#N/A</v>
      </c>
      <c r="L176" s="1" t="e">
        <f>VLOOKUP(A1,Data!$A$1:$DZU$999999,2988,FALSE)</f>
        <v>#N/A</v>
      </c>
      <c r="M176" s="1" t="e">
        <f>VLOOKUP(A1,Data!$A$1:$DZU$999999,2989,FALSE)</f>
        <v>#N/A</v>
      </c>
      <c r="N176" s="1" t="e">
        <f>VLOOKUP(A1,Data!$A$1:$DZU$999999,2990,FALSE)</f>
        <v>#N/A</v>
      </c>
      <c r="O176" s="1" t="e">
        <f>VLOOKUP(A1,Data!$A$1:$DZU$999999,2991,FALSE)</f>
        <v>#N/A</v>
      </c>
      <c r="P176" s="1" t="e">
        <f>VLOOKUP(A1,Data!$A$1:$DZU$999999,2992,FALSE)</f>
        <v>#N/A</v>
      </c>
      <c r="Q176" s="1" t="e">
        <f>VLOOKUP(A1,Data!$A$1:$DZU$999999,2993,FALSE)</f>
        <v>#N/A</v>
      </c>
    </row>
    <row r="177" spans="1:17" x14ac:dyDescent="0.35">
      <c r="A177" s="1" t="e">
        <f>VLOOKUP(A1,Data!$A$1:$DZU$999999,2994,FALSE)</f>
        <v>#N/A</v>
      </c>
      <c r="B177" s="1" t="e">
        <f>VLOOKUP(A1,Data!$A$1:$DZU$999999,2995,FALSE)</f>
        <v>#N/A</v>
      </c>
      <c r="C177" s="1" t="e">
        <f>VLOOKUP(A1,Data!$A$1:$DZU$999999,2996,FALSE)</f>
        <v>#N/A</v>
      </c>
      <c r="D177" s="1" t="e">
        <f>VLOOKUP(A1,Data!$A$1:$DZU$999999,2997,FALSE)</f>
        <v>#N/A</v>
      </c>
      <c r="E177" s="1" t="e">
        <f>VLOOKUP(A1,Data!$A$1:$DZU$999999,2998,FALSE)</f>
        <v>#N/A</v>
      </c>
      <c r="F177" s="1" t="e">
        <f>VLOOKUP(A1,Data!$A$1:$DZU$999999,2999,FALSE)</f>
        <v>#N/A</v>
      </c>
      <c r="G177" s="1" t="e">
        <f>VLOOKUP(A1,Data!$A$1:$DZU$999999,3000,FALSE)</f>
        <v>#N/A</v>
      </c>
      <c r="H177" s="1" t="e">
        <f>VLOOKUP(A1,Data!$A$1:$DZU$999999,3001,FALSE)</f>
        <v>#N/A</v>
      </c>
      <c r="I177" s="1" t="e">
        <f>VLOOKUP(A1,Data!$A$1:$DZU$999999,3002,FALSE)</f>
        <v>#N/A</v>
      </c>
      <c r="J177" s="1" t="e">
        <f>VLOOKUP(A1,Data!$A$1:$DZU$999999,3003,FALSE)</f>
        <v>#N/A</v>
      </c>
      <c r="K177" s="1" t="e">
        <f>VLOOKUP(A1,Data!$A$1:$DZU$999999,3004,FALSE)</f>
        <v>#N/A</v>
      </c>
      <c r="L177" s="1" t="e">
        <f>VLOOKUP(A1,Data!$A$1:$DZU$999999,3005,FALSE)</f>
        <v>#N/A</v>
      </c>
      <c r="M177" s="1" t="e">
        <f>VLOOKUP(A1,Data!$A$1:$DZU$999999,3006,FALSE)</f>
        <v>#N/A</v>
      </c>
      <c r="N177" s="1" t="e">
        <f>VLOOKUP(A1,Data!$A$1:$DZU$999999,3007,FALSE)</f>
        <v>#N/A</v>
      </c>
      <c r="O177" s="1" t="e">
        <f>VLOOKUP(A1,Data!$A$1:$DZU$999999,3008,FALSE)</f>
        <v>#N/A</v>
      </c>
      <c r="P177" s="1" t="e">
        <f>VLOOKUP(A1,Data!$A$1:$DZU$999999,3009,FALSE)</f>
        <v>#N/A</v>
      </c>
      <c r="Q177" s="1" t="e">
        <f>VLOOKUP(A1,Data!$A$1:$DZU$999999,3010,FALSE)</f>
        <v>#N/A</v>
      </c>
    </row>
    <row r="178" spans="1:17" x14ac:dyDescent="0.35">
      <c r="A178" s="1" t="e">
        <f>VLOOKUP(A1,Data!$A$1:$DZU$999999,3011,FALSE)</f>
        <v>#N/A</v>
      </c>
      <c r="B178" s="1" t="e">
        <f>VLOOKUP(A1,Data!$A$1:$DZU$999999,3012,FALSE)</f>
        <v>#N/A</v>
      </c>
      <c r="C178" s="1" t="e">
        <f>VLOOKUP(A1,Data!$A$1:$DZU$999999,3013,FALSE)</f>
        <v>#N/A</v>
      </c>
      <c r="D178" s="1" t="e">
        <f>VLOOKUP(A1,Data!$A$1:$DZU$999999,3014,FALSE)</f>
        <v>#N/A</v>
      </c>
      <c r="E178" s="1" t="e">
        <f>VLOOKUP(A1,Data!$A$1:$DZU$999999,3015,FALSE)</f>
        <v>#N/A</v>
      </c>
      <c r="F178" s="1" t="e">
        <f>VLOOKUP(A1,Data!$A$1:$DZU$999999,3016,FALSE)</f>
        <v>#N/A</v>
      </c>
      <c r="G178" s="1" t="e">
        <f>VLOOKUP(A1,Data!$A$1:$DZU$999999,3017,FALSE)</f>
        <v>#N/A</v>
      </c>
      <c r="H178" s="1" t="e">
        <f>VLOOKUP(A1,Data!$A$1:$DZU$999999,3018,FALSE)</f>
        <v>#N/A</v>
      </c>
      <c r="I178" s="1" t="e">
        <f>VLOOKUP(A1,Data!$A$1:$DZU$999999,3019,FALSE)</f>
        <v>#N/A</v>
      </c>
      <c r="J178" s="1" t="e">
        <f>VLOOKUP(A1,Data!$A$1:$DZU$999999,3020,FALSE)</f>
        <v>#N/A</v>
      </c>
      <c r="K178" s="1" t="e">
        <f>VLOOKUP(A1,Data!$A$1:$DZU$999999,3021,FALSE)</f>
        <v>#N/A</v>
      </c>
      <c r="L178" s="1" t="e">
        <f>VLOOKUP(A1,Data!$A$1:$DZU$999999,3022,FALSE)</f>
        <v>#N/A</v>
      </c>
      <c r="M178" s="1" t="e">
        <f>VLOOKUP(A1,Data!$A$1:$DZU$999999,3023,FALSE)</f>
        <v>#N/A</v>
      </c>
      <c r="N178" s="1" t="e">
        <f>VLOOKUP(A1,Data!$A$1:$DZU$999999,3024,FALSE)</f>
        <v>#N/A</v>
      </c>
      <c r="O178" s="1" t="e">
        <f>VLOOKUP(A1,Data!$A$1:$DZU$999999,3025,FALSE)</f>
        <v>#N/A</v>
      </c>
      <c r="P178" s="1" t="e">
        <f>VLOOKUP(A1,Data!$A$1:$DZU$999999,3026,FALSE)</f>
        <v>#N/A</v>
      </c>
      <c r="Q178" s="1" t="e">
        <f>VLOOKUP(A1,Data!$A$1:$DZU$999999,3027,FALSE)</f>
        <v>#N/A</v>
      </c>
    </row>
    <row r="179" spans="1:17" x14ac:dyDescent="0.35">
      <c r="A179" s="1" t="e">
        <f>VLOOKUP(A1,Data!$A$1:$DZU$999999,3028,FALSE)</f>
        <v>#N/A</v>
      </c>
      <c r="B179" s="1" t="e">
        <f>VLOOKUP(A1,Data!$A$1:$DZU$999999,3029,FALSE)</f>
        <v>#N/A</v>
      </c>
      <c r="C179" s="1" t="e">
        <f>VLOOKUP(A1,Data!$A$1:$DZU$999999,3030,FALSE)</f>
        <v>#N/A</v>
      </c>
      <c r="D179" s="1" t="e">
        <f>VLOOKUP(A1,Data!$A$1:$DZU$999999,3031,FALSE)</f>
        <v>#N/A</v>
      </c>
      <c r="E179" s="1" t="e">
        <f>VLOOKUP(A1,Data!$A$1:$DZU$999999,3032,FALSE)</f>
        <v>#N/A</v>
      </c>
      <c r="F179" s="1" t="e">
        <f>VLOOKUP(A1,Data!$A$1:$DZU$999999,3033,FALSE)</f>
        <v>#N/A</v>
      </c>
      <c r="G179" s="1" t="e">
        <f>VLOOKUP(A1,Data!$A$1:$DZU$999999,3034,FALSE)</f>
        <v>#N/A</v>
      </c>
      <c r="H179" s="1" t="e">
        <f>VLOOKUP(A1,Data!$A$1:$DZU$999999,3035,FALSE)</f>
        <v>#N/A</v>
      </c>
      <c r="I179" s="1" t="e">
        <f>VLOOKUP(A1,Data!$A$1:$DZU$999999,3036,FALSE)</f>
        <v>#N/A</v>
      </c>
      <c r="J179" s="1" t="e">
        <f>VLOOKUP(A1,Data!$A$1:$DZU$999999,3037,FALSE)</f>
        <v>#N/A</v>
      </c>
      <c r="K179" s="1" t="e">
        <f>VLOOKUP(A1,Data!$A$1:$DZU$999999,3038,FALSE)</f>
        <v>#N/A</v>
      </c>
      <c r="L179" s="1" t="e">
        <f>VLOOKUP(A1,Data!$A$1:$DZU$999999,3039,FALSE)</f>
        <v>#N/A</v>
      </c>
      <c r="M179" s="1" t="e">
        <f>VLOOKUP(A1,Data!$A$1:$DZU$999999,3040,FALSE)</f>
        <v>#N/A</v>
      </c>
      <c r="N179" s="1" t="e">
        <f>VLOOKUP(A1,Data!$A$1:$DZU$999999,3041,FALSE)</f>
        <v>#N/A</v>
      </c>
      <c r="O179" s="1" t="e">
        <f>VLOOKUP(A1,Data!$A$1:$DZU$999999,3042,FALSE)</f>
        <v>#N/A</v>
      </c>
      <c r="P179" s="1" t="e">
        <f>VLOOKUP(A1,Data!$A$1:$DZU$999999,3043,FALSE)</f>
        <v>#N/A</v>
      </c>
      <c r="Q179" s="1" t="e">
        <f>VLOOKUP(A1,Data!$A$1:$DZU$999999,3044,FALSE)</f>
        <v>#N/A</v>
      </c>
    </row>
    <row r="180" spans="1:17" x14ac:dyDescent="0.35">
      <c r="A180" s="1" t="e">
        <f>VLOOKUP(A1,Data!$A$1:$DZU$999999,3045,FALSE)</f>
        <v>#N/A</v>
      </c>
      <c r="B180" s="1" t="e">
        <f>VLOOKUP(A1,Data!$A$1:$DZU$999999,3046,FALSE)</f>
        <v>#N/A</v>
      </c>
      <c r="C180" s="1" t="e">
        <f>VLOOKUP(A1,Data!$A$1:$DZU$999999,3047,FALSE)</f>
        <v>#N/A</v>
      </c>
      <c r="D180" s="1" t="e">
        <f>VLOOKUP(A1,Data!$A$1:$DZU$999999,3048,FALSE)</f>
        <v>#N/A</v>
      </c>
      <c r="E180" s="1" t="e">
        <f>VLOOKUP(A1,Data!$A$1:$DZU$999999,3049,FALSE)</f>
        <v>#N/A</v>
      </c>
      <c r="F180" s="1" t="e">
        <f>VLOOKUP(A1,Data!$A$1:$DZU$999999,3050,FALSE)</f>
        <v>#N/A</v>
      </c>
      <c r="G180" s="1" t="e">
        <f>VLOOKUP(A1,Data!$A$1:$DZU$999999,3051,FALSE)</f>
        <v>#N/A</v>
      </c>
      <c r="H180" s="1" t="e">
        <f>VLOOKUP(A1,Data!$A$1:$DZU$999999,3052,FALSE)</f>
        <v>#N/A</v>
      </c>
      <c r="I180" s="1" t="e">
        <f>VLOOKUP(A1,Data!$A$1:$DZU$999999,3053,FALSE)</f>
        <v>#N/A</v>
      </c>
      <c r="J180" s="1" t="e">
        <f>VLOOKUP(A1,Data!$A$1:$DZU$999999,3054,FALSE)</f>
        <v>#N/A</v>
      </c>
      <c r="K180" s="1" t="e">
        <f>VLOOKUP(A1,Data!$A$1:$DZU$999999,3055,FALSE)</f>
        <v>#N/A</v>
      </c>
      <c r="L180" s="1" t="e">
        <f>VLOOKUP(A1,Data!$A$1:$DZU$999999,3056,FALSE)</f>
        <v>#N/A</v>
      </c>
      <c r="M180" s="1" t="e">
        <f>VLOOKUP(A1,Data!$A$1:$DZU$999999,3057,FALSE)</f>
        <v>#N/A</v>
      </c>
      <c r="N180" s="1" t="e">
        <f>VLOOKUP(A1,Data!$A$1:$DZU$999999,3058,FALSE)</f>
        <v>#N/A</v>
      </c>
      <c r="O180" s="1" t="e">
        <f>VLOOKUP(A1,Data!$A$1:$DZU$999999,3059,FALSE)</f>
        <v>#N/A</v>
      </c>
      <c r="P180" s="1" t="e">
        <f>VLOOKUP(A1,Data!$A$1:$DZU$999999,3060,FALSE)</f>
        <v>#N/A</v>
      </c>
      <c r="Q180" s="1" t="e">
        <f>VLOOKUP(A1,Data!$A$1:$DZU$999999,3061,FALSE)</f>
        <v>#N/A</v>
      </c>
    </row>
    <row r="181" spans="1:17" x14ac:dyDescent="0.35">
      <c r="A181" s="1" t="e">
        <f>VLOOKUP(A1,Data!$A$1:$DZU$999999,3062,FALSE)</f>
        <v>#N/A</v>
      </c>
      <c r="B181" s="1" t="e">
        <f>VLOOKUP(A1,Data!$A$1:$DZU$999999,3063,FALSE)</f>
        <v>#N/A</v>
      </c>
      <c r="C181" s="1" t="e">
        <f>VLOOKUP(A1,Data!$A$1:$DZU$999999,3064,FALSE)</f>
        <v>#N/A</v>
      </c>
      <c r="D181" s="1" t="e">
        <f>VLOOKUP(A1,Data!$A$1:$DZU$999999,3065,FALSE)</f>
        <v>#N/A</v>
      </c>
      <c r="E181" s="1" t="e">
        <f>VLOOKUP(A1,Data!$A$1:$DZU$999999,3066,FALSE)</f>
        <v>#N/A</v>
      </c>
      <c r="F181" s="1" t="e">
        <f>VLOOKUP(A1,Data!$A$1:$DZU$999999,3067,FALSE)</f>
        <v>#N/A</v>
      </c>
      <c r="G181" s="1" t="e">
        <f>VLOOKUP(A1,Data!$A$1:$DZU$999999,3068,FALSE)</f>
        <v>#N/A</v>
      </c>
      <c r="H181" s="1" t="e">
        <f>VLOOKUP(A1,Data!$A$1:$DZU$999999,3069,FALSE)</f>
        <v>#N/A</v>
      </c>
      <c r="I181" s="1" t="e">
        <f>VLOOKUP(A1,Data!$A$1:$DZU$999999,3070,FALSE)</f>
        <v>#N/A</v>
      </c>
      <c r="J181" s="1" t="e">
        <f>VLOOKUP(A1,Data!$A$1:$DZU$999999,3071,FALSE)</f>
        <v>#N/A</v>
      </c>
      <c r="K181" s="1" t="e">
        <f>VLOOKUP(A1,Data!$A$1:$DZU$999999,3072,FALSE)</f>
        <v>#N/A</v>
      </c>
      <c r="L181" s="1" t="e">
        <f>VLOOKUP(A1,Data!$A$1:$DZU$999999,3073,FALSE)</f>
        <v>#N/A</v>
      </c>
      <c r="M181" s="1" t="e">
        <f>VLOOKUP(A1,Data!$A$1:$DZU$999999,3074,FALSE)</f>
        <v>#N/A</v>
      </c>
      <c r="N181" s="1" t="e">
        <f>VLOOKUP(A1,Data!$A$1:$DZU$999999,3075,FALSE)</f>
        <v>#N/A</v>
      </c>
      <c r="O181" s="1" t="e">
        <f>VLOOKUP(A1,Data!$A$1:$DZU$999999,3076,FALSE)</f>
        <v>#N/A</v>
      </c>
      <c r="P181" s="1" t="e">
        <f>VLOOKUP(A1,Data!$A$1:$DZU$999999,3077,FALSE)</f>
        <v>#N/A</v>
      </c>
      <c r="Q181" s="1" t="e">
        <f>VLOOKUP(A1,Data!$A$1:$DZU$999999,3078,FALSE)</f>
        <v>#N/A</v>
      </c>
    </row>
    <row r="182" spans="1:17" x14ac:dyDescent="0.35">
      <c r="A182" s="1" t="e">
        <f>VLOOKUP(A1,Data!$A$1:$DZU$999999,3079,FALSE)</f>
        <v>#N/A</v>
      </c>
      <c r="B182" s="1" t="e">
        <f>VLOOKUP(A1,Data!$A$1:$DZU$999999,3080,FALSE)</f>
        <v>#N/A</v>
      </c>
      <c r="C182" s="1" t="e">
        <f>VLOOKUP(A1,Data!$A$1:$DZU$999999,3081,FALSE)</f>
        <v>#N/A</v>
      </c>
      <c r="D182" s="1" t="e">
        <f>VLOOKUP(A1,Data!$A$1:$DZU$999999,3082,FALSE)</f>
        <v>#N/A</v>
      </c>
      <c r="E182" s="1" t="e">
        <f>VLOOKUP(A1,Data!$A$1:$DZU$999999,3083,FALSE)</f>
        <v>#N/A</v>
      </c>
      <c r="F182" s="1" t="e">
        <f>VLOOKUP(A1,Data!$A$1:$DZU$999999,3084,FALSE)</f>
        <v>#N/A</v>
      </c>
      <c r="G182" s="1" t="e">
        <f>VLOOKUP(A1,Data!$A$1:$DZU$999999,3085,FALSE)</f>
        <v>#N/A</v>
      </c>
      <c r="H182" s="1" t="e">
        <f>VLOOKUP(A1,Data!$A$1:$DZU$999999,3086,FALSE)</f>
        <v>#N/A</v>
      </c>
      <c r="I182" s="1" t="e">
        <f>VLOOKUP(A1,Data!$A$1:$DZU$999999,3087,FALSE)</f>
        <v>#N/A</v>
      </c>
      <c r="J182" s="1" t="e">
        <f>VLOOKUP(A1,Data!$A$1:$DZU$999999,3088,FALSE)</f>
        <v>#N/A</v>
      </c>
      <c r="K182" s="1" t="e">
        <f>VLOOKUP(A1,Data!$A$1:$DZU$999999,3089,FALSE)</f>
        <v>#N/A</v>
      </c>
      <c r="L182" s="1" t="e">
        <f>VLOOKUP(A1,Data!$A$1:$DZU$999999,3090,FALSE)</f>
        <v>#N/A</v>
      </c>
      <c r="M182" s="1" t="e">
        <f>VLOOKUP(A1,Data!$A$1:$DZU$999999,3091,FALSE)</f>
        <v>#N/A</v>
      </c>
      <c r="N182" s="1" t="e">
        <f>VLOOKUP(A1,Data!$A$1:$DZU$999999,3092,FALSE)</f>
        <v>#N/A</v>
      </c>
      <c r="O182" s="1" t="e">
        <f>VLOOKUP(A1,Data!$A$1:$DZU$999999,3093,FALSE)</f>
        <v>#N/A</v>
      </c>
      <c r="P182" s="1" t="e">
        <f>VLOOKUP(A1,Data!$A$1:$DZU$999999,3094,FALSE)</f>
        <v>#N/A</v>
      </c>
      <c r="Q182" s="1" t="e">
        <f>VLOOKUP(A1,Data!$A$1:$DZU$999999,3095,FALSE)</f>
        <v>#N/A</v>
      </c>
    </row>
    <row r="183" spans="1:17" x14ac:dyDescent="0.35">
      <c r="A183" s="1" t="e">
        <f>VLOOKUP(A1,Data!$A$1:$DZU$999999,3096,FALSE)</f>
        <v>#N/A</v>
      </c>
      <c r="B183" s="1" t="e">
        <f>VLOOKUP(A1,Data!$A$1:$DZU$999999,3097,FALSE)</f>
        <v>#N/A</v>
      </c>
      <c r="C183" s="1" t="e">
        <f>VLOOKUP(A1,Data!$A$1:$DZU$999999,3098,FALSE)</f>
        <v>#N/A</v>
      </c>
      <c r="D183" s="1" t="e">
        <f>VLOOKUP(A1,Data!$A$1:$DZU$999999,3099,FALSE)</f>
        <v>#N/A</v>
      </c>
      <c r="E183" s="1" t="e">
        <f>VLOOKUP(A1,Data!$A$1:$DZU$999999,3100,FALSE)</f>
        <v>#N/A</v>
      </c>
      <c r="F183" s="1" t="e">
        <f>VLOOKUP(A1,Data!$A$1:$DZU$999999,3101,FALSE)</f>
        <v>#N/A</v>
      </c>
      <c r="G183" s="1" t="e">
        <f>VLOOKUP(A1,Data!$A$1:$DZU$999999,3102,FALSE)</f>
        <v>#N/A</v>
      </c>
      <c r="H183" s="1" t="e">
        <f>VLOOKUP(A1,Data!$A$1:$DZU$999999,3103,FALSE)</f>
        <v>#N/A</v>
      </c>
      <c r="I183" s="1" t="e">
        <f>VLOOKUP(A1,Data!$A$1:$DZU$999999,3104,FALSE)</f>
        <v>#N/A</v>
      </c>
      <c r="J183" s="1" t="e">
        <f>VLOOKUP(A1,Data!$A$1:$DZU$999999,3105,FALSE)</f>
        <v>#N/A</v>
      </c>
      <c r="K183" s="1" t="e">
        <f>VLOOKUP(A1,Data!$A$1:$DZU$999999,3106,FALSE)</f>
        <v>#N/A</v>
      </c>
      <c r="L183" s="1" t="e">
        <f>VLOOKUP(A1,Data!$A$1:$DZU$999999,3107,FALSE)</f>
        <v>#N/A</v>
      </c>
      <c r="M183" s="1" t="e">
        <f>VLOOKUP(A1,Data!$A$1:$DZU$999999,3108,FALSE)</f>
        <v>#N/A</v>
      </c>
      <c r="N183" s="1" t="e">
        <f>VLOOKUP(A1,Data!$A$1:$DZU$999999,3109,FALSE)</f>
        <v>#N/A</v>
      </c>
      <c r="O183" s="1" t="e">
        <f>VLOOKUP(A1,Data!$A$1:$DZU$999999,3110,FALSE)</f>
        <v>#N/A</v>
      </c>
      <c r="P183" s="1" t="e">
        <f>VLOOKUP(A1,Data!$A$1:$DZU$999999,3111,FALSE)</f>
        <v>#N/A</v>
      </c>
      <c r="Q183" s="1" t="e">
        <f>VLOOKUP(A1,Data!$A$1:$DZU$999999,3112,FALSE)</f>
        <v>#N/A</v>
      </c>
    </row>
    <row r="184" spans="1:17" x14ac:dyDescent="0.35">
      <c r="A184" s="1" t="e">
        <f>VLOOKUP(A1,Data!$A$1:$DZU$999999,3113,FALSE)</f>
        <v>#N/A</v>
      </c>
      <c r="B184" s="1" t="e">
        <f>VLOOKUP(A1,Data!$A$1:$DZU$999999,3114,FALSE)</f>
        <v>#N/A</v>
      </c>
      <c r="C184" s="1" t="e">
        <f>VLOOKUP(A1,Data!$A$1:$DZU$999999,3115,FALSE)</f>
        <v>#N/A</v>
      </c>
      <c r="D184" s="1" t="e">
        <f>VLOOKUP(A1,Data!$A$1:$DZU$999999,3116,FALSE)</f>
        <v>#N/A</v>
      </c>
      <c r="E184" s="1" t="e">
        <f>VLOOKUP(A1,Data!$A$1:$DZU$999999,3117,FALSE)</f>
        <v>#N/A</v>
      </c>
      <c r="F184" s="1" t="e">
        <f>VLOOKUP(A1,Data!$A$1:$DZU$999999,3118,FALSE)</f>
        <v>#N/A</v>
      </c>
      <c r="G184" s="1" t="e">
        <f>VLOOKUP(A1,Data!$A$1:$DZU$999999,3119,FALSE)</f>
        <v>#N/A</v>
      </c>
      <c r="H184" s="1" t="e">
        <f>VLOOKUP(A1,Data!$A$1:$DZU$999999,3120,FALSE)</f>
        <v>#N/A</v>
      </c>
      <c r="I184" s="1" t="e">
        <f>VLOOKUP(A1,Data!$A$1:$DZU$999999,3121,FALSE)</f>
        <v>#N/A</v>
      </c>
      <c r="J184" s="1" t="e">
        <f>VLOOKUP(A1,Data!$A$1:$DZU$999999,3122,FALSE)</f>
        <v>#N/A</v>
      </c>
      <c r="K184" s="1" t="e">
        <f>VLOOKUP(A1,Data!$A$1:$DZU$999999,3123,FALSE)</f>
        <v>#N/A</v>
      </c>
      <c r="L184" s="1" t="e">
        <f>VLOOKUP(A1,Data!$A$1:$DZU$999999,3124,FALSE)</f>
        <v>#N/A</v>
      </c>
      <c r="M184" s="1" t="e">
        <f>VLOOKUP(A1,Data!$A$1:$DZU$999999,3125,FALSE)</f>
        <v>#N/A</v>
      </c>
      <c r="N184" s="1" t="e">
        <f>VLOOKUP(A1,Data!$A$1:$DZU$999999,3126,FALSE)</f>
        <v>#N/A</v>
      </c>
      <c r="O184" s="1" t="e">
        <f>VLOOKUP(A1,Data!$A$1:$DZU$999999,3127,FALSE)</f>
        <v>#N/A</v>
      </c>
      <c r="P184" s="1" t="e">
        <f>VLOOKUP(A1,Data!$A$1:$DZU$999999,3128,FALSE)</f>
        <v>#N/A</v>
      </c>
      <c r="Q184" s="1" t="e">
        <f>VLOOKUP(A1,Data!$A$1:$DZU$999999,3129,FALSE)</f>
        <v>#N/A</v>
      </c>
    </row>
    <row r="185" spans="1:17" x14ac:dyDescent="0.35">
      <c r="A185" s="1" t="e">
        <f>VLOOKUP(A1,Data!$A$1:$DZU$999999,3130,FALSE)</f>
        <v>#N/A</v>
      </c>
      <c r="B185" s="1" t="e">
        <f>VLOOKUP(A1,Data!$A$1:$DZU$999999,3131,FALSE)</f>
        <v>#N/A</v>
      </c>
      <c r="C185" s="1" t="e">
        <f>VLOOKUP(A1,Data!$A$1:$DZU$999999,3132,FALSE)</f>
        <v>#N/A</v>
      </c>
      <c r="D185" s="1" t="e">
        <f>VLOOKUP(A1,Data!$A$1:$DZU$999999,3133,FALSE)</f>
        <v>#N/A</v>
      </c>
      <c r="E185" s="1" t="e">
        <f>VLOOKUP(A1,Data!$A$1:$DZU$999999,3134,FALSE)</f>
        <v>#N/A</v>
      </c>
      <c r="F185" s="1" t="e">
        <f>VLOOKUP(A1,Data!$A$1:$DZU$999999,3135,FALSE)</f>
        <v>#N/A</v>
      </c>
      <c r="G185" s="1" t="e">
        <f>VLOOKUP(A1,Data!$A$1:$DZU$999999,3136,FALSE)</f>
        <v>#N/A</v>
      </c>
      <c r="H185" s="1" t="e">
        <f>VLOOKUP(A1,Data!$A$1:$DZU$999999,3137,FALSE)</f>
        <v>#N/A</v>
      </c>
      <c r="I185" s="1" t="e">
        <f>VLOOKUP(A1,Data!$A$1:$DZU$999999,3138,FALSE)</f>
        <v>#N/A</v>
      </c>
      <c r="J185" s="1" t="e">
        <f>VLOOKUP(A1,Data!$A$1:$DZU$999999,3139,FALSE)</f>
        <v>#N/A</v>
      </c>
      <c r="K185" s="1" t="e">
        <f>VLOOKUP(A1,Data!$A$1:$DZU$999999,3140,FALSE)</f>
        <v>#N/A</v>
      </c>
      <c r="L185" s="1" t="e">
        <f>VLOOKUP(A1,Data!$A$1:$DZU$999999,3141,FALSE)</f>
        <v>#N/A</v>
      </c>
      <c r="M185" s="1" t="e">
        <f>VLOOKUP(A1,Data!$A$1:$DZU$999999,3142,FALSE)</f>
        <v>#N/A</v>
      </c>
      <c r="N185" s="1" t="e">
        <f>VLOOKUP(A1,Data!$A$1:$DZU$999999,3143,FALSE)</f>
        <v>#N/A</v>
      </c>
      <c r="O185" s="1" t="e">
        <f>VLOOKUP(A1,Data!$A$1:$DZU$999999,3144,FALSE)</f>
        <v>#N/A</v>
      </c>
      <c r="P185" s="1" t="e">
        <f>VLOOKUP(A1,Data!$A$1:$DZU$999999,3145,FALSE)</f>
        <v>#N/A</v>
      </c>
      <c r="Q185" s="1" t="e">
        <f>VLOOKUP(A1,Data!$A$1:$DZU$999999,3146,FALSE)</f>
        <v>#N/A</v>
      </c>
    </row>
    <row r="186" spans="1:17" x14ac:dyDescent="0.35">
      <c r="A186" s="1" t="e">
        <f>VLOOKUP(A1,Data!$A$1:$DZU$999999,3147,FALSE)</f>
        <v>#N/A</v>
      </c>
      <c r="B186" s="1" t="e">
        <f>VLOOKUP(A1,Data!$A$1:$DZU$999999,3148,FALSE)</f>
        <v>#N/A</v>
      </c>
      <c r="C186" s="1" t="e">
        <f>VLOOKUP(A1,Data!$A$1:$DZU$999999,3149,FALSE)</f>
        <v>#N/A</v>
      </c>
      <c r="D186" s="1" t="e">
        <f>VLOOKUP(A1,Data!$A$1:$DZU$999999,3150,FALSE)</f>
        <v>#N/A</v>
      </c>
      <c r="E186" s="1" t="e">
        <f>VLOOKUP(A1,Data!$A$1:$DZU$999999,3151,FALSE)</f>
        <v>#N/A</v>
      </c>
      <c r="F186" s="1" t="e">
        <f>VLOOKUP(A1,Data!$A$1:$DZU$999999,3152,FALSE)</f>
        <v>#N/A</v>
      </c>
      <c r="G186" s="1" t="e">
        <f>VLOOKUP(A1,Data!$A$1:$DZU$999999,3153,FALSE)</f>
        <v>#N/A</v>
      </c>
      <c r="H186" s="1" t="e">
        <f>VLOOKUP(A1,Data!$A$1:$DZU$999999,3154,FALSE)</f>
        <v>#N/A</v>
      </c>
      <c r="I186" s="1" t="e">
        <f>VLOOKUP(A1,Data!$A$1:$DZU$999999,3155,FALSE)</f>
        <v>#N/A</v>
      </c>
      <c r="J186" s="1" t="e">
        <f>VLOOKUP(A1,Data!$A$1:$DZU$999999,3156,FALSE)</f>
        <v>#N/A</v>
      </c>
      <c r="K186" s="1" t="e">
        <f>VLOOKUP(A1,Data!$A$1:$DZU$999999,3157,FALSE)</f>
        <v>#N/A</v>
      </c>
      <c r="L186" s="1" t="e">
        <f>VLOOKUP(A1,Data!$A$1:$DZU$999999,3158,FALSE)</f>
        <v>#N/A</v>
      </c>
      <c r="M186" s="1" t="e">
        <f>VLOOKUP(A1,Data!$A$1:$DZU$999999,3159,FALSE)</f>
        <v>#N/A</v>
      </c>
      <c r="N186" s="1" t="e">
        <f>VLOOKUP(A1,Data!$A$1:$DZU$999999,3160,FALSE)</f>
        <v>#N/A</v>
      </c>
      <c r="O186" s="1" t="e">
        <f>VLOOKUP(A1,Data!$A$1:$DZU$999999,3161,FALSE)</f>
        <v>#N/A</v>
      </c>
      <c r="P186" s="1" t="e">
        <f>VLOOKUP(A1,Data!$A$1:$DZU$999999,3162,FALSE)</f>
        <v>#N/A</v>
      </c>
      <c r="Q186" s="1" t="e">
        <f>VLOOKUP(A1,Data!$A$1:$DZU$999999,3163,FALSE)</f>
        <v>#N/A</v>
      </c>
    </row>
    <row r="187" spans="1:17" x14ac:dyDescent="0.35">
      <c r="A187" s="1" t="e">
        <f>VLOOKUP(A1,Data!$A$1:$DZU$999999,3164,FALSE)</f>
        <v>#N/A</v>
      </c>
      <c r="B187" s="1" t="e">
        <f>VLOOKUP(A1,Data!$A$1:$DZU$999999,3165,FALSE)</f>
        <v>#N/A</v>
      </c>
      <c r="C187" s="1" t="e">
        <f>VLOOKUP(A1,Data!$A$1:$DZU$999999,3166,FALSE)</f>
        <v>#N/A</v>
      </c>
      <c r="D187" s="1" t="e">
        <f>VLOOKUP(A1,Data!$A$1:$DZU$999999,3167,FALSE)</f>
        <v>#N/A</v>
      </c>
      <c r="E187" s="1" t="e">
        <f>VLOOKUP(A1,Data!$A$1:$DZU$999999,3168,FALSE)</f>
        <v>#N/A</v>
      </c>
      <c r="F187" s="1" t="e">
        <f>VLOOKUP(A1,Data!$A$1:$DZU$999999,3169,FALSE)</f>
        <v>#N/A</v>
      </c>
      <c r="G187" s="1" t="e">
        <f>VLOOKUP(A1,Data!$A$1:$DZU$999999,3170,FALSE)</f>
        <v>#N/A</v>
      </c>
      <c r="H187" s="1" t="e">
        <f>VLOOKUP(A1,Data!$A$1:$DZU$999999,3171,FALSE)</f>
        <v>#N/A</v>
      </c>
      <c r="I187" s="1" t="e">
        <f>VLOOKUP(A1,Data!$A$1:$DZU$999999,3172,FALSE)</f>
        <v>#N/A</v>
      </c>
      <c r="J187" s="1" t="e">
        <f>VLOOKUP(A1,Data!$A$1:$DZU$999999,3173,FALSE)</f>
        <v>#N/A</v>
      </c>
      <c r="K187" s="1" t="e">
        <f>VLOOKUP(A1,Data!$A$1:$DZU$999999,3174,FALSE)</f>
        <v>#N/A</v>
      </c>
      <c r="L187" s="1" t="e">
        <f>VLOOKUP(A1,Data!$A$1:$DZU$999999,3175,FALSE)</f>
        <v>#N/A</v>
      </c>
      <c r="M187" s="1" t="e">
        <f>VLOOKUP(A1,Data!$A$1:$DZU$999999,3176,FALSE)</f>
        <v>#N/A</v>
      </c>
      <c r="N187" s="1" t="e">
        <f>VLOOKUP(A1,Data!$A$1:$DZU$999999,3177,FALSE)</f>
        <v>#N/A</v>
      </c>
      <c r="O187" s="1" t="e">
        <f>VLOOKUP(A1,Data!$A$1:$DZU$999999,3178,FALSE)</f>
        <v>#N/A</v>
      </c>
      <c r="P187" s="1" t="e">
        <f>VLOOKUP(A1,Data!$A$1:$DZU$999999,3179,FALSE)</f>
        <v>#N/A</v>
      </c>
      <c r="Q187" s="1" t="e">
        <f>VLOOKUP(A1,Data!$A$1:$DZU$999999,3180,FALSE)</f>
        <v>#N/A</v>
      </c>
    </row>
    <row r="188" spans="1:17" x14ac:dyDescent="0.35">
      <c r="A188" s="1" t="e">
        <f>VLOOKUP(A1,Data!$A$1:$DZU$999999,3181,FALSE)</f>
        <v>#N/A</v>
      </c>
      <c r="B188" s="1" t="e">
        <f>VLOOKUP(A1,Data!$A$1:$DZU$999999,3182,FALSE)</f>
        <v>#N/A</v>
      </c>
      <c r="C188" s="1" t="e">
        <f>VLOOKUP(A1,Data!$A$1:$DZU$999999,3183,FALSE)</f>
        <v>#N/A</v>
      </c>
      <c r="D188" s="1" t="e">
        <f>VLOOKUP(A1,Data!$A$1:$DZU$999999,3184,FALSE)</f>
        <v>#N/A</v>
      </c>
      <c r="E188" s="1" t="e">
        <f>VLOOKUP(A1,Data!$A$1:$DZU$999999,3185,FALSE)</f>
        <v>#N/A</v>
      </c>
      <c r="F188" s="1" t="e">
        <f>VLOOKUP(A1,Data!$A$1:$DZU$999999,3186,FALSE)</f>
        <v>#N/A</v>
      </c>
      <c r="G188" s="1" t="e">
        <f>VLOOKUP(A1,Data!$A$1:$DZU$999999,3187,FALSE)</f>
        <v>#N/A</v>
      </c>
      <c r="H188" s="1" t="e">
        <f>VLOOKUP(A1,Data!$A$1:$DZU$999999,3188,FALSE)</f>
        <v>#N/A</v>
      </c>
      <c r="I188" s="1" t="e">
        <f>VLOOKUP(A1,Data!$A$1:$DZU$999999,3189,FALSE)</f>
        <v>#N/A</v>
      </c>
      <c r="J188" s="1" t="e">
        <f>VLOOKUP(A1,Data!$A$1:$DZU$999999,3190,FALSE)</f>
        <v>#N/A</v>
      </c>
      <c r="K188" s="1" t="e">
        <f>VLOOKUP(A1,Data!$A$1:$DZU$999999,3191,FALSE)</f>
        <v>#N/A</v>
      </c>
      <c r="L188" s="1" t="e">
        <f>VLOOKUP(A1,Data!$A$1:$DZU$999999,3192,FALSE)</f>
        <v>#N/A</v>
      </c>
      <c r="M188" s="1" t="e">
        <f>VLOOKUP(A1,Data!$A$1:$DZU$999999,3193,FALSE)</f>
        <v>#N/A</v>
      </c>
      <c r="N188" s="1" t="e">
        <f>VLOOKUP(A1,Data!$A$1:$DZU$999999,3194,FALSE)</f>
        <v>#N/A</v>
      </c>
      <c r="O188" s="1" t="e">
        <f>VLOOKUP(A1,Data!$A$1:$DZU$999999,3195,FALSE)</f>
        <v>#N/A</v>
      </c>
      <c r="P188" s="1" t="e">
        <f>VLOOKUP(A1,Data!$A$1:$DZU$999999,3196,FALSE)</f>
        <v>#N/A</v>
      </c>
      <c r="Q188" s="1" t="e">
        <f>VLOOKUP(A1,Data!$A$1:$DZU$999999,3197,FALSE)</f>
        <v>#N/A</v>
      </c>
    </row>
    <row r="189" spans="1:17" x14ac:dyDescent="0.35">
      <c r="A189" s="1" t="e">
        <f>VLOOKUP(A1,Data!$A$1:$DZU$999999,3198,FALSE)</f>
        <v>#N/A</v>
      </c>
      <c r="B189" s="1" t="e">
        <f>VLOOKUP(A1,Data!$A$1:$DZU$999999,3199,FALSE)</f>
        <v>#N/A</v>
      </c>
      <c r="C189" s="1" t="e">
        <f>VLOOKUP(A1,Data!$A$1:$DZU$999999,3200,FALSE)</f>
        <v>#N/A</v>
      </c>
      <c r="D189" s="1" t="e">
        <f>VLOOKUP(A1,Data!$A$1:$DZU$999999,3201,FALSE)</f>
        <v>#N/A</v>
      </c>
      <c r="E189" s="1" t="e">
        <f>VLOOKUP(A1,Data!$A$1:$DZU$999999,3202,FALSE)</f>
        <v>#N/A</v>
      </c>
      <c r="F189" s="1" t="e">
        <f>VLOOKUP(A1,Data!$A$1:$DZU$999999,3203,FALSE)</f>
        <v>#N/A</v>
      </c>
      <c r="G189" s="1" t="e">
        <f>VLOOKUP(A1,Data!$A$1:$DZU$999999,3204,FALSE)</f>
        <v>#N/A</v>
      </c>
      <c r="H189" s="1" t="e">
        <f>VLOOKUP(A1,Data!$A$1:$DZU$999999,3205,FALSE)</f>
        <v>#N/A</v>
      </c>
      <c r="I189" s="1" t="e">
        <f>VLOOKUP(A1,Data!$A$1:$DZU$999999,3206,FALSE)</f>
        <v>#N/A</v>
      </c>
      <c r="J189" s="1" t="e">
        <f>VLOOKUP(A1,Data!$A$1:$DZU$999999,3207,FALSE)</f>
        <v>#N/A</v>
      </c>
      <c r="K189" s="1" t="e">
        <f>VLOOKUP(A1,Data!$A$1:$DZU$999999,3208,FALSE)</f>
        <v>#N/A</v>
      </c>
      <c r="L189" s="1" t="e">
        <f>VLOOKUP(A1,Data!$A$1:$DZU$999999,3209,FALSE)</f>
        <v>#N/A</v>
      </c>
      <c r="M189" s="1" t="e">
        <f>VLOOKUP(A1,Data!$A$1:$DZU$999999,3210,FALSE)</f>
        <v>#N/A</v>
      </c>
      <c r="N189" s="1" t="e">
        <f>VLOOKUP(A1,Data!$A$1:$DZU$999999,3211,FALSE)</f>
        <v>#N/A</v>
      </c>
      <c r="O189" s="1" t="e">
        <f>VLOOKUP(A1,Data!$A$1:$DZU$999999,3212,FALSE)</f>
        <v>#N/A</v>
      </c>
      <c r="P189" s="1" t="e">
        <f>VLOOKUP(A1,Data!$A$1:$DZU$999999,3213,FALSE)</f>
        <v>#N/A</v>
      </c>
      <c r="Q189" s="1" t="e">
        <f>VLOOKUP(A1,Data!$A$1:$DZU$999999,3214,FALSE)</f>
        <v>#N/A</v>
      </c>
    </row>
    <row r="190" spans="1:17" x14ac:dyDescent="0.35">
      <c r="A190" s="1" t="e">
        <f>VLOOKUP(A1,Data!$A$1:$DZU$999999,3215,FALSE)</f>
        <v>#N/A</v>
      </c>
      <c r="B190" s="1" t="e">
        <f>VLOOKUP(A1,Data!$A$1:$DZU$999999,3216,FALSE)</f>
        <v>#N/A</v>
      </c>
      <c r="C190" s="1" t="e">
        <f>VLOOKUP(A1,Data!$A$1:$DZU$999999,3217,FALSE)</f>
        <v>#N/A</v>
      </c>
      <c r="D190" s="1" t="e">
        <f>VLOOKUP(A1,Data!$A$1:$DZU$999999,3218,FALSE)</f>
        <v>#N/A</v>
      </c>
      <c r="E190" s="1" t="e">
        <f>VLOOKUP(A1,Data!$A$1:$DZU$999999,3219,FALSE)</f>
        <v>#N/A</v>
      </c>
      <c r="F190" s="1" t="e">
        <f>VLOOKUP(A1,Data!$A$1:$DZU$999999,3220,FALSE)</f>
        <v>#N/A</v>
      </c>
      <c r="G190" s="1" t="e">
        <f>VLOOKUP(A1,Data!$A$1:$DZU$999999,3221,FALSE)</f>
        <v>#N/A</v>
      </c>
      <c r="H190" s="1" t="e">
        <f>VLOOKUP(A1,Data!$A$1:$DZU$999999,3222,FALSE)</f>
        <v>#N/A</v>
      </c>
      <c r="I190" s="1" t="e">
        <f>VLOOKUP(A1,Data!$A$1:$DZU$999999,3223,FALSE)</f>
        <v>#N/A</v>
      </c>
      <c r="J190" s="1" t="e">
        <f>VLOOKUP(A1,Data!$A$1:$DZU$999999,3224,FALSE)</f>
        <v>#N/A</v>
      </c>
      <c r="K190" s="1" t="e">
        <f>VLOOKUP(A1,Data!$A$1:$DZU$999999,3225,FALSE)</f>
        <v>#N/A</v>
      </c>
      <c r="L190" s="1" t="e">
        <f>VLOOKUP(A1,Data!$A$1:$DZU$999999,3226,FALSE)</f>
        <v>#N/A</v>
      </c>
      <c r="M190" s="1" t="e">
        <f>VLOOKUP(A1,Data!$A$1:$DZU$999999,3227,FALSE)</f>
        <v>#N/A</v>
      </c>
      <c r="N190" s="1" t="e">
        <f>VLOOKUP(A1,Data!$A$1:$DZU$999999,3228,FALSE)</f>
        <v>#N/A</v>
      </c>
      <c r="O190" s="1" t="e">
        <f>VLOOKUP(A1,Data!$A$1:$DZU$999999,3229,FALSE)</f>
        <v>#N/A</v>
      </c>
      <c r="P190" s="1" t="e">
        <f>VLOOKUP(A1,Data!$A$1:$DZU$999999,3230,FALSE)</f>
        <v>#N/A</v>
      </c>
      <c r="Q190" s="1" t="e">
        <f>VLOOKUP(A1,Data!$A$1:$DZU$999999,3231,FALSE)</f>
        <v>#N/A</v>
      </c>
    </row>
    <row r="191" spans="1:17" x14ac:dyDescent="0.35">
      <c r="A191" s="1" t="e">
        <f>VLOOKUP(A1,Data!$A$1:$DZU$999999,3232,FALSE)</f>
        <v>#N/A</v>
      </c>
      <c r="B191" s="1" t="e">
        <f>VLOOKUP(A1,Data!$A$1:$DZU$999999,3233,FALSE)</f>
        <v>#N/A</v>
      </c>
      <c r="C191" s="1" t="e">
        <f>VLOOKUP(A1,Data!$A$1:$DZU$999999,3234,FALSE)</f>
        <v>#N/A</v>
      </c>
      <c r="D191" s="1" t="e">
        <f>VLOOKUP(A1,Data!$A$1:$DZU$999999,3235,FALSE)</f>
        <v>#N/A</v>
      </c>
      <c r="E191" s="1" t="e">
        <f>VLOOKUP(A1,Data!$A$1:$DZU$999999,3236,FALSE)</f>
        <v>#N/A</v>
      </c>
      <c r="F191" s="1" t="e">
        <f>VLOOKUP(A1,Data!$A$1:$DZU$999999,3237,FALSE)</f>
        <v>#N/A</v>
      </c>
      <c r="G191" s="1" t="e">
        <f>VLOOKUP(A1,Data!$A$1:$DZU$999999,3238,FALSE)</f>
        <v>#N/A</v>
      </c>
      <c r="H191" s="1" t="e">
        <f>VLOOKUP(A1,Data!$A$1:$DZU$999999,3239,FALSE)</f>
        <v>#N/A</v>
      </c>
      <c r="I191" s="1" t="e">
        <f>VLOOKUP(A1,Data!$A$1:$DZU$999999,3240,FALSE)</f>
        <v>#N/A</v>
      </c>
      <c r="J191" s="1" t="e">
        <f>VLOOKUP(A1,Data!$A$1:$DZU$999999,3241,FALSE)</f>
        <v>#N/A</v>
      </c>
      <c r="K191" s="1" t="e">
        <f>VLOOKUP(A1,Data!$A$1:$DZU$999999,3242,FALSE)</f>
        <v>#N/A</v>
      </c>
      <c r="L191" s="1" t="e">
        <f>VLOOKUP(A1,Data!$A$1:$DZU$999999,3243,FALSE)</f>
        <v>#N/A</v>
      </c>
      <c r="M191" s="1" t="e">
        <f>VLOOKUP(A1,Data!$A$1:$DZU$999999,3244,FALSE)</f>
        <v>#N/A</v>
      </c>
      <c r="N191" s="1" t="e">
        <f>VLOOKUP(A1,Data!$A$1:$DZU$999999,3245,FALSE)</f>
        <v>#N/A</v>
      </c>
      <c r="O191" s="1" t="e">
        <f>VLOOKUP(A1,Data!$A$1:$DZU$999999,3246,FALSE)</f>
        <v>#N/A</v>
      </c>
      <c r="P191" s="1" t="e">
        <f>VLOOKUP(A1,Data!$A$1:$DZU$999999,3247,FALSE)</f>
        <v>#N/A</v>
      </c>
      <c r="Q191" s="1" t="e">
        <f>VLOOKUP(A1,Data!$A$1:$DZU$999999,3248,FALSE)</f>
        <v>#N/A</v>
      </c>
    </row>
    <row r="192" spans="1:17" x14ac:dyDescent="0.35">
      <c r="A192" s="1" t="e">
        <f>VLOOKUP(A1,Data!$A$1:$DZU$999999,3249,FALSE)</f>
        <v>#N/A</v>
      </c>
      <c r="B192" s="1" t="e">
        <f>VLOOKUP(A1,Data!$A$1:$DZU$999999,3250,FALSE)</f>
        <v>#N/A</v>
      </c>
      <c r="C192" s="1" t="e">
        <f>VLOOKUP(A1,Data!$A$1:$DZU$999999,3251,FALSE)</f>
        <v>#N/A</v>
      </c>
      <c r="D192" s="1" t="e">
        <f>VLOOKUP(A1,Data!$A$1:$DZU$999999,3252,FALSE)</f>
        <v>#N/A</v>
      </c>
      <c r="E192" s="1" t="e">
        <f>VLOOKUP(A1,Data!$A$1:$DZU$999999,3253,FALSE)</f>
        <v>#N/A</v>
      </c>
      <c r="F192" s="1" t="e">
        <f>VLOOKUP(A1,Data!$A$1:$DZU$999999,3254,FALSE)</f>
        <v>#N/A</v>
      </c>
      <c r="G192" s="1" t="e">
        <f>VLOOKUP(A1,Data!$A$1:$DZU$999999,3255,FALSE)</f>
        <v>#N/A</v>
      </c>
      <c r="H192" s="1" t="e">
        <f>VLOOKUP(A1,Data!$A$1:$DZU$999999,3256,FALSE)</f>
        <v>#N/A</v>
      </c>
      <c r="I192" s="1" t="e">
        <f>VLOOKUP(A1,Data!$A$1:$DZU$999999,3257,FALSE)</f>
        <v>#N/A</v>
      </c>
      <c r="J192" s="1" t="e">
        <f>VLOOKUP(A1,Data!$A$1:$DZU$999999,3258,FALSE)</f>
        <v>#N/A</v>
      </c>
      <c r="K192" s="1" t="e">
        <f>VLOOKUP(A1,Data!$A$1:$DZU$999999,3259,FALSE)</f>
        <v>#N/A</v>
      </c>
      <c r="L192" s="1" t="e">
        <f>VLOOKUP(A1,Data!$A$1:$DZU$999999,3260,FALSE)</f>
        <v>#N/A</v>
      </c>
      <c r="M192" s="1" t="e">
        <f>VLOOKUP(A1,Data!$A$1:$DZU$999999,3261,FALSE)</f>
        <v>#N/A</v>
      </c>
      <c r="N192" s="1" t="e">
        <f>VLOOKUP(A1,Data!$A$1:$DZU$999999,3262,FALSE)</f>
        <v>#N/A</v>
      </c>
      <c r="O192" s="1" t="e">
        <f>VLOOKUP(A1,Data!$A$1:$DZU$999999,3263,FALSE)</f>
        <v>#N/A</v>
      </c>
      <c r="P192" s="1" t="e">
        <f>VLOOKUP(A1,Data!$A$1:$DZU$999999,3264,FALSE)</f>
        <v>#N/A</v>
      </c>
      <c r="Q192" s="1" t="e">
        <f>VLOOKUP(A1,Data!$A$1:$DZU$999999,3265,FALSE)</f>
        <v>#N/A</v>
      </c>
    </row>
    <row r="193" spans="1:17" x14ac:dyDescent="0.35">
      <c r="A193" s="1" t="e">
        <f>VLOOKUP(A1,Data!$A$1:$DZU$999999,3266,FALSE)</f>
        <v>#N/A</v>
      </c>
      <c r="B193" s="1" t="e">
        <f>VLOOKUP(A1,Data!$A$1:$DZU$999999,3267,FALSE)</f>
        <v>#N/A</v>
      </c>
      <c r="C193" s="1" t="e">
        <f>VLOOKUP(A1,Data!$A$1:$DZU$999999,3268,FALSE)</f>
        <v>#N/A</v>
      </c>
      <c r="D193" s="1" t="e">
        <f>VLOOKUP(A1,Data!$A$1:$DZU$999999,3269,FALSE)</f>
        <v>#N/A</v>
      </c>
      <c r="E193" s="1" t="e">
        <f>VLOOKUP(A1,Data!$A$1:$DZU$999999,3270,FALSE)</f>
        <v>#N/A</v>
      </c>
      <c r="F193" s="1" t="e">
        <f>VLOOKUP(A1,Data!$A$1:$DZU$999999,3271,FALSE)</f>
        <v>#N/A</v>
      </c>
      <c r="G193" s="1" t="e">
        <f>VLOOKUP(A1,Data!$A$1:$DZU$999999,3272,FALSE)</f>
        <v>#N/A</v>
      </c>
      <c r="H193" s="1" t="e">
        <f>VLOOKUP(A1,Data!$A$1:$DZU$999999,3273,FALSE)</f>
        <v>#N/A</v>
      </c>
      <c r="I193" s="1" t="e">
        <f>VLOOKUP(A1,Data!$A$1:$DZU$999999,3274,FALSE)</f>
        <v>#N/A</v>
      </c>
      <c r="J193" s="1" t="e">
        <f>VLOOKUP(A1,Data!$A$1:$DZU$999999,3275,FALSE)</f>
        <v>#N/A</v>
      </c>
      <c r="K193" s="1" t="e">
        <f>VLOOKUP(A1,Data!$A$1:$DZU$999999,3276,FALSE)</f>
        <v>#N/A</v>
      </c>
      <c r="L193" s="1" t="e">
        <f>VLOOKUP(A1,Data!$A$1:$DZU$999999,3277,FALSE)</f>
        <v>#N/A</v>
      </c>
      <c r="M193" s="1" t="e">
        <f>VLOOKUP(A1,Data!$A$1:$DZU$999999,3278,FALSE)</f>
        <v>#N/A</v>
      </c>
      <c r="N193" s="1" t="e">
        <f>VLOOKUP(A1,Data!$A$1:$DZU$999999,3279,FALSE)</f>
        <v>#N/A</v>
      </c>
      <c r="O193" s="1" t="e">
        <f>VLOOKUP(A1,Data!$A$1:$DZU$999999,3280,FALSE)</f>
        <v>#N/A</v>
      </c>
      <c r="P193" s="1" t="e">
        <f>VLOOKUP(A1,Data!$A$1:$DZU$999999,3281,FALSE)</f>
        <v>#N/A</v>
      </c>
      <c r="Q193" s="1" t="e">
        <f>VLOOKUP(A1,Data!$A$1:$DZU$999999,3282,FALSE)</f>
        <v>#N/A</v>
      </c>
    </row>
    <row r="194" spans="1:17" x14ac:dyDescent="0.35">
      <c r="A194" s="1" t="e">
        <f>VLOOKUP(A1,Data!$A$1:$DZU$999999,3283,FALSE)</f>
        <v>#N/A</v>
      </c>
      <c r="B194" s="1" t="e">
        <f>VLOOKUP(A1,Data!$A$1:$DZU$999999,3284,FALSE)</f>
        <v>#N/A</v>
      </c>
      <c r="C194" s="1" t="e">
        <f>VLOOKUP(A1,Data!$A$1:$DZU$999999,3285,FALSE)</f>
        <v>#N/A</v>
      </c>
      <c r="D194" s="1" t="e">
        <f>VLOOKUP(A1,Data!$A$1:$DZU$999999,3286,FALSE)</f>
        <v>#N/A</v>
      </c>
      <c r="E194" s="1" t="e">
        <f>VLOOKUP(A1,Data!$A$1:$DZU$999999,3287,FALSE)</f>
        <v>#N/A</v>
      </c>
      <c r="F194" s="1" t="e">
        <f>VLOOKUP(A1,Data!$A$1:$DZU$999999,3288,FALSE)</f>
        <v>#N/A</v>
      </c>
      <c r="G194" s="1" t="e">
        <f>VLOOKUP(A1,Data!$A$1:$DZU$999999,3289,FALSE)</f>
        <v>#N/A</v>
      </c>
      <c r="H194" s="1" t="e">
        <f>VLOOKUP(A1,Data!$A$1:$DZU$999999,3290,FALSE)</f>
        <v>#N/A</v>
      </c>
      <c r="I194" s="1" t="e">
        <f>VLOOKUP(A1,Data!$A$1:$DZU$999999,3291,FALSE)</f>
        <v>#N/A</v>
      </c>
      <c r="J194" s="1" t="e">
        <f>VLOOKUP(A1,Data!$A$1:$DZU$999999,3292,FALSE)</f>
        <v>#N/A</v>
      </c>
      <c r="K194" s="1" t="e">
        <f>VLOOKUP(A1,Data!$A$1:$DZU$999999,3293,FALSE)</f>
        <v>#N/A</v>
      </c>
      <c r="L194" s="1" t="e">
        <f>VLOOKUP(A1,Data!$A$1:$DZU$999999,3294,FALSE)</f>
        <v>#N/A</v>
      </c>
      <c r="M194" s="1" t="e">
        <f>VLOOKUP(A1,Data!$A$1:$DZU$999999,3295,FALSE)</f>
        <v>#N/A</v>
      </c>
      <c r="N194" s="1" t="e">
        <f>VLOOKUP(A1,Data!$A$1:$DZU$999999,3296,FALSE)</f>
        <v>#N/A</v>
      </c>
      <c r="O194" s="1" t="e">
        <f>VLOOKUP(A1,Data!$A$1:$DZU$999999,3297,FALSE)</f>
        <v>#N/A</v>
      </c>
      <c r="P194" s="1" t="e">
        <f>VLOOKUP(A1,Data!$A$1:$DZU$999999,3298,FALSE)</f>
        <v>#N/A</v>
      </c>
      <c r="Q194" s="1" t="e">
        <f>VLOOKUP(A1,Data!$A$1:$DZU$999999,3299,FALSE)</f>
        <v>#N/A</v>
      </c>
    </row>
    <row r="195" spans="1:17" x14ac:dyDescent="0.35">
      <c r="A195" s="1" t="e">
        <f>VLOOKUP(A1,Data!$A$1:$DZU$999999,3300,FALSE)</f>
        <v>#N/A</v>
      </c>
      <c r="B195" s="1" t="e">
        <f>VLOOKUP(A1,Data!$A$1:$DZU$999999,3301,FALSE)</f>
        <v>#N/A</v>
      </c>
      <c r="C195" s="1" t="e">
        <f>VLOOKUP(A1,Data!$A$1:$DZU$999999,3302,FALSE)</f>
        <v>#N/A</v>
      </c>
      <c r="D195" s="1" t="e">
        <f>VLOOKUP(A1,Data!$A$1:$DZU$999999,3303,FALSE)</f>
        <v>#N/A</v>
      </c>
      <c r="E195" s="1" t="e">
        <f>VLOOKUP(A1,Data!$A$1:$DZU$999999,3304,FALSE)</f>
        <v>#N/A</v>
      </c>
      <c r="F195" s="1" t="e">
        <f>VLOOKUP(A1,Data!$A$1:$DZU$999999,3305,FALSE)</f>
        <v>#N/A</v>
      </c>
      <c r="G195" s="1" t="e">
        <f>VLOOKUP(A1,Data!$A$1:$DZU$999999,3306,FALSE)</f>
        <v>#N/A</v>
      </c>
      <c r="H195" s="1" t="e">
        <f>VLOOKUP(A1,Data!$A$1:$DZU$999999,3307,FALSE)</f>
        <v>#N/A</v>
      </c>
      <c r="I195" s="1" t="e">
        <f>VLOOKUP(A1,Data!$A$1:$DZU$999999,3308,FALSE)</f>
        <v>#N/A</v>
      </c>
      <c r="J195" s="1" t="e">
        <f>VLOOKUP(A1,Data!$A$1:$DZU$999999,3309,FALSE)</f>
        <v>#N/A</v>
      </c>
      <c r="K195" s="1" t="e">
        <f>VLOOKUP(A1,Data!$A$1:$DZU$999999,3310,FALSE)</f>
        <v>#N/A</v>
      </c>
      <c r="L195" s="1" t="e">
        <f>VLOOKUP(A1,Data!$A$1:$DZU$999999,3311,FALSE)</f>
        <v>#N/A</v>
      </c>
      <c r="M195" s="1" t="e">
        <f>VLOOKUP(A1,Data!$A$1:$DZU$999999,3312,FALSE)</f>
        <v>#N/A</v>
      </c>
      <c r="N195" s="1" t="e">
        <f>VLOOKUP(A1,Data!$A$1:$DZU$999999,3313,FALSE)</f>
        <v>#N/A</v>
      </c>
      <c r="O195" s="1" t="e">
        <f>VLOOKUP(A1,Data!$A$1:$DZU$999999,3314,FALSE)</f>
        <v>#N/A</v>
      </c>
      <c r="P195" s="1" t="e">
        <f>VLOOKUP(A1,Data!$A$1:$DZU$999999,3315,FALSE)</f>
        <v>#N/A</v>
      </c>
      <c r="Q195" s="1" t="e">
        <f>VLOOKUP(A1,Data!$A$1:$DZU$999999,3316,FALSE)</f>
        <v>#N/A</v>
      </c>
    </row>
    <row r="196" spans="1:17" x14ac:dyDescent="0.35">
      <c r="A196" s="1" t="e">
        <f>VLOOKUP(A1,Data!$A$1:$DZU$999999,3317,FALSE)</f>
        <v>#N/A</v>
      </c>
      <c r="B196" s="1" t="e">
        <f>VLOOKUP(A1,Data!$A$1:$DZU$999999,3318,FALSE)</f>
        <v>#N/A</v>
      </c>
      <c r="C196" s="1" t="e">
        <f>VLOOKUP(A1,Data!$A$1:$DZU$999999,3319,FALSE)</f>
        <v>#N/A</v>
      </c>
      <c r="D196" s="1" t="e">
        <f>VLOOKUP(A1,Data!$A$1:$DZU$999999,3320,FALSE)</f>
        <v>#N/A</v>
      </c>
      <c r="E196" s="1" t="e">
        <f>VLOOKUP(A1,Data!$A$1:$DZU$999999,3321,FALSE)</f>
        <v>#N/A</v>
      </c>
      <c r="F196" s="1" t="e">
        <f>VLOOKUP(A1,Data!$A$1:$DZU$999999,3322,FALSE)</f>
        <v>#N/A</v>
      </c>
      <c r="G196" s="1" t="e">
        <f>VLOOKUP(A1,Data!$A$1:$DZU$999999,3323,FALSE)</f>
        <v>#N/A</v>
      </c>
      <c r="H196" s="1" t="e">
        <f>VLOOKUP(A1,Data!$A$1:$DZU$999999,3324,FALSE)</f>
        <v>#N/A</v>
      </c>
      <c r="I196" s="1" t="e">
        <f>VLOOKUP(A1,Data!$A$1:$DZU$999999,3325,FALSE)</f>
        <v>#N/A</v>
      </c>
      <c r="J196" s="1" t="e">
        <f>VLOOKUP(A1,Data!$A$1:$DZU$999999,3326,FALSE)</f>
        <v>#N/A</v>
      </c>
      <c r="K196" s="1" t="e">
        <f>VLOOKUP(A1,Data!$A$1:$DZU$999999,3327,FALSE)</f>
        <v>#N/A</v>
      </c>
      <c r="L196" s="1" t="e">
        <f>VLOOKUP(A1,Data!$A$1:$DZU$999999,3328,FALSE)</f>
        <v>#N/A</v>
      </c>
      <c r="M196" s="1" t="e">
        <f>VLOOKUP(A1,Data!$A$1:$DZU$999999,3329,FALSE)</f>
        <v>#N/A</v>
      </c>
      <c r="N196" s="1" t="e">
        <f>VLOOKUP(A1,Data!$A$1:$DZU$999999,3330,FALSE)</f>
        <v>#N/A</v>
      </c>
      <c r="O196" s="1" t="e">
        <f>VLOOKUP(A1,Data!$A$1:$DZU$999999,3331,FALSE)</f>
        <v>#N/A</v>
      </c>
      <c r="P196" s="1" t="e">
        <f>VLOOKUP(A1,Data!$A$1:$DZU$999999,3332,FALSE)</f>
        <v>#N/A</v>
      </c>
      <c r="Q196" s="1" t="e">
        <f>VLOOKUP(A1,Data!$A$1:$DZU$999999,3333,FALSE)</f>
        <v>#N/A</v>
      </c>
    </row>
    <row r="197" spans="1:17" x14ac:dyDescent="0.35">
      <c r="A197" s="1" t="e">
        <f>VLOOKUP(A1,Data!$A$1:$DZU$999999,3334,FALSE)</f>
        <v>#N/A</v>
      </c>
      <c r="B197" s="1" t="e">
        <f>VLOOKUP(A1,Data!$A$1:$DZU$999999,3335,FALSE)</f>
        <v>#N/A</v>
      </c>
      <c r="C197" s="1" t="e">
        <f>VLOOKUP(A1,Data!$A$1:$DZU$999999,3336,FALSE)</f>
        <v>#N/A</v>
      </c>
      <c r="D197" s="1" t="e">
        <f>VLOOKUP(A1,Data!$A$1:$DZU$999999,3337,FALSE)</f>
        <v>#N/A</v>
      </c>
      <c r="E197" s="1" t="e">
        <f>VLOOKUP(A1,Data!$A$1:$DZU$999999,3338,FALSE)</f>
        <v>#N/A</v>
      </c>
      <c r="F197" s="1" t="e">
        <f>VLOOKUP(A1,Data!$A$1:$DZU$999999,3339,FALSE)</f>
        <v>#N/A</v>
      </c>
      <c r="G197" s="1" t="e">
        <f>VLOOKUP(A1,Data!$A$1:$DZU$999999,3340,FALSE)</f>
        <v>#N/A</v>
      </c>
      <c r="H197" s="1" t="e">
        <f>VLOOKUP(A1,Data!$A$1:$DZU$999999,3341,FALSE)</f>
        <v>#N/A</v>
      </c>
      <c r="I197" s="1" t="e">
        <f>VLOOKUP(A1,Data!$A$1:$DZU$999999,3342,FALSE)</f>
        <v>#N/A</v>
      </c>
      <c r="J197" s="1" t="e">
        <f>VLOOKUP(A1,Data!$A$1:$DZU$999999,3343,FALSE)</f>
        <v>#N/A</v>
      </c>
      <c r="K197" s="1" t="e">
        <f>VLOOKUP(A1,Data!$A$1:$DZU$999999,3344,FALSE)</f>
        <v>#N/A</v>
      </c>
      <c r="L197" s="1" t="e">
        <f>VLOOKUP(A1,Data!$A$1:$DZU$999999,3345,FALSE)</f>
        <v>#N/A</v>
      </c>
      <c r="M197" s="1" t="e">
        <f>VLOOKUP(A1,Data!$A$1:$DZU$999999,3346,FALSE)</f>
        <v>#N/A</v>
      </c>
      <c r="N197" s="1" t="e">
        <f>VLOOKUP(A1,Data!$A$1:$DZU$999999,3347,FALSE)</f>
        <v>#N/A</v>
      </c>
      <c r="O197" s="1" t="e">
        <f>VLOOKUP(A1,Data!$A$1:$DZU$999999,3348,FALSE)</f>
        <v>#N/A</v>
      </c>
      <c r="P197" s="1" t="e">
        <f>VLOOKUP(A1,Data!$A$1:$DZU$999999,3349,FALSE)</f>
        <v>#N/A</v>
      </c>
      <c r="Q197" s="1" t="e">
        <f>VLOOKUP(A1,Data!$A$1:$DZU$999999,3350,FALSE)</f>
        <v>#N/A</v>
      </c>
    </row>
    <row r="198" spans="1:17" x14ac:dyDescent="0.35">
      <c r="A198" s="1" t="e">
        <f>VLOOKUP(A1,Data!$A$1:$DZU$999999,3351,FALSE)</f>
        <v>#N/A</v>
      </c>
      <c r="B198" s="1" t="e">
        <f>VLOOKUP(A1,Data!$A$1:$DZU$999999,3352,FALSE)</f>
        <v>#N/A</v>
      </c>
      <c r="C198" s="1" t="e">
        <f>VLOOKUP(A1,Data!$A$1:$DZU$999999,3353,FALSE)</f>
        <v>#N/A</v>
      </c>
      <c r="D198" s="1" t="e">
        <f>VLOOKUP(A1,Data!$A$1:$DZU$999999,3354,FALSE)</f>
        <v>#N/A</v>
      </c>
      <c r="E198" s="1" t="e">
        <f>VLOOKUP(A1,Data!$A$1:$DZU$999999,3355,FALSE)</f>
        <v>#N/A</v>
      </c>
      <c r="F198" s="1" t="e">
        <f>VLOOKUP(A1,Data!$A$1:$DZU$999999,3356,FALSE)</f>
        <v>#N/A</v>
      </c>
      <c r="G198" s="1" t="e">
        <f>VLOOKUP(A1,Data!$A$1:$DZU$999999,3357,FALSE)</f>
        <v>#N/A</v>
      </c>
      <c r="H198" s="1" t="e">
        <f>VLOOKUP(A1,Data!$A$1:$DZU$999999,3358,FALSE)</f>
        <v>#N/A</v>
      </c>
      <c r="I198" s="1" t="e">
        <f>VLOOKUP(A1,Data!$A$1:$DZU$999999,3359,FALSE)</f>
        <v>#N/A</v>
      </c>
      <c r="J198" s="1" t="e">
        <f>VLOOKUP(A1,Data!$A$1:$DZU$999999,3360,FALSE)</f>
        <v>#N/A</v>
      </c>
      <c r="K198" s="1" t="e">
        <f>VLOOKUP(A1,Data!$A$1:$DZU$999999,3361,FALSE)</f>
        <v>#N/A</v>
      </c>
      <c r="L198" s="1" t="e">
        <f>VLOOKUP(A1,Data!$A$1:$DZU$999999,3362,FALSE)</f>
        <v>#N/A</v>
      </c>
      <c r="M198" s="1" t="e">
        <f>VLOOKUP(A1,Data!$A$1:$DZU$999999,3363,FALSE)</f>
        <v>#N/A</v>
      </c>
      <c r="N198" s="1" t="e">
        <f>VLOOKUP(A1,Data!$A$1:$DZU$999999,3364,FALSE)</f>
        <v>#N/A</v>
      </c>
      <c r="O198" s="1" t="e">
        <f>VLOOKUP(A1,Data!$A$1:$DZU$999999,3365,FALSE)</f>
        <v>#N/A</v>
      </c>
      <c r="P198" s="1" t="e">
        <f>VLOOKUP(A1,Data!$A$1:$DZU$999999,3366,FALSE)</f>
        <v>#N/A</v>
      </c>
      <c r="Q198" s="1" t="e">
        <f>VLOOKUP(A1,Data!$A$1:$DZU$999999,3367,FALSE)</f>
        <v>#N/A</v>
      </c>
    </row>
    <row r="199" spans="1:17" x14ac:dyDescent="0.35">
      <c r="A199" s="1" t="e">
        <f>VLOOKUP(A1,Data!$A$1:$DZU$999999,3368,FALSE)</f>
        <v>#N/A</v>
      </c>
      <c r="B199" s="1" t="e">
        <f>VLOOKUP(A1,Data!$A$1:$DZU$999999,3369,FALSE)</f>
        <v>#N/A</v>
      </c>
      <c r="C199" s="1" t="e">
        <f>VLOOKUP(A1,Data!$A$1:$DZU$999999,3370,FALSE)</f>
        <v>#N/A</v>
      </c>
      <c r="D199" s="1" t="e">
        <f>VLOOKUP(A1,Data!$A$1:$DZU$999999,3371,FALSE)</f>
        <v>#N/A</v>
      </c>
      <c r="E199" s="1" t="e">
        <f>VLOOKUP(A1,Data!$A$1:$DZU$999999,3372,FALSE)</f>
        <v>#N/A</v>
      </c>
      <c r="F199" s="1" t="e">
        <f>VLOOKUP(A1,Data!$A$1:$DZU$999999,3373,FALSE)</f>
        <v>#N/A</v>
      </c>
      <c r="G199" s="1" t="e">
        <f>VLOOKUP(A1,Data!$A$1:$DZU$999999,3374,FALSE)</f>
        <v>#N/A</v>
      </c>
      <c r="H199" s="1" t="e">
        <f>VLOOKUP(A1,Data!$A$1:$DZU$999999,3375,FALSE)</f>
        <v>#N/A</v>
      </c>
      <c r="I199" s="1" t="e">
        <f>VLOOKUP(A1,Data!$A$1:$DZU$999999,3376,FALSE)</f>
        <v>#N/A</v>
      </c>
      <c r="J199" s="1" t="e">
        <f>VLOOKUP(A1,Data!$A$1:$DZU$999999,3377,FALSE)</f>
        <v>#N/A</v>
      </c>
      <c r="K199" s="1" t="e">
        <f>VLOOKUP(A1,Data!$A$1:$DZU$999999,3378,FALSE)</f>
        <v>#N/A</v>
      </c>
      <c r="L199" s="1" t="e">
        <f>VLOOKUP(A1,Data!$A$1:$DZU$999999,3379,FALSE)</f>
        <v>#N/A</v>
      </c>
      <c r="M199" s="1" t="e">
        <f>VLOOKUP(A1,Data!$A$1:$DZU$999999,3380,FALSE)</f>
        <v>#N/A</v>
      </c>
      <c r="N199" s="1" t="e">
        <f>VLOOKUP(A1,Data!$A$1:$DZU$999999,3381,FALSE)</f>
        <v>#N/A</v>
      </c>
      <c r="O199" s="1" t="e">
        <f>VLOOKUP(A1,Data!$A$1:$DZU$999999,3382,FALSE)</f>
        <v>#N/A</v>
      </c>
      <c r="P199" s="1" t="e">
        <f>VLOOKUP(A1,Data!$A$1:$DZU$999999,3383,FALSE)</f>
        <v>#N/A</v>
      </c>
      <c r="Q199" s="1" t="e">
        <f>VLOOKUP(A1,Data!$A$1:$DZU$999999,3384,FALSE)</f>
        <v>#N/A</v>
      </c>
    </row>
    <row r="200" spans="1:17" x14ac:dyDescent="0.35">
      <c r="A200" s="1" t="e">
        <f>VLOOKUP(A1,Data!$A$1:$DZU$999999,3385,FALSE)</f>
        <v>#N/A</v>
      </c>
      <c r="B200" s="1" t="e">
        <f>VLOOKUP(A1,Data!$A$1:$DZU$999999,3386,FALSE)</f>
        <v>#N/A</v>
      </c>
      <c r="C200" s="1" t="e">
        <f>VLOOKUP(A1,Data!$A$1:$DZU$999999,3387,FALSE)</f>
        <v>#N/A</v>
      </c>
      <c r="D200" s="1" t="e">
        <f>VLOOKUP(A1,Data!$A$1:$DZU$999999,3388,FALSE)</f>
        <v>#N/A</v>
      </c>
      <c r="E200" s="1" t="e">
        <f>VLOOKUP(A1,Data!$A$1:$DZU$999999,3389,FALSE)</f>
        <v>#N/A</v>
      </c>
      <c r="F200" s="1" t="e">
        <f>VLOOKUP(A1,Data!$A$1:$DZU$999999,3390,FALSE)</f>
        <v>#N/A</v>
      </c>
      <c r="G200" s="1" t="e">
        <f>VLOOKUP(A1,Data!$A$1:$DZU$999999,3391,FALSE)</f>
        <v>#N/A</v>
      </c>
      <c r="H200" s="1" t="e">
        <f>VLOOKUP(A1,Data!$A$1:$DZU$999999,3392,FALSE)</f>
        <v>#N/A</v>
      </c>
      <c r="I200" s="1" t="e">
        <f>VLOOKUP(A1,Data!$A$1:$DZU$999999,3393,FALSE)</f>
        <v>#N/A</v>
      </c>
      <c r="J200" s="1" t="e">
        <f>VLOOKUP(A1,Data!$A$1:$DZU$999999,3394,FALSE)</f>
        <v>#N/A</v>
      </c>
      <c r="K200" s="1" t="e">
        <f>VLOOKUP(A1,Data!$A$1:$DZU$999999,3395,FALSE)</f>
        <v>#N/A</v>
      </c>
      <c r="L200" s="1" t="e">
        <f>VLOOKUP(A1,Data!$A$1:$DZU$999999,3396,FALSE)</f>
        <v>#N/A</v>
      </c>
      <c r="M200" s="1" t="e">
        <f>VLOOKUP(A1,Data!$A$1:$DZU$999999,3397,FALSE)</f>
        <v>#N/A</v>
      </c>
      <c r="N200" s="1" t="e">
        <f>VLOOKUP(A1,Data!$A$1:$DZU$999999,3398,FALSE)</f>
        <v>#N/A</v>
      </c>
      <c r="O200" s="1" t="e">
        <f>VLOOKUP(A1,Data!$A$1:$DZU$999999,3399,FALSE)</f>
        <v>#N/A</v>
      </c>
      <c r="P200" s="1" t="e">
        <f>VLOOKUP(A1,Data!$A$1:$DZU$999999,3400,FALSE)</f>
        <v>#N/A</v>
      </c>
      <c r="Q200" s="1" t="e">
        <f>VLOOKUP(A1,Data!$A$1:$DZU$999999,3401,FALSE)</f>
        <v>#N/A</v>
      </c>
    </row>
  </sheetData>
  <mergeCells count="55">
    <mergeCell ref="B1:L1"/>
    <mergeCell ref="B2:L2"/>
    <mergeCell ref="A3:J3"/>
    <mergeCell ref="A6:C6"/>
    <mergeCell ref="F6:H6"/>
    <mergeCell ref="B8:D8"/>
    <mergeCell ref="G8:I8"/>
    <mergeCell ref="B4:D4"/>
    <mergeCell ref="F4:H4"/>
    <mergeCell ref="B9:D9"/>
    <mergeCell ref="G9:I9"/>
    <mergeCell ref="B15:C15"/>
    <mergeCell ref="B16:C16"/>
    <mergeCell ref="G16:I16"/>
    <mergeCell ref="B10:D10"/>
    <mergeCell ref="G10:I10"/>
    <mergeCell ref="B12:D12"/>
    <mergeCell ref="G17:I17"/>
    <mergeCell ref="B23:G23"/>
    <mergeCell ref="A25:C25"/>
    <mergeCell ref="A27:G27"/>
    <mergeCell ref="A28:G28"/>
    <mergeCell ref="B17:D17"/>
    <mergeCell ref="B18:D18"/>
    <mergeCell ref="G18:I18"/>
    <mergeCell ref="A20:B20"/>
    <mergeCell ref="F20:G20"/>
    <mergeCell ref="A21:J21"/>
    <mergeCell ref="A22:G22"/>
    <mergeCell ref="A24:G24"/>
    <mergeCell ref="A26:G26"/>
    <mergeCell ref="A29:G29"/>
    <mergeCell ref="A30:G30"/>
    <mergeCell ref="A31:G31"/>
    <mergeCell ref="A32:G32"/>
    <mergeCell ref="A33:G33"/>
    <mergeCell ref="A34:G34"/>
    <mergeCell ref="A41:J41"/>
    <mergeCell ref="I42:J42"/>
    <mergeCell ref="A43:D43"/>
    <mergeCell ref="E43:J43"/>
    <mergeCell ref="A37:B37"/>
    <mergeCell ref="A52:J53"/>
    <mergeCell ref="A44:J44"/>
    <mergeCell ref="A45:J45"/>
    <mergeCell ref="H47:I47"/>
    <mergeCell ref="B48:E48"/>
    <mergeCell ref="H49:I49"/>
    <mergeCell ref="A47:B47"/>
    <mergeCell ref="F48:G49"/>
    <mergeCell ref="H48:I48"/>
    <mergeCell ref="A49:B49"/>
    <mergeCell ref="A50:B50"/>
    <mergeCell ref="H50:I50"/>
    <mergeCell ref="A51:B51"/>
  </mergeCells>
  <dataValidations count="3">
    <dataValidation allowBlank="1" showInputMessage="1" showErrorMessage="1" prompt="Select this cell and paste the URL of your attachment in the formula bar. File must be stored on One Drive or other web server and shareable." sqref="G42" xr:uid="{B63F09C6-F7F5-441F-B09E-39A426A0CE44}"/>
    <dataValidation allowBlank="1" showInputMessage="1" showErrorMessage="1" prompt="Enter a new purchase order number." sqref="D6" xr:uid="{11D9E15B-D898-4910-933F-32C10278683B}"/>
    <dataValidation allowBlank="1" showInputMessage="1" showErrorMessage="1" prompt="Enter a Phase Number" sqref="I6" xr:uid="{BAB7EBD9-F780-4939-8270-CF40FA2FB10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C48AC3-B75A-49D7-AA4D-4D1D2FEF1367}">
          <x14:formula1>
            <xm:f>Contacts!$F$2:$F$2000</xm:f>
          </x14:formula1>
          <xm:sqref>B8:D8 G16:I16 G8:I8</xm:sqref>
        </x14:dataValidation>
        <x14:dataValidation type="list" allowBlank="1" showInputMessage="1" showErrorMessage="1" xr:uid="{029990D0-B85D-47FD-A398-3A1CF442C6C4}">
          <x14:formula1>
            <xm:f>Data!$A:$A</xm:f>
          </x14:formula1>
          <xm:sqref>B2:L2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50D5-B86C-4F99-9799-7E25534754D5}">
  <dimension ref="A1:O10"/>
  <sheetViews>
    <sheetView workbookViewId="0">
      <selection activeCell="A10" sqref="A10"/>
    </sheetView>
  </sheetViews>
  <sheetFormatPr defaultRowHeight="14.5" x14ac:dyDescent="0.35"/>
  <cols>
    <col min="1" max="1" width="18.7265625" style="1" customWidth="1"/>
    <col min="2" max="2" width="34.7265625" style="1" customWidth="1"/>
    <col min="3" max="6" width="18.7265625" style="1" customWidth="1"/>
    <col min="7" max="16384" width="8.7265625" style="1"/>
  </cols>
  <sheetData>
    <row r="1" spans="1:15" ht="23" x14ac:dyDescent="0.5">
      <c r="A1" s="172" t="s">
        <v>54</v>
      </c>
      <c r="B1" s="173"/>
      <c r="C1" s="174"/>
      <c r="D1" s="174"/>
      <c r="E1" s="174"/>
      <c r="F1" s="174"/>
    </row>
    <row r="2" spans="1:15" ht="16" x14ac:dyDescent="0.4">
      <c r="A2" s="75"/>
      <c r="B2" s="76"/>
      <c r="C2" s="36"/>
      <c r="D2" s="77"/>
      <c r="E2" s="78"/>
      <c r="F2" s="79"/>
    </row>
    <row r="3" spans="1:15" ht="18.5" thickBot="1" x14ac:dyDescent="0.45">
      <c r="A3" s="33" t="s">
        <v>55</v>
      </c>
      <c r="B3" s="175" t="s">
        <v>11</v>
      </c>
      <c r="C3" s="176"/>
      <c r="D3" s="177" t="s">
        <v>19</v>
      </c>
      <c r="E3" s="108"/>
      <c r="F3" s="108"/>
    </row>
    <row r="4" spans="1:15" x14ac:dyDescent="0.35">
      <c r="A4" s="37"/>
      <c r="B4" s="76"/>
      <c r="C4" s="36"/>
      <c r="D4" s="77"/>
      <c r="E4" s="78"/>
      <c r="F4" s="79"/>
    </row>
    <row r="5" spans="1:15" ht="15" thickBot="1" x14ac:dyDescent="0.4">
      <c r="A5" s="33" t="s">
        <v>56</v>
      </c>
      <c r="B5" s="80">
        <f ca="1">TODAY()</f>
        <v>45621</v>
      </c>
      <c r="C5" s="36"/>
      <c r="D5" s="77"/>
      <c r="E5" s="78"/>
      <c r="F5" s="79"/>
    </row>
    <row r="6" spans="1:15" x14ac:dyDescent="0.35">
      <c r="A6" s="37"/>
      <c r="B6" s="76"/>
      <c r="C6" s="36"/>
      <c r="D6" s="77"/>
      <c r="E6" s="78"/>
      <c r="F6" s="79"/>
    </row>
    <row r="7" spans="1:15" x14ac:dyDescent="0.35">
      <c r="D7" s="2"/>
    </row>
    <row r="9" spans="1:15" x14ac:dyDescent="0.35">
      <c r="A9" s="1" t="s">
        <v>6</v>
      </c>
      <c r="B9" s="1" t="s">
        <v>8</v>
      </c>
      <c r="C9" s="1" t="s">
        <v>23</v>
      </c>
      <c r="D9" s="1" t="s">
        <v>39</v>
      </c>
      <c r="E9" s="1" t="s">
        <v>52</v>
      </c>
      <c r="F9" s="1" t="s">
        <v>43</v>
      </c>
      <c r="G9" s="1" t="s">
        <v>42</v>
      </c>
      <c r="H9" s="1" t="s">
        <v>0</v>
      </c>
      <c r="I9" s="1" t="s">
        <v>1</v>
      </c>
      <c r="J9" s="1" t="s">
        <v>2</v>
      </c>
      <c r="K9" s="1" t="s">
        <v>3</v>
      </c>
      <c r="L9" s="1" t="s">
        <v>4</v>
      </c>
      <c r="M9" s="1" t="s">
        <v>50</v>
      </c>
      <c r="N9" s="1" t="s">
        <v>46</v>
      </c>
      <c r="O9" s="1" t="s">
        <v>5</v>
      </c>
    </row>
    <row r="10" spans="1:15" x14ac:dyDescent="0.35">
      <c r="A10" s="1">
        <f>Data!S2</f>
        <v>0</v>
      </c>
      <c r="B10" s="1">
        <f>Data!T2</f>
        <v>0</v>
      </c>
      <c r="C10" s="1">
        <f>Data!U2</f>
        <v>0</v>
      </c>
      <c r="D10" s="1">
        <f>Data!V2</f>
        <v>0</v>
      </c>
      <c r="E10" s="1">
        <f>Data!W2</f>
        <v>0</v>
      </c>
      <c r="F10" s="1">
        <f>Data!X2</f>
        <v>0</v>
      </c>
      <c r="G10" s="1">
        <f>Data!Y2</f>
        <v>0</v>
      </c>
      <c r="H10" s="1">
        <f>Data!Z2</f>
        <v>0</v>
      </c>
      <c r="I10" s="1">
        <f>Data!AA2</f>
        <v>0</v>
      </c>
      <c r="J10" s="1">
        <f>Data!AB2</f>
        <v>0</v>
      </c>
      <c r="K10" s="1">
        <f>Data!AC2</f>
        <v>0</v>
      </c>
      <c r="L10" s="1">
        <f>Data!AD2</f>
        <v>0</v>
      </c>
      <c r="M10" s="1">
        <f>Data!AE2</f>
        <v>0</v>
      </c>
      <c r="N10" s="1">
        <f>Data!AF2</f>
        <v>0</v>
      </c>
      <c r="O10" s="1">
        <f>Data!AG2</f>
        <v>0</v>
      </c>
    </row>
  </sheetData>
  <mergeCells count="3">
    <mergeCell ref="A1:F1"/>
    <mergeCell ref="B3:C3"/>
    <mergeCell ref="D3:F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363F-7F9A-4DC7-9651-33590ED59BC9}">
  <dimension ref="A1:P1"/>
  <sheetViews>
    <sheetView workbookViewId="0">
      <selection activeCell="A2" sqref="A2:XFD2"/>
    </sheetView>
  </sheetViews>
  <sheetFormatPr defaultRowHeight="14.5" x14ac:dyDescent="0.35"/>
  <cols>
    <col min="1" max="1" width="8.7265625" style="6"/>
    <col min="2" max="4" width="8.7265625" style="1"/>
    <col min="5" max="16" width="8.7265625" style="6"/>
    <col min="17" max="16384" width="8.7265625" style="1"/>
  </cols>
  <sheetData>
    <row r="1" spans="1:16" x14ac:dyDescent="0.35">
      <c r="A1" s="5"/>
      <c r="B1" s="4" t="str">
        <f>View_Print!M1</f>
        <v>Date Signed:</v>
      </c>
      <c r="C1" s="4" t="str">
        <f>View_Print!N1</f>
        <v>Acknowledged By:</v>
      </c>
      <c r="D1" s="4" t="str">
        <f>View_Print!O1</f>
        <v>Update 3</v>
      </c>
      <c r="E1" s="5" t="str">
        <f>Input!A1</f>
        <v>PURCHASE ORDER NUMBER:</v>
      </c>
      <c r="F1" s="5" t="str">
        <f>Input!B1</f>
        <v>To:</v>
      </c>
      <c r="G1" s="5" t="str">
        <f>Input!C1</f>
        <v>Delivery Required By:</v>
      </c>
      <c r="H1" s="5" t="str">
        <f>Input!D1</f>
        <v>GRAND TOTAL:</v>
      </c>
      <c r="I1" s="5" t="str">
        <f>Input!E1</f>
        <v>Date of Order:</v>
      </c>
      <c r="J1" s="5" t="str">
        <f>Input!F1</f>
        <v>Cost Code:</v>
      </c>
      <c r="K1" s="5" t="str">
        <f>Input!G1</f>
        <v>Attachments:</v>
      </c>
      <c r="L1" s="5" t="str">
        <f>Input!H1</f>
        <v>Log 8</v>
      </c>
      <c r="M1" s="5" t="str">
        <f>Input!I1</f>
        <v>Log 9</v>
      </c>
      <c r="N1" s="5" t="str">
        <f>Input!J1</f>
        <v>Log 10</v>
      </c>
      <c r="O1" s="5" t="str">
        <f>Input!K1</f>
        <v>Log 11</v>
      </c>
      <c r="P1" s="5" t="str">
        <f>Input!L1</f>
        <v>Log 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8C27-F313-483C-A804-87ACE526B0AA}">
  <dimension ref="S1:AG1"/>
  <sheetViews>
    <sheetView workbookViewId="0">
      <selection activeCell="A2" sqref="A2:XFD2"/>
    </sheetView>
  </sheetViews>
  <sheetFormatPr defaultRowHeight="14.5" x14ac:dyDescent="0.35"/>
  <cols>
    <col min="1" max="16384" width="8.7265625" style="1"/>
  </cols>
  <sheetData>
    <row r="1" spans="19:33" x14ac:dyDescent="0.35">
      <c r="S1" s="1" t="str">
        <f>Input!A1</f>
        <v>PURCHASE ORDER NUMBER:</v>
      </c>
      <c r="T1" s="1" t="str">
        <f>Input!B1</f>
        <v>To:</v>
      </c>
      <c r="U1" s="1" t="str">
        <f>Input!C1</f>
        <v>Delivery Required By:</v>
      </c>
      <c r="V1" s="1" t="str">
        <f>Input!D1</f>
        <v>GRAND TOTAL:</v>
      </c>
      <c r="W1" s="1" t="str">
        <f>Input!E1</f>
        <v>Date of Order:</v>
      </c>
      <c r="X1" s="1" t="str">
        <f>Input!F1</f>
        <v>Cost Code:</v>
      </c>
      <c r="Y1" s="1" t="str">
        <f>Input!G1</f>
        <v>Attachments:</v>
      </c>
      <c r="Z1" s="1" t="str">
        <f>Input!H1</f>
        <v>Log 8</v>
      </c>
      <c r="AA1" s="1" t="str">
        <f>Input!I1</f>
        <v>Log 9</v>
      </c>
      <c r="AB1" s="1" t="str">
        <f>Input!J1</f>
        <v>Log 10</v>
      </c>
      <c r="AC1" s="1" t="str">
        <f>Input!K1</f>
        <v>Log 11</v>
      </c>
      <c r="AD1" s="1" t="str">
        <f>Input!L1</f>
        <v>Log 12</v>
      </c>
      <c r="AE1" s="1" t="str">
        <f>Input!M1</f>
        <v>Date Signed:</v>
      </c>
      <c r="AF1" s="1" t="str">
        <f>Input!N1</f>
        <v>Acknowledged By:</v>
      </c>
      <c r="AG1" s="1" t="str">
        <f>Input!O1</f>
        <v>Update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Contacts</vt:lpstr>
      <vt:lpstr>Input (2)</vt:lpstr>
      <vt:lpstr>Input</vt:lpstr>
      <vt:lpstr>View_Print</vt:lpstr>
      <vt:lpstr>Log</vt:lpstr>
      <vt:lpstr>Update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2024-11-23T00:17:56Z</dcterms:created>
  <dcterms:modified xsi:type="dcterms:W3CDTF">2024-11-25T13:59:40Z</dcterms:modified>
</cp:coreProperties>
</file>