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ffed9c0cf3f584e6/Documents/DataMate/"/>
    </mc:Choice>
  </mc:AlternateContent>
  <xr:revisionPtr revIDLastSave="0" documentId="8_{54A92E69-9E51-4DD2-902B-AA45FC8C9DDD}" xr6:coauthVersionLast="47" xr6:coauthVersionMax="47" xr10:uidLastSave="{00000000-0000-0000-0000-000000000000}"/>
  <bookViews>
    <workbookView xWindow="-110" yWindow="-110" windowWidth="27580" windowHeight="17740" activeTab="1" xr2:uid="{00000000-000D-0000-FFFF-FFFF00000000}"/>
  </bookViews>
  <sheets>
    <sheet name="Inventory" sheetId="1" r:id="rId1"/>
    <sheet name="Sheet1" sheetId="2" r:id="rId2"/>
    <sheet name="Input" sheetId="3" r:id="rId3"/>
    <sheet name="View_Print" sheetId="4" r:id="rId4"/>
    <sheet name="Log" sheetId="5" r:id="rId5"/>
    <sheet name="Receipt" sheetId="6" r:id="rId6"/>
    <sheet name="Packing Slip" sheetId="7" r:id="rId7"/>
    <sheet name="Update" sheetId="8" r:id="rId8"/>
    <sheet name="contacts" sheetId="9" r:id="rId9"/>
    <sheet name="Address" sheetId="10" r:id="rId10"/>
    <sheet name="NewContact" sheetId="11" r:id="rId11"/>
    <sheet name="Data" sheetId="12" r:id="rId12"/>
  </sheets>
  <definedNames>
    <definedName name="_xlnm._FilterDatabase" localSheetId="8" hidden="1">contacts!$A$1:$CL$2000</definedName>
    <definedName name="_xlnm._FilterDatabase" localSheetId="4" hidden="1">Log!$A$9:$O$10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" i="12" l="1"/>
  <c r="AC1" i="12"/>
  <c r="AB1" i="12"/>
  <c r="AA1" i="12"/>
  <c r="Z1" i="12"/>
  <c r="Y1" i="12"/>
  <c r="X1" i="12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F3" i="11"/>
  <c r="A3" i="11"/>
  <c r="A2" i="11"/>
  <c r="A1" i="11"/>
  <c r="E14" i="10"/>
  <c r="A14" i="10"/>
  <c r="E13" i="10"/>
  <c r="A13" i="10"/>
  <c r="E12" i="10"/>
  <c r="A12" i="10"/>
  <c r="E11" i="10"/>
  <c r="A11" i="10"/>
  <c r="E10" i="10"/>
  <c r="A10" i="10"/>
  <c r="E9" i="10"/>
  <c r="A9" i="10"/>
  <c r="E8" i="10"/>
  <c r="A8" i="10"/>
  <c r="E7" i="10"/>
  <c r="A7" i="10"/>
  <c r="E6" i="10"/>
  <c r="A6" i="10"/>
  <c r="E5" i="10"/>
  <c r="A5" i="10"/>
  <c r="E4" i="10"/>
  <c r="A4" i="10"/>
  <c r="E3" i="10"/>
  <c r="A3" i="10"/>
  <c r="E2" i="10"/>
  <c r="A2" i="10"/>
  <c r="A1" i="9"/>
  <c r="B4" i="10" s="1"/>
  <c r="P1" i="8"/>
  <c r="O1" i="8"/>
  <c r="N1" i="8"/>
  <c r="M1" i="8"/>
  <c r="L1" i="8"/>
  <c r="K1" i="8"/>
  <c r="J1" i="8"/>
  <c r="I1" i="8"/>
  <c r="B20" i="6"/>
  <c r="B3" i="5"/>
  <c r="P48" i="4"/>
  <c r="K48" i="4"/>
  <c r="J48" i="4"/>
  <c r="C48" i="4"/>
  <c r="P47" i="4"/>
  <c r="N47" i="4"/>
  <c r="H47" i="4"/>
  <c r="C47" i="4"/>
  <c r="A47" i="4"/>
  <c r="L46" i="4"/>
  <c r="G46" i="4"/>
  <c r="E46" i="4"/>
  <c r="P45" i="4"/>
  <c r="K45" i="4"/>
  <c r="J45" i="4"/>
  <c r="C45" i="4"/>
  <c r="O44" i="4"/>
  <c r="N44" i="4"/>
  <c r="G44" i="4"/>
  <c r="C44" i="4"/>
  <c r="A44" i="4"/>
  <c r="L43" i="4"/>
  <c r="G43" i="4"/>
  <c r="E43" i="4"/>
  <c r="P42" i="4"/>
  <c r="K42" i="4"/>
  <c r="I42" i="4"/>
  <c r="C42" i="4"/>
  <c r="O41" i="4"/>
  <c r="N41" i="4"/>
  <c r="G41" i="4"/>
  <c r="B41" i="4"/>
  <c r="A41" i="4"/>
  <c r="K40" i="4"/>
  <c r="G40" i="4"/>
  <c r="E40" i="4"/>
  <c r="P39" i="4"/>
  <c r="K39" i="4"/>
  <c r="I39" i="4"/>
  <c r="C39" i="4"/>
  <c r="O38" i="4"/>
  <c r="M38" i="4"/>
  <c r="G38" i="4"/>
  <c r="B38" i="4"/>
  <c r="A38" i="4"/>
  <c r="K37" i="4"/>
  <c r="F37" i="4"/>
  <c r="A37" i="4"/>
  <c r="K36" i="4"/>
  <c r="G36" i="4"/>
  <c r="A36" i="4"/>
  <c r="L35" i="4"/>
  <c r="G35" i="4"/>
  <c r="E35" i="4"/>
  <c r="P34" i="4"/>
  <c r="K34" i="4"/>
  <c r="I34" i="4"/>
  <c r="C34" i="4"/>
  <c r="O33" i="4"/>
  <c r="N33" i="4"/>
  <c r="G33" i="4"/>
  <c r="B33" i="4"/>
  <c r="A33" i="4"/>
  <c r="K32" i="4"/>
  <c r="G32" i="4"/>
  <c r="E32" i="4"/>
  <c r="P31" i="4"/>
  <c r="K31" i="4"/>
  <c r="I31" i="4"/>
  <c r="C31" i="4"/>
  <c r="O30" i="4"/>
  <c r="M30" i="4"/>
  <c r="G30" i="4"/>
  <c r="B30" i="4"/>
  <c r="B28" i="7" s="1"/>
  <c r="A30" i="4"/>
  <c r="K29" i="4"/>
  <c r="H29" i="4"/>
  <c r="F29" i="4"/>
  <c r="A29" i="4"/>
  <c r="N28" i="4"/>
  <c r="L28" i="4"/>
  <c r="G28" i="4"/>
  <c r="C28" i="4"/>
  <c r="B28" i="4"/>
  <c r="M27" i="4"/>
  <c r="J27" i="4"/>
  <c r="H27" i="4"/>
  <c r="C27" i="4"/>
  <c r="C25" i="6" s="1"/>
  <c r="P26" i="4"/>
  <c r="N26" i="4"/>
  <c r="I26" i="4"/>
  <c r="E26" i="4"/>
  <c r="D26" i="4"/>
  <c r="O25" i="4"/>
  <c r="L25" i="4"/>
  <c r="J25" i="4"/>
  <c r="E25" i="4"/>
  <c r="A25" i="4"/>
  <c r="P24" i="4"/>
  <c r="K24" i="4"/>
  <c r="G24" i="4"/>
  <c r="F24" i="4"/>
  <c r="Q23" i="4"/>
  <c r="N23" i="4"/>
  <c r="L23" i="4"/>
  <c r="G23" i="4"/>
  <c r="C23" i="4"/>
  <c r="A23" i="4"/>
  <c r="M22" i="4"/>
  <c r="I22" i="4"/>
  <c r="H22" i="4"/>
  <c r="B22" i="4"/>
  <c r="B20" i="7" s="1"/>
  <c r="P21" i="4"/>
  <c r="N21" i="4"/>
  <c r="I21" i="4"/>
  <c r="E21" i="4"/>
  <c r="C21" i="4"/>
  <c r="O20" i="4"/>
  <c r="K20" i="4"/>
  <c r="J20" i="4"/>
  <c r="D20" i="4"/>
  <c r="A20" i="4"/>
  <c r="P19" i="4"/>
  <c r="K19" i="4"/>
  <c r="G19" i="4"/>
  <c r="E19" i="4"/>
  <c r="P18" i="4"/>
  <c r="L18" i="4"/>
  <c r="K18" i="4"/>
  <c r="E18" i="4"/>
  <c r="A18" i="4"/>
  <c r="P17" i="4"/>
  <c r="K17" i="4"/>
  <c r="G17" i="4"/>
  <c r="E17" i="4"/>
  <c r="P16" i="4"/>
  <c r="L16" i="4"/>
  <c r="K16" i="4"/>
  <c r="G16" i="4"/>
  <c r="D16" i="4"/>
  <c r="C16" i="4"/>
  <c r="O15" i="4"/>
  <c r="L15" i="4"/>
  <c r="K15" i="4"/>
  <c r="G15" i="4"/>
  <c r="D15" i="4"/>
  <c r="C15" i="4"/>
  <c r="O14" i="4"/>
  <c r="L14" i="4"/>
  <c r="K14" i="4"/>
  <c r="G14" i="4"/>
  <c r="D14" i="4"/>
  <c r="C14" i="4"/>
  <c r="O13" i="4"/>
  <c r="L13" i="4"/>
  <c r="K13" i="4"/>
  <c r="G13" i="4"/>
  <c r="C13" i="4"/>
  <c r="A13" i="4"/>
  <c r="N12" i="4"/>
  <c r="K12" i="4"/>
  <c r="J12" i="4"/>
  <c r="F12" i="4"/>
  <c r="A12" i="4"/>
  <c r="Q11" i="4"/>
  <c r="M11" i="4"/>
  <c r="J11" i="4"/>
  <c r="I11" i="4"/>
  <c r="E11" i="4"/>
  <c r="B11" i="4"/>
  <c r="A11" i="4"/>
  <c r="N10" i="4"/>
  <c r="K10" i="4"/>
  <c r="J10" i="4"/>
  <c r="F10" i="4"/>
  <c r="P9" i="4"/>
  <c r="O9" i="4"/>
  <c r="K9" i="4"/>
  <c r="H9" i="4"/>
  <c r="G9" i="4"/>
  <c r="P8" i="4"/>
  <c r="M8" i="4"/>
  <c r="L8" i="4"/>
  <c r="H8" i="4"/>
  <c r="E8" i="4"/>
  <c r="D8" i="4"/>
  <c r="P7" i="4"/>
  <c r="M7" i="4"/>
  <c r="L7" i="4"/>
  <c r="H7" i="4"/>
  <c r="E7" i="4"/>
  <c r="D7" i="4"/>
  <c r="P6" i="4"/>
  <c r="M6" i="4"/>
  <c r="L6" i="4"/>
  <c r="H6" i="4"/>
  <c r="E6" i="4"/>
  <c r="D6" i="4"/>
  <c r="P5" i="4"/>
  <c r="M5" i="4"/>
  <c r="L5" i="4"/>
  <c r="H5" i="4"/>
  <c r="E5" i="4"/>
  <c r="D5" i="4"/>
  <c r="P4" i="4"/>
  <c r="M4" i="4"/>
  <c r="L4" i="4"/>
  <c r="H4" i="4"/>
  <c r="E4" i="4"/>
  <c r="D4" i="4"/>
  <c r="P3" i="4"/>
  <c r="M3" i="4"/>
  <c r="L3" i="4"/>
  <c r="I3" i="4"/>
  <c r="H3" i="4"/>
  <c r="A3" i="4"/>
  <c r="O2" i="4"/>
  <c r="D11" i="7" s="1"/>
  <c r="A1" i="4"/>
  <c r="D33" i="3"/>
  <c r="F30" i="3"/>
  <c r="E30" i="3"/>
  <c r="D30" i="3"/>
  <c r="C30" i="3"/>
  <c r="F29" i="3"/>
  <c r="E29" i="3"/>
  <c r="D29" i="3"/>
  <c r="C29" i="3"/>
  <c r="F28" i="3"/>
  <c r="E28" i="3"/>
  <c r="D28" i="3"/>
  <c r="C28" i="3"/>
  <c r="F27" i="3"/>
  <c r="E27" i="3"/>
  <c r="D27" i="3"/>
  <c r="C27" i="3"/>
  <c r="F26" i="3"/>
  <c r="E26" i="3"/>
  <c r="D26" i="3"/>
  <c r="C26" i="3"/>
  <c r="F25" i="3"/>
  <c r="E25" i="3"/>
  <c r="D25" i="3"/>
  <c r="C25" i="3"/>
  <c r="F24" i="3"/>
  <c r="E24" i="3"/>
  <c r="D24" i="3"/>
  <c r="C24" i="3"/>
  <c r="F23" i="3"/>
  <c r="E23" i="3"/>
  <c r="D23" i="3"/>
  <c r="C23" i="3"/>
  <c r="F22" i="3"/>
  <c r="E22" i="3"/>
  <c r="D22" i="3"/>
  <c r="C22" i="3"/>
  <c r="F21" i="3"/>
  <c r="E21" i="3"/>
  <c r="D21" i="3"/>
  <c r="D32" i="3" s="1"/>
  <c r="E2" i="3" s="1"/>
  <c r="C21" i="3"/>
  <c r="F20" i="3"/>
  <c r="A18" i="3"/>
  <c r="A17" i="3"/>
  <c r="A15" i="3"/>
  <c r="A14" i="3"/>
  <c r="D13" i="3"/>
  <c r="B2" i="3" s="1"/>
  <c r="B11" i="3"/>
  <c r="A2" i="3" s="1"/>
  <c r="C2" i="3"/>
  <c r="O1" i="3"/>
  <c r="N1" i="3"/>
  <c r="AF1" i="12" s="1"/>
  <c r="M1" i="3"/>
  <c r="AE1" i="12" s="1"/>
  <c r="E1" i="3"/>
  <c r="W1" i="12" s="1"/>
  <c r="D1" i="3"/>
  <c r="C1" i="3"/>
  <c r="B1" i="3"/>
  <c r="A1" i="3"/>
  <c r="S1" i="12" s="1"/>
  <c r="D33" i="2"/>
  <c r="F30" i="2"/>
  <c r="E30" i="2"/>
  <c r="D30" i="2"/>
  <c r="C30" i="2"/>
  <c r="F29" i="2"/>
  <c r="E29" i="2"/>
  <c r="D29" i="2"/>
  <c r="C29" i="2"/>
  <c r="F28" i="2"/>
  <c r="E28" i="2"/>
  <c r="D28" i="2"/>
  <c r="C28" i="2"/>
  <c r="F27" i="2"/>
  <c r="E27" i="2"/>
  <c r="D27" i="2"/>
  <c r="C27" i="2"/>
  <c r="F26" i="2"/>
  <c r="E26" i="2"/>
  <c r="D26" i="2"/>
  <c r="C26" i="2"/>
  <c r="F25" i="2"/>
  <c r="E25" i="2"/>
  <c r="D25" i="2"/>
  <c r="C25" i="2"/>
  <c r="F24" i="2"/>
  <c r="E24" i="2"/>
  <c r="D24" i="2"/>
  <c r="C24" i="2"/>
  <c r="F23" i="2"/>
  <c r="E23" i="2"/>
  <c r="D23" i="2"/>
  <c r="C23" i="2"/>
  <c r="F22" i="2"/>
  <c r="E22" i="2"/>
  <c r="D22" i="2"/>
  <c r="C22" i="2"/>
  <c r="F21" i="2"/>
  <c r="E21" i="2"/>
  <c r="D21" i="2"/>
  <c r="D32" i="2" s="1"/>
  <c r="D34" i="2" s="1"/>
  <c r="C21" i="2"/>
  <c r="F20" i="2"/>
  <c r="A17" i="2"/>
  <c r="A15" i="2"/>
  <c r="A14" i="2"/>
  <c r="D13" i="2"/>
  <c r="B11" i="2"/>
  <c r="AG1" i="12" l="1"/>
  <c r="O1" i="4"/>
  <c r="D1" i="8" s="1"/>
  <c r="C19" i="6"/>
  <c r="C19" i="7"/>
  <c r="D34" i="3"/>
  <c r="D2" i="3" s="1"/>
  <c r="A21" i="7"/>
  <c r="A21" i="6"/>
  <c r="B26" i="7"/>
  <c r="B26" i="6"/>
  <c r="G1" i="8"/>
  <c r="U1" i="12"/>
  <c r="A16" i="7"/>
  <c r="A16" i="6"/>
  <c r="C21" i="6"/>
  <c r="C21" i="7"/>
  <c r="C26" i="7"/>
  <c r="C26" i="6"/>
  <c r="A28" i="7"/>
  <c r="A28" i="6"/>
  <c r="B28" i="6"/>
  <c r="N1" i="4"/>
  <c r="C1" i="8" s="1"/>
  <c r="B9" i="7"/>
  <c r="B9" i="6"/>
  <c r="A23" i="7"/>
  <c r="A23" i="6"/>
  <c r="A1" i="6"/>
  <c r="A1" i="7"/>
  <c r="A11" i="7"/>
  <c r="A11" i="6"/>
  <c r="L48" i="4"/>
  <c r="D48" i="4"/>
  <c r="M47" i="4"/>
  <c r="E47" i="4"/>
  <c r="N46" i="4"/>
  <c r="F46" i="4"/>
  <c r="O45" i="4"/>
  <c r="G45" i="4"/>
  <c r="P44" i="4"/>
  <c r="H44" i="4"/>
  <c r="Q43" i="4"/>
  <c r="I43" i="4"/>
  <c r="A43" i="4"/>
  <c r="J42" i="4"/>
  <c r="B42" i="4"/>
  <c r="K41" i="4"/>
  <c r="C41" i="4"/>
  <c r="L40" i="4"/>
  <c r="D40" i="4"/>
  <c r="M39" i="4"/>
  <c r="E39" i="4"/>
  <c r="N38" i="4"/>
  <c r="F38" i="4"/>
  <c r="O37" i="4"/>
  <c r="G37" i="4"/>
  <c r="L36" i="4"/>
  <c r="Q35" i="4"/>
  <c r="I35" i="4"/>
  <c r="A35" i="4"/>
  <c r="J34" i="4"/>
  <c r="B34" i="4"/>
  <c r="K33" i="4"/>
  <c r="C33" i="4"/>
  <c r="L32" i="4"/>
  <c r="D32" i="4"/>
  <c r="M31" i="4"/>
  <c r="E31" i="4"/>
  <c r="N30" i="4"/>
  <c r="F30" i="4"/>
  <c r="O29" i="4"/>
  <c r="G29" i="4"/>
  <c r="P28" i="4"/>
  <c r="H28" i="4"/>
  <c r="Q27" i="4"/>
  <c r="I27" i="4"/>
  <c r="A27" i="4"/>
  <c r="J26" i="4"/>
  <c r="B26" i="4"/>
  <c r="K25" i="4"/>
  <c r="C25" i="4"/>
  <c r="L24" i="4"/>
  <c r="D24" i="4"/>
  <c r="M23" i="4"/>
  <c r="E23" i="4"/>
  <c r="N22" i="4"/>
  <c r="F22" i="4"/>
  <c r="O21" i="4"/>
  <c r="G21" i="4"/>
  <c r="P20" i="4"/>
  <c r="H20" i="4"/>
  <c r="Q19" i="4"/>
  <c r="I19" i="4"/>
  <c r="Q18" i="4"/>
  <c r="I18" i="4"/>
  <c r="Q17" i="4"/>
  <c r="I17" i="4"/>
  <c r="Q16" i="4"/>
  <c r="Q48" i="4"/>
  <c r="I48" i="4"/>
  <c r="A48" i="4"/>
  <c r="J47" i="4"/>
  <c r="B47" i="4"/>
  <c r="K46" i="4"/>
  <c r="C46" i="4"/>
  <c r="L45" i="4"/>
  <c r="D45" i="4"/>
  <c r="M44" i="4"/>
  <c r="E44" i="4"/>
  <c r="N43" i="4"/>
  <c r="F43" i="4"/>
  <c r="O42" i="4"/>
  <c r="G42" i="4"/>
  <c r="P41" i="4"/>
  <c r="H41" i="4"/>
  <c r="Q40" i="4"/>
  <c r="I40" i="4"/>
  <c r="A40" i="4"/>
  <c r="J39" i="4"/>
  <c r="B39" i="4"/>
  <c r="K38" i="4"/>
  <c r="C38" i="4"/>
  <c r="L37" i="4"/>
  <c r="Q36" i="4"/>
  <c r="I36" i="4"/>
  <c r="N35" i="4"/>
  <c r="F35" i="4"/>
  <c r="O34" i="4"/>
  <c r="G34" i="4"/>
  <c r="P33" i="4"/>
  <c r="H33" i="4"/>
  <c r="Q32" i="4"/>
  <c r="I32" i="4"/>
  <c r="A32" i="4"/>
  <c r="J31" i="4"/>
  <c r="B31" i="4"/>
  <c r="K30" i="4"/>
  <c r="C30" i="4"/>
  <c r="L29" i="4"/>
  <c r="D29" i="4"/>
  <c r="M28" i="4"/>
  <c r="E28" i="4"/>
  <c r="N27" i="4"/>
  <c r="F27" i="4"/>
  <c r="O26" i="4"/>
  <c r="G26" i="4"/>
  <c r="P25" i="4"/>
  <c r="H25" i="4"/>
  <c r="Q24" i="4"/>
  <c r="I24" i="4"/>
  <c r="A24" i="4"/>
  <c r="J23" i="4"/>
  <c r="B23" i="4"/>
  <c r="K22" i="4"/>
  <c r="C22" i="4"/>
  <c r="L21" i="4"/>
  <c r="D21" i="4"/>
  <c r="M20" i="4"/>
  <c r="E20" i="4"/>
  <c r="N19" i="4"/>
  <c r="F19" i="4"/>
  <c r="N18" i="4"/>
  <c r="F18" i="4"/>
  <c r="N17" i="4"/>
  <c r="F17" i="4"/>
  <c r="N16" i="4"/>
  <c r="N48" i="4"/>
  <c r="F48" i="4"/>
  <c r="O47" i="4"/>
  <c r="G47" i="4"/>
  <c r="P46" i="4"/>
  <c r="H46" i="4"/>
  <c r="Q45" i="4"/>
  <c r="I45" i="4"/>
  <c r="A45" i="4"/>
  <c r="J44" i="4"/>
  <c r="B44" i="4"/>
  <c r="K43" i="4"/>
  <c r="C43" i="4"/>
  <c r="L42" i="4"/>
  <c r="D42" i="4"/>
  <c r="M41" i="4"/>
  <c r="E41" i="4"/>
  <c r="N40" i="4"/>
  <c r="F40" i="4"/>
  <c r="O39" i="4"/>
  <c r="G39" i="4"/>
  <c r="P38" i="4"/>
  <c r="H38" i="4"/>
  <c r="Q37" i="4"/>
  <c r="I37" i="4"/>
  <c r="N36" i="4"/>
  <c r="F36" i="4"/>
  <c r="K35" i="4"/>
  <c r="C35" i="4"/>
  <c r="L34" i="4"/>
  <c r="D34" i="4"/>
  <c r="M33" i="4"/>
  <c r="E33" i="4"/>
  <c r="N32" i="4"/>
  <c r="F32" i="4"/>
  <c r="O31" i="4"/>
  <c r="G31" i="4"/>
  <c r="P30" i="4"/>
  <c r="H30" i="4"/>
  <c r="Q29" i="4"/>
  <c r="F3" i="4"/>
  <c r="N3" i="4"/>
  <c r="F4" i="4"/>
  <c r="N4" i="4"/>
  <c r="F5" i="4"/>
  <c r="N5" i="4"/>
  <c r="F6" i="4"/>
  <c r="N6" i="4"/>
  <c r="F7" i="4"/>
  <c r="N7" i="4"/>
  <c r="F8" i="4"/>
  <c r="N8" i="4"/>
  <c r="I9" i="4"/>
  <c r="Q9" i="4"/>
  <c r="L10" i="4"/>
  <c r="C11" i="4"/>
  <c r="K11" i="4"/>
  <c r="C12" i="4"/>
  <c r="L12" i="4"/>
  <c r="D13" i="4"/>
  <c r="M13" i="4"/>
  <c r="E14" i="4"/>
  <c r="M14" i="4"/>
  <c r="E15" i="4"/>
  <c r="M15" i="4"/>
  <c r="E16" i="4"/>
  <c r="M16" i="4"/>
  <c r="H17" i="4"/>
  <c r="C18" i="4"/>
  <c r="M18" i="4"/>
  <c r="H19" i="4"/>
  <c r="B20" i="4"/>
  <c r="L20" i="4"/>
  <c r="F21" i="4"/>
  <c r="Q21" i="4"/>
  <c r="J22" i="4"/>
  <c r="D23" i="4"/>
  <c r="O23" i="4"/>
  <c r="H24" i="4"/>
  <c r="B25" i="4"/>
  <c r="M25" i="4"/>
  <c r="F26" i="4"/>
  <c r="Q26" i="4"/>
  <c r="K27" i="4"/>
  <c r="D28" i="4"/>
  <c r="O28" i="4"/>
  <c r="I29" i="4"/>
  <c r="D30" i="4"/>
  <c r="Q30" i="4"/>
  <c r="L31" i="4"/>
  <c r="H32" i="4"/>
  <c r="D33" i="4"/>
  <c r="Q33" i="4"/>
  <c r="M34" i="4"/>
  <c r="H35" i="4"/>
  <c r="H36" i="4"/>
  <c r="H37" i="4"/>
  <c r="D38" i="4"/>
  <c r="Q38" i="4"/>
  <c r="L39" i="4"/>
  <c r="H40" i="4"/>
  <c r="D41" i="4"/>
  <c r="Q41" i="4"/>
  <c r="M42" i="4"/>
  <c r="H43" i="4"/>
  <c r="D44" i="4"/>
  <c r="Q44" i="4"/>
  <c r="M45" i="4"/>
  <c r="I46" i="4"/>
  <c r="D47" i="4"/>
  <c r="Q47" i="4"/>
  <c r="M48" i="4"/>
  <c r="A16" i="2"/>
  <c r="F1" i="8"/>
  <c r="T1" i="12"/>
  <c r="A16" i="3"/>
  <c r="M1" i="4"/>
  <c r="B1" i="8" s="1"/>
  <c r="G3" i="4"/>
  <c r="O3" i="4"/>
  <c r="G4" i="4"/>
  <c r="O4" i="4"/>
  <c r="G5" i="4"/>
  <c r="O5" i="4"/>
  <c r="G6" i="4"/>
  <c r="O6" i="4"/>
  <c r="G7" i="4"/>
  <c r="O7" i="4"/>
  <c r="G8" i="4"/>
  <c r="O8" i="4"/>
  <c r="J9" i="4"/>
  <c r="A10" i="4"/>
  <c r="M10" i="4"/>
  <c r="D11" i="4"/>
  <c r="L11" i="4"/>
  <c r="D12" i="4"/>
  <c r="M12" i="4"/>
  <c r="F13" i="4"/>
  <c r="N13" i="4"/>
  <c r="F14" i="4"/>
  <c r="N14" i="4"/>
  <c r="F15" i="4"/>
  <c r="N15" i="4"/>
  <c r="F16" i="4"/>
  <c r="O16" i="4"/>
  <c r="J17" i="4"/>
  <c r="D18" i="4"/>
  <c r="O18" i="4"/>
  <c r="J19" i="4"/>
  <c r="C20" i="4"/>
  <c r="N20" i="4"/>
  <c r="H21" i="4"/>
  <c r="A22" i="4"/>
  <c r="L22" i="4"/>
  <c r="F23" i="4"/>
  <c r="P23" i="4"/>
  <c r="J24" i="4"/>
  <c r="D25" i="4"/>
  <c r="N25" i="4"/>
  <c r="H26" i="4"/>
  <c r="B27" i="4"/>
  <c r="L27" i="4"/>
  <c r="F28" i="4"/>
  <c r="Q28" i="4"/>
  <c r="J29" i="4"/>
  <c r="E30" i="4"/>
  <c r="A31" i="4"/>
  <c r="N31" i="4"/>
  <c r="J32" i="4"/>
  <c r="F33" i="4"/>
  <c r="A34" i="4"/>
  <c r="N34" i="4"/>
  <c r="J35" i="4"/>
  <c r="J36" i="4"/>
  <c r="J37" i="4"/>
  <c r="E38" i="4"/>
  <c r="A39" i="4"/>
  <c r="N39" i="4"/>
  <c r="J40" i="4"/>
  <c r="F41" i="4"/>
  <c r="A42" i="4"/>
  <c r="N42" i="4"/>
  <c r="J43" i="4"/>
  <c r="F44" i="4"/>
  <c r="B45" i="4"/>
  <c r="N45" i="4"/>
  <c r="J46" i="4"/>
  <c r="F47" i="4"/>
  <c r="B48" i="4"/>
  <c r="O48" i="4"/>
  <c r="C25" i="7"/>
  <c r="E1" i="8"/>
  <c r="A27" i="7"/>
  <c r="A27" i="6"/>
  <c r="B11" i="10"/>
  <c r="B3" i="10"/>
  <c r="B8" i="10"/>
  <c r="B13" i="10"/>
  <c r="B10" i="10"/>
  <c r="B2" i="10"/>
  <c r="B7" i="10"/>
  <c r="B12" i="10"/>
  <c r="B9" i="10"/>
  <c r="B14" i="10"/>
  <c r="B6" i="10"/>
  <c r="Q3" i="4"/>
  <c r="I4" i="4"/>
  <c r="Q4" i="4"/>
  <c r="I5" i="4"/>
  <c r="Q5" i="4"/>
  <c r="I6" i="4"/>
  <c r="Q6" i="4"/>
  <c r="I7" i="4"/>
  <c r="Q7" i="4"/>
  <c r="I8" i="4"/>
  <c r="Q8" i="4"/>
  <c r="L9" i="4"/>
  <c r="G10" i="4"/>
  <c r="O10" i="4"/>
  <c r="F11" i="4"/>
  <c r="N11" i="4"/>
  <c r="G12" i="4"/>
  <c r="O12" i="4"/>
  <c r="H13" i="4"/>
  <c r="P13" i="4"/>
  <c r="H14" i="4"/>
  <c r="P14" i="4"/>
  <c r="H15" i="4"/>
  <c r="P15" i="4"/>
  <c r="H16" i="4"/>
  <c r="A17" i="4"/>
  <c r="L17" i="4"/>
  <c r="G18" i="4"/>
  <c r="A19" i="4"/>
  <c r="L19" i="4"/>
  <c r="F20" i="4"/>
  <c r="Q20" i="4"/>
  <c r="J21" i="4"/>
  <c r="D22" i="4"/>
  <c r="O22" i="4"/>
  <c r="H23" i="4"/>
  <c r="B24" i="4"/>
  <c r="M24" i="4"/>
  <c r="F25" i="4"/>
  <c r="Q25" i="4"/>
  <c r="K26" i="4"/>
  <c r="D27" i="4"/>
  <c r="O27" i="4"/>
  <c r="I28" i="4"/>
  <c r="B29" i="4"/>
  <c r="M29" i="4"/>
  <c r="I30" i="4"/>
  <c r="D31" i="4"/>
  <c r="Q31" i="4"/>
  <c r="M32" i="4"/>
  <c r="I33" i="4"/>
  <c r="E34" i="4"/>
  <c r="Q34" i="4"/>
  <c r="M35" i="4"/>
  <c r="M36" i="4"/>
  <c r="M37" i="4"/>
  <c r="I38" i="4"/>
  <c r="D39" i="4"/>
  <c r="Q39" i="4"/>
  <c r="M40" i="4"/>
  <c r="I41" i="4"/>
  <c r="E42" i="4"/>
  <c r="Q42" i="4"/>
  <c r="M43" i="4"/>
  <c r="I44" i="4"/>
  <c r="E45" i="4"/>
  <c r="A46" i="4"/>
  <c r="M46" i="4"/>
  <c r="I47" i="4"/>
  <c r="E48" i="4"/>
  <c r="A1" i="10"/>
  <c r="A18" i="2"/>
  <c r="V1" i="12"/>
  <c r="H1" i="8"/>
  <c r="M2" i="4"/>
  <c r="J3" i="4"/>
  <c r="A4" i="4"/>
  <c r="J4" i="4"/>
  <c r="A5" i="4"/>
  <c r="J5" i="4"/>
  <c r="A6" i="4"/>
  <c r="J6" i="4"/>
  <c r="A7" i="4"/>
  <c r="J7" i="4"/>
  <c r="A8" i="4"/>
  <c r="J8" i="4"/>
  <c r="A9" i="4"/>
  <c r="M9" i="4"/>
  <c r="H10" i="4"/>
  <c r="P10" i="4"/>
  <c r="G11" i="4"/>
  <c r="O11" i="4"/>
  <c r="H12" i="4"/>
  <c r="P12" i="4"/>
  <c r="I13" i="4"/>
  <c r="Q13" i="4"/>
  <c r="I14" i="4"/>
  <c r="Q14" i="4"/>
  <c r="I15" i="4"/>
  <c r="Q15" i="4"/>
  <c r="I16" i="4"/>
  <c r="C17" i="4"/>
  <c r="M17" i="4"/>
  <c r="H18" i="4"/>
  <c r="C19" i="4"/>
  <c r="M19" i="4"/>
  <c r="G20" i="4"/>
  <c r="A21" i="4"/>
  <c r="K21" i="4"/>
  <c r="E22" i="4"/>
  <c r="P22" i="4"/>
  <c r="I23" i="4"/>
  <c r="C24" i="4"/>
  <c r="N24" i="4"/>
  <c r="G25" i="4"/>
  <c r="A26" i="4"/>
  <c r="L26" i="4"/>
  <c r="E27" i="4"/>
  <c r="P27" i="4"/>
  <c r="J28" i="4"/>
  <c r="C29" i="4"/>
  <c r="N29" i="4"/>
  <c r="J30" i="4"/>
  <c r="F31" i="4"/>
  <c r="B32" i="4"/>
  <c r="O32" i="4"/>
  <c r="J33" i="4"/>
  <c r="F34" i="4"/>
  <c r="B35" i="4"/>
  <c r="O35" i="4"/>
  <c r="O36" i="4"/>
  <c r="N37" i="4"/>
  <c r="J38" i="4"/>
  <c r="F39" i="4"/>
  <c r="B40" i="4"/>
  <c r="O40" i="4"/>
  <c r="J41" i="4"/>
  <c r="F42" i="4"/>
  <c r="B43" i="4"/>
  <c r="O43" i="4"/>
  <c r="K44" i="4"/>
  <c r="F45" i="4"/>
  <c r="B46" i="4"/>
  <c r="O46" i="4"/>
  <c r="K47" i="4"/>
  <c r="G48" i="4"/>
  <c r="B5" i="10"/>
  <c r="N2" i="4"/>
  <c r="K3" i="4"/>
  <c r="C4" i="4"/>
  <c r="K4" i="4"/>
  <c r="C5" i="4"/>
  <c r="K5" i="4"/>
  <c r="C6" i="4"/>
  <c r="K6" i="4"/>
  <c r="C7" i="4"/>
  <c r="K7" i="4"/>
  <c r="C8" i="4"/>
  <c r="K8" i="4"/>
  <c r="F9" i="4"/>
  <c r="N9" i="4"/>
  <c r="I10" i="4"/>
  <c r="Q10" i="4"/>
  <c r="H11" i="4"/>
  <c r="P11" i="4"/>
  <c r="I12" i="4"/>
  <c r="Q12" i="4"/>
  <c r="J13" i="4"/>
  <c r="A14" i="4"/>
  <c r="J14" i="4"/>
  <c r="A15" i="4"/>
  <c r="A13" i="6" s="1"/>
  <c r="J15" i="4"/>
  <c r="A16" i="4"/>
  <c r="A14" i="6" s="1"/>
  <c r="J16" i="4"/>
  <c r="D17" i="4"/>
  <c r="O17" i="4"/>
  <c r="J18" i="4"/>
  <c r="D19" i="4"/>
  <c r="O19" i="4"/>
  <c r="I20" i="4"/>
  <c r="B21" i="4"/>
  <c r="M21" i="4"/>
  <c r="G22" i="4"/>
  <c r="Q22" i="4"/>
  <c r="K23" i="4"/>
  <c r="E24" i="4"/>
  <c r="O24" i="4"/>
  <c r="I25" i="4"/>
  <c r="C26" i="4"/>
  <c r="M26" i="4"/>
  <c r="G27" i="4"/>
  <c r="A28" i="4"/>
  <c r="K28" i="4"/>
  <c r="E29" i="4"/>
  <c r="P29" i="4"/>
  <c r="L30" i="4"/>
  <c r="H31" i="4"/>
  <c r="C32" i="4"/>
  <c r="P32" i="4"/>
  <c r="L33" i="4"/>
  <c r="H34" i="4"/>
  <c r="D35" i="4"/>
  <c r="P35" i="4"/>
  <c r="P36" i="4"/>
  <c r="P37" i="4"/>
  <c r="L38" i="4"/>
  <c r="H39" i="4"/>
  <c r="C40" i="4"/>
  <c r="P40" i="4"/>
  <c r="L41" i="4"/>
  <c r="H42" i="4"/>
  <c r="D43" i="4"/>
  <c r="P43" i="4"/>
  <c r="L44" i="4"/>
  <c r="H45" i="4"/>
  <c r="D46" i="4"/>
  <c r="Q46" i="4"/>
  <c r="L47" i="4"/>
  <c r="H48" i="4"/>
  <c r="A2" i="6" l="1"/>
  <c r="A2" i="7"/>
  <c r="B27" i="7"/>
  <c r="D27" i="7" s="1"/>
  <c r="B27" i="6"/>
  <c r="D27" i="6" s="1"/>
  <c r="A22" i="7"/>
  <c r="A22" i="6"/>
  <c r="B24" i="7"/>
  <c r="D24" i="7" s="1"/>
  <c r="B24" i="6"/>
  <c r="A19" i="7"/>
  <c r="A19" i="6"/>
  <c r="A20" i="7"/>
  <c r="A20" i="6"/>
  <c r="A5" i="7"/>
  <c r="A5" i="6"/>
  <c r="C24" i="7"/>
  <c r="C24" i="6"/>
  <c r="B19" i="7"/>
  <c r="D19" i="7" s="1"/>
  <c r="D30" i="7" s="1"/>
  <c r="B19" i="6"/>
  <c r="D19" i="6" s="1"/>
  <c r="D30" i="6" s="1"/>
  <c r="A6" i="7"/>
  <c r="A6" i="6"/>
  <c r="B22" i="7"/>
  <c r="B22" i="6"/>
  <c r="A24" i="7"/>
  <c r="A24" i="6"/>
  <c r="B25" i="7"/>
  <c r="D25" i="7" s="1"/>
  <c r="B25" i="6"/>
  <c r="D25" i="6" s="1"/>
  <c r="B23" i="7"/>
  <c r="B23" i="6"/>
  <c r="D23" i="6" s="1"/>
  <c r="A14" i="7"/>
  <c r="A13" i="7"/>
  <c r="A25" i="7"/>
  <c r="A25" i="6"/>
  <c r="A15" i="6"/>
  <c r="A15" i="7"/>
  <c r="D28" i="6"/>
  <c r="A12" i="6"/>
  <c r="A12" i="7"/>
  <c r="C27" i="6"/>
  <c r="C27" i="7"/>
  <c r="C22" i="7"/>
  <c r="C22" i="6"/>
  <c r="A4" i="6"/>
  <c r="A4" i="7"/>
  <c r="C20" i="7"/>
  <c r="D20" i="7" s="1"/>
  <c r="C20" i="6"/>
  <c r="D20" i="6" s="1"/>
  <c r="A26" i="7"/>
  <c r="A26" i="6"/>
  <c r="D10" i="7"/>
  <c r="D11" i="6"/>
  <c r="C28" i="6"/>
  <c r="C28" i="7"/>
  <c r="D28" i="7" s="1"/>
  <c r="A7" i="6"/>
  <c r="A7" i="7"/>
  <c r="A3" i="6"/>
  <c r="A3" i="7"/>
  <c r="B21" i="7"/>
  <c r="D21" i="7" s="1"/>
  <c r="B21" i="6"/>
  <c r="D21" i="6" s="1"/>
  <c r="C23" i="6"/>
  <c r="C23" i="7"/>
  <c r="D26" i="6"/>
  <c r="D26" i="7"/>
  <c r="D22" i="6" l="1"/>
  <c r="D24" i="6"/>
  <c r="D22" i="7"/>
  <c r="D23" i="7"/>
  <c r="D31" i="6"/>
  <c r="D32" i="6" s="1"/>
  <c r="D31" i="7"/>
  <c r="D32" i="7"/>
</calcChain>
</file>

<file path=xl/sharedStrings.xml><?xml version="1.0" encoding="utf-8"?>
<sst xmlns="http://schemas.openxmlformats.org/spreadsheetml/2006/main" count="126" uniqueCount="75">
  <si>
    <t>Item Description</t>
  </si>
  <si>
    <t>Quantity in Stock</t>
  </si>
  <si>
    <t>Unit Price</t>
  </si>
  <si>
    <t>Category</t>
  </si>
  <si>
    <t>Supplier</t>
  </si>
  <si>
    <t>Image</t>
  </si>
  <si>
    <t>Payment Link</t>
  </si>
  <si>
    <t>Item 1</t>
  </si>
  <si>
    <t>Category 1</t>
  </si>
  <si>
    <t>Company</t>
  </si>
  <si>
    <t>https://drive.google.com/uc?export=view&amp;id=165kqv1atBk1WBbSkIbj6pnoikR9JOpLj</t>
  </si>
  <si>
    <t>Item 2</t>
  </si>
  <si>
    <t>Category 2</t>
  </si>
  <si>
    <t>Item 3</t>
  </si>
  <si>
    <t>Category 3</t>
  </si>
  <si>
    <t>Item 4</t>
  </si>
  <si>
    <t>Category 4</t>
  </si>
  <si>
    <t>Up to 1999 Items</t>
  </si>
  <si>
    <t>Business Street</t>
  </si>
  <si>
    <t>Business City, Business State Business Postal Code</t>
  </si>
  <si>
    <t>E-mail Address</t>
  </si>
  <si>
    <t>Business Phone</t>
  </si>
  <si>
    <t>INVOICE</t>
  </si>
  <si>
    <t>Number</t>
  </si>
  <si>
    <t>Bill To:</t>
  </si>
  <si>
    <t>Date:</t>
  </si>
  <si>
    <t>First Name Middle Name Last Name</t>
  </si>
  <si>
    <t>Description</t>
  </si>
  <si>
    <t>Quantity</t>
  </si>
  <si>
    <t>Total</t>
  </si>
  <si>
    <t>Subtotal:</t>
  </si>
  <si>
    <t>Tax</t>
  </si>
  <si>
    <t>Total:</t>
  </si>
  <si>
    <t>Payment Instructions:</t>
  </si>
  <si>
    <t>[Your Payment Instructions]</t>
  </si>
  <si>
    <t>Date Paid:</t>
  </si>
  <si>
    <t>Via:</t>
  </si>
  <si>
    <t>Date Shipped:</t>
  </si>
  <si>
    <t>Log 6</t>
  </si>
  <si>
    <t>Log 7</t>
  </si>
  <si>
    <t>Log 8</t>
  </si>
  <si>
    <t>Log 9</t>
  </si>
  <si>
    <t>Log 10</t>
  </si>
  <si>
    <t>Log 11</t>
  </si>
  <si>
    <t>Log 12</t>
  </si>
  <si>
    <t>Update Inventory</t>
  </si>
  <si>
    <t>Anything Log</t>
  </si>
  <si>
    <t>Date</t>
  </si>
  <si>
    <t>RECEIPT</t>
  </si>
  <si>
    <t>Tax (10%):</t>
  </si>
  <si>
    <t>Thank you for your order!</t>
  </si>
  <si>
    <t>PACKING SLIP</t>
  </si>
  <si>
    <t>Ship To:</t>
  </si>
  <si>
    <t>First Name</t>
  </si>
  <si>
    <t>Middle Name</t>
  </si>
  <si>
    <t>Last Name</t>
  </si>
  <si>
    <t>Title</t>
  </si>
  <si>
    <t>Home Phone</t>
  </si>
  <si>
    <t>Mobile Phone</t>
  </si>
  <si>
    <t>Home Street</t>
  </si>
  <si>
    <t>Home City</t>
  </si>
  <si>
    <t>Home State</t>
  </si>
  <si>
    <t>Home Postal Code</t>
  </si>
  <si>
    <t>Business Fax</t>
  </si>
  <si>
    <t>Business City</t>
  </si>
  <si>
    <t>Business State</t>
  </si>
  <si>
    <t>Business Postal Code</t>
  </si>
  <si>
    <t>Other Street</t>
  </si>
  <si>
    <t>Other City</t>
  </si>
  <si>
    <t>Other State</t>
  </si>
  <si>
    <t>Other Postal Code</t>
  </si>
  <si>
    <t>Target Cell on Sheet1</t>
  </si>
  <si>
    <t>Vlookup by Name</t>
  </si>
  <si>
    <t>Xlookup by Company</t>
  </si>
  <si>
    <t>Enter information and select New Contact.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</si>
</sst>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"/>
  </numFmts>
  <fonts count="14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0000FF"/>
      <name val="Arial"/>
    </font>
    <font>
      <b/>
      <sz val="16"/>
      <color theme="1"/>
      <name val="Arial"/>
    </font>
    <font>
      <b/>
      <sz val="14"/>
      <color theme="1"/>
      <name val="Arial"/>
    </font>
    <font>
      <u/>
      <sz val="10"/>
      <color rgb="FF1155CC"/>
      <name val="Arial"/>
    </font>
    <font>
      <b/>
      <sz val="16"/>
      <color rgb="FFFF0000"/>
      <name val="Arial"/>
    </font>
    <font>
      <b/>
      <sz val="13"/>
      <color theme="1"/>
      <name val="Arial"/>
    </font>
    <font>
      <sz val="10"/>
      <name val="Arial"/>
    </font>
    <font>
      <u/>
      <sz val="10"/>
      <color rgb="FF1155CC"/>
      <name val="Arial"/>
    </font>
    <font>
      <b/>
      <i/>
      <sz val="10"/>
      <color theme="1"/>
      <name val="Arial"/>
    </font>
    <font>
      <b/>
      <sz val="10"/>
      <color rgb="FFFF0000"/>
      <name val="Arial"/>
    </font>
    <font>
      <b/>
      <u/>
      <sz val="14"/>
      <color rgb="FF0000FF"/>
      <name val="Arial"/>
    </font>
  </fonts>
  <fills count="6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</fills>
  <borders count="17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1" xfId="0" applyFont="1" applyBorder="1"/>
    <xf numFmtId="0" fontId="5" fillId="0" borderId="0" xfId="0" applyFont="1"/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2" xfId="0" applyFont="1" applyBorder="1"/>
    <xf numFmtId="164" fontId="2" fillId="0" borderId="2" xfId="0" applyNumberFormat="1" applyFont="1" applyBorder="1"/>
    <xf numFmtId="164" fontId="2" fillId="0" borderId="2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0" fontId="1" fillId="0" borderId="3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3" borderId="2" xfId="0" applyFont="1" applyFill="1" applyBorder="1"/>
    <xf numFmtId="0" fontId="2" fillId="3" borderId="7" xfId="0" applyFont="1" applyFill="1" applyBorder="1"/>
    <xf numFmtId="14" fontId="2" fillId="0" borderId="2" xfId="0" applyNumberFormat="1" applyFont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0" fontId="2" fillId="0" borderId="7" xfId="0" applyFont="1" applyBorder="1"/>
    <xf numFmtId="0" fontId="2" fillId="3" borderId="12" xfId="0" applyFont="1" applyFill="1" applyBorder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/>
    <xf numFmtId="0" fontId="2" fillId="5" borderId="16" xfId="0" applyFont="1" applyFill="1" applyBorder="1"/>
    <xf numFmtId="0" fontId="2" fillId="5" borderId="12" xfId="0" applyFont="1" applyFill="1" applyBorder="1"/>
    <xf numFmtId="0" fontId="2" fillId="4" borderId="12" xfId="0" applyFont="1" applyFill="1" applyBorder="1"/>
    <xf numFmtId="0" fontId="12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14" fontId="2" fillId="0" borderId="0" xfId="0" applyNumberFormat="1" applyFont="1" applyAlignment="1">
      <alignment horizontal="center"/>
    </xf>
    <xf numFmtId="0" fontId="4" fillId="0" borderId="0" xfId="0" applyFont="1"/>
    <xf numFmtId="0" fontId="2" fillId="0" borderId="0" xfId="0" applyFont="1"/>
    <xf numFmtId="0" fontId="5" fillId="0" borderId="0" xfId="0" applyFont="1"/>
    <xf numFmtId="0" fontId="1" fillId="0" borderId="0" xfId="0" applyFont="1"/>
    <xf numFmtId="0" fontId="6" fillId="0" borderId="0" xfId="0" applyFont="1"/>
    <xf numFmtId="0" fontId="7" fillId="3" borderId="8" xfId="0" applyFont="1" applyFill="1" applyBorder="1" applyAlignment="1">
      <alignment horizontal="center" vertical="center"/>
    </xf>
    <xf numFmtId="0" fontId="9" fillId="0" borderId="10" xfId="0" applyFont="1" applyBorder="1"/>
    <xf numFmtId="0" fontId="8" fillId="3" borderId="9" xfId="0" applyFont="1" applyFill="1" applyBorder="1" applyAlignment="1">
      <alignment horizontal="center" vertical="center" wrapText="1"/>
    </xf>
    <xf numFmtId="0" fontId="9" fillId="0" borderId="11" xfId="0" applyFont="1" applyBorder="1"/>
    <xf numFmtId="0" fontId="2" fillId="4" borderId="13" xfId="0" applyFont="1" applyFill="1" applyBorder="1"/>
    <xf numFmtId="0" fontId="9" fillId="0" borderId="14" xfId="0" applyFont="1" applyBorder="1"/>
    <xf numFmtId="0" fontId="9" fillId="0" borderId="15" xfId="0" applyFont="1" applyBorder="1"/>
    <xf numFmtId="14" fontId="1" fillId="0" borderId="0" xfId="0" applyNumberFormat="1" applyFont="1" applyAlignment="1">
      <alignment horizontal="center"/>
    </xf>
    <xf numFmtId="0" fontId="13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285750</xdr:colOff>
      <xdr:row>0</xdr:row>
      <xdr:rowOff>19050</xdr:rowOff>
    </xdr:from>
    <xdr:ext cx="4191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742950</xdr:colOff>
      <xdr:row>0</xdr:row>
      <xdr:rowOff>38100</xdr:rowOff>
    </xdr:from>
    <xdr:ext cx="1047750" cy="10477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790575</xdr:colOff>
      <xdr:row>0</xdr:row>
      <xdr:rowOff>28575</xdr:rowOff>
    </xdr:from>
    <xdr:ext cx="1047750" cy="10477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uc?export=view&amp;id=165kqv1atBk1WBbSkIbj6pnoikR9JOpLj" TargetMode="External"/><Relationship Id="rId2" Type="http://schemas.openxmlformats.org/officeDocument/2006/relationships/hyperlink" Target="https://drive.google.com/uc?export=view&amp;id=165kqv1atBk1WBbSkIbj6pnoikR9JOpLj" TargetMode="External"/><Relationship Id="rId1" Type="http://schemas.openxmlformats.org/officeDocument/2006/relationships/hyperlink" Target="https://drive.google.com/uc?export=view&amp;id=165kqv1atBk1WBbSkIbj6pnoikR9JOpLj" TargetMode="External"/><Relationship Id="rId4" Type="http://schemas.openxmlformats.org/officeDocument/2006/relationships/hyperlink" Target="https://drive.google.com/uc?export=view&amp;id=165kqv1atBk1WBbSkIbj6pnoikR9JOpLj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0"/>
  <sheetViews>
    <sheetView showGridLines="0" workbookViewId="0"/>
  </sheetViews>
  <sheetFormatPr defaultColWidth="12.6328125" defaultRowHeight="15" customHeight="1" x14ac:dyDescent="0.25"/>
  <cols>
    <col min="1" max="5" width="18.90625" customWidth="1"/>
    <col min="6" max="6" width="12.6328125" customWidth="1"/>
  </cols>
  <sheetData>
    <row r="1" spans="1:11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/>
      <c r="I1" s="2"/>
      <c r="J1" s="1" t="s">
        <v>6</v>
      </c>
      <c r="K1" s="2"/>
    </row>
    <row r="2" spans="1:11" ht="15.75" customHeight="1" x14ac:dyDescent="0.25">
      <c r="A2" s="2" t="s">
        <v>7</v>
      </c>
      <c r="B2" s="2">
        <v>100</v>
      </c>
      <c r="C2" s="2">
        <v>10</v>
      </c>
      <c r="D2" s="2" t="s">
        <v>8</v>
      </c>
      <c r="E2" s="2" t="s">
        <v>9</v>
      </c>
      <c r="F2" s="3" t="s">
        <v>10</v>
      </c>
    </row>
    <row r="3" spans="1:11" ht="15.75" customHeight="1" x14ac:dyDescent="0.25">
      <c r="A3" s="2" t="s">
        <v>11</v>
      </c>
      <c r="B3" s="2">
        <v>200</v>
      </c>
      <c r="C3" s="2">
        <v>15</v>
      </c>
      <c r="D3" s="2" t="s">
        <v>12</v>
      </c>
      <c r="E3" s="2" t="s">
        <v>9</v>
      </c>
      <c r="F3" s="3" t="s">
        <v>10</v>
      </c>
    </row>
    <row r="4" spans="1:11" ht="15.75" customHeight="1" x14ac:dyDescent="0.25">
      <c r="A4" s="2" t="s">
        <v>13</v>
      </c>
      <c r="B4" s="2">
        <v>150</v>
      </c>
      <c r="C4" s="2">
        <v>20</v>
      </c>
      <c r="D4" s="2" t="s">
        <v>14</v>
      </c>
      <c r="E4" s="2" t="s">
        <v>9</v>
      </c>
      <c r="F4" s="3" t="s">
        <v>10</v>
      </c>
    </row>
    <row r="5" spans="1:11" ht="15.75" customHeight="1" x14ac:dyDescent="0.25">
      <c r="A5" s="2" t="s">
        <v>15</v>
      </c>
      <c r="B5" s="2">
        <v>250</v>
      </c>
      <c r="C5" s="2">
        <v>30</v>
      </c>
      <c r="D5" s="2" t="s">
        <v>16</v>
      </c>
      <c r="E5" s="2" t="s">
        <v>9</v>
      </c>
      <c r="F5" s="3" t="s">
        <v>10</v>
      </c>
    </row>
    <row r="6" spans="1:11" ht="15.75" customHeight="1" x14ac:dyDescent="0.25">
      <c r="A6" s="2" t="s">
        <v>17</v>
      </c>
    </row>
    <row r="7" spans="1:11" ht="15.75" customHeight="1" x14ac:dyDescent="0.25"/>
    <row r="8" spans="1:11" ht="15.75" customHeight="1" x14ac:dyDescent="0.25"/>
    <row r="9" spans="1:11" ht="15.75" customHeight="1" x14ac:dyDescent="0.25"/>
    <row r="10" spans="1:11" ht="15.75" customHeight="1" x14ac:dyDescent="0.25"/>
    <row r="11" spans="1:11" ht="15.75" customHeight="1" x14ac:dyDescent="0.25"/>
    <row r="12" spans="1:11" ht="15.75" customHeight="1" x14ac:dyDescent="0.25"/>
    <row r="13" spans="1:11" ht="15.75" customHeight="1" x14ac:dyDescent="0.25"/>
    <row r="14" spans="1:11" ht="15.75" customHeight="1" x14ac:dyDescent="0.25"/>
    <row r="15" spans="1:11" ht="15.75" customHeight="1" x14ac:dyDescent="0.25"/>
    <row r="16" spans="1:11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</hyperlink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G1000"/>
  <sheetViews>
    <sheetView workbookViewId="0"/>
  </sheetViews>
  <sheetFormatPr defaultColWidth="12.6328125" defaultRowHeight="15" customHeight="1" x14ac:dyDescent="0.25"/>
  <cols>
    <col min="1" max="1" width="25.08984375" customWidth="1"/>
    <col min="2" max="4" width="12.6328125" customWidth="1"/>
    <col min="5" max="7" width="25.08984375" customWidth="1"/>
  </cols>
  <sheetData>
    <row r="1" spans="1:7" ht="15.75" customHeight="1" x14ac:dyDescent="0.3">
      <c r="A1" s="1" t="str">
        <f>contacts!A1</f>
        <v>First Name Middle Name Last Name</v>
      </c>
      <c r="B1" s="45"/>
      <c r="C1" s="46"/>
      <c r="D1" s="47"/>
      <c r="E1" s="32" t="s">
        <v>71</v>
      </c>
      <c r="F1" s="31"/>
    </row>
    <row r="2" spans="1:7" ht="15.75" customHeight="1" x14ac:dyDescent="0.3">
      <c r="A2" s="1" t="str">
        <f>contacts!AR1</f>
        <v>Company</v>
      </c>
      <c r="B2" s="2" t="e">
        <f>VLOOKUP(B1, contacts!A:CJ, 44, FALSE)</f>
        <v>#N/A</v>
      </c>
      <c r="E2" s="1" t="str">
        <f>contacts!AR1</f>
        <v>Company</v>
      </c>
    </row>
    <row r="3" spans="1:7" ht="15.75" customHeight="1" x14ac:dyDescent="0.3">
      <c r="A3" s="1" t="str">
        <f>contacts!AZ1</f>
        <v>Business Street</v>
      </c>
      <c r="B3" s="2" t="e">
        <f>VLOOKUP(B1, contacts!A:CJ, 52, FALSE)</f>
        <v>#N/A</v>
      </c>
      <c r="E3" s="1" t="str">
        <f>contacts!AZ1</f>
        <v>Business Street</v>
      </c>
    </row>
    <row r="4" spans="1:7" ht="15.75" customHeight="1" x14ac:dyDescent="0.3">
      <c r="A4" s="1" t="str">
        <f>contacts!BD1</f>
        <v>Business City</v>
      </c>
      <c r="B4" s="2" t="e">
        <f>VLOOKUP(B1, contacts!A:CJ, 56, FALSE) &amp; ", " &amp; VLOOKUP(B1, contacts!A:CJ, 57, FALSE) &amp; "   " &amp; VLOOKUP(B1, contacts!A:CJ, 58, FALSE)</f>
        <v>#N/A</v>
      </c>
      <c r="E4" s="1" t="str">
        <f>contacts!BD1</f>
        <v>Business City</v>
      </c>
    </row>
    <row r="5" spans="1:7" ht="15.75" customHeight="1" x14ac:dyDescent="0.3">
      <c r="A5" s="1" t="str">
        <f>contacts!P1</f>
        <v>E-mail Address</v>
      </c>
      <c r="B5" s="2" t="e">
        <f>HYPERLINK(VLOOKUP(B1, contacts!A:CJ, 16, FALSE))</f>
        <v>#N/A</v>
      </c>
      <c r="E5" s="1" t="str">
        <f>contacts!P1</f>
        <v>E-mail Address</v>
      </c>
    </row>
    <row r="6" spans="1:7" ht="15.75" customHeight="1" x14ac:dyDescent="0.3">
      <c r="A6" s="1" t="str">
        <f>contacts!AN1</f>
        <v>Business Phone</v>
      </c>
      <c r="B6" s="2" t="e">
        <f>VLOOKUP(B1, contacts!A:CJ, 40, FALSE)</f>
        <v>#N/A</v>
      </c>
      <c r="E6" s="1" t="str">
        <f>contacts!AN1</f>
        <v>Business Phone</v>
      </c>
    </row>
    <row r="7" spans="1:7" ht="15.75" customHeight="1" x14ac:dyDescent="0.3">
      <c r="A7" s="1" t="str">
        <f>contacts!AP1</f>
        <v>Business Fax</v>
      </c>
      <c r="B7" s="2" t="e">
        <f>VLOOKUP(B1, contacts!A:CJ, 42, FALSE)</f>
        <v>#N/A</v>
      </c>
      <c r="E7" s="1" t="str">
        <f>contacts!AP1</f>
        <v>Business Fax</v>
      </c>
    </row>
    <row r="8" spans="1:7" ht="15.75" customHeight="1" x14ac:dyDescent="0.3">
      <c r="A8" s="1" t="str">
        <f>contacts!Z1</f>
        <v>Home Street</v>
      </c>
      <c r="B8" s="2" t="e">
        <f>VLOOKUP(B1, contacts!A:CJ, 26, FALSE)</f>
        <v>#N/A</v>
      </c>
      <c r="E8" s="1" t="str">
        <f>contacts!Z1</f>
        <v>Home Street</v>
      </c>
    </row>
    <row r="9" spans="1:7" ht="15.75" customHeight="1" x14ac:dyDescent="0.3">
      <c r="A9" s="1" t="str">
        <f>contacts!AD1</f>
        <v>Home City</v>
      </c>
      <c r="B9" s="2" t="e">
        <f>VLOOKUP(B1, contacts!A:CJ, 30, FALSE) &amp; ", " &amp; VLOOKUP(B1, contacts!A:CJ, 31, FALSE) &amp; "   " &amp; VLOOKUP(B1, contacts!A:CJ, 32, FALSE)</f>
        <v>#N/A</v>
      </c>
      <c r="E9" s="1" t="str">
        <f>contacts!AD1</f>
        <v>Home City</v>
      </c>
    </row>
    <row r="10" spans="1:7" ht="15.75" customHeight="1" x14ac:dyDescent="0.3">
      <c r="A10" s="1" t="str">
        <f>contacts!BK1</f>
        <v>Other Street</v>
      </c>
      <c r="B10" s="2" t="e">
        <f>VLOOKUP(B1, contacts!A:CJ, 63, FALSE)</f>
        <v>#N/A</v>
      </c>
      <c r="E10" s="1" t="str">
        <f>contacts!BK1</f>
        <v>Other Street</v>
      </c>
    </row>
    <row r="11" spans="1:7" ht="15.75" customHeight="1" x14ac:dyDescent="0.3">
      <c r="A11" s="1" t="str">
        <f>contacts!BO1</f>
        <v>Other City</v>
      </c>
      <c r="B11" s="2" t="e">
        <f>VLOOKUP(B1, contacts!A:CJ, 67, FALSE) &amp; ", " &amp; VLOOKUP(B1, contacts!A:CJ, 68, FALSE) &amp; "   " &amp; VLOOKUP(B1, contacts!A:CJ, 69, FALSE)</f>
        <v>#N/A</v>
      </c>
      <c r="E11" s="1" t="str">
        <f>contacts!BO1</f>
        <v>Other City</v>
      </c>
    </row>
    <row r="12" spans="1:7" ht="15.75" customHeight="1" x14ac:dyDescent="0.3">
      <c r="A12" s="1" t="str">
        <f>contacts!E1</f>
        <v>Title</v>
      </c>
      <c r="B12" s="2" t="e">
        <f>VLOOKUP(B1, contacts!A:CJ, 5, FALSE)</f>
        <v>#N/A</v>
      </c>
      <c r="E12" s="1" t="str">
        <f>contacts!E1</f>
        <v>Title</v>
      </c>
    </row>
    <row r="13" spans="1:7" ht="15.75" customHeight="1" x14ac:dyDescent="0.3">
      <c r="A13" s="1" t="str">
        <f>contacts!T1</f>
        <v>Home Phone</v>
      </c>
      <c r="B13" s="2" t="e">
        <f>VLOOKUP(B1, contacts!A:CJ, 20, FALSE)</f>
        <v>#N/A</v>
      </c>
      <c r="E13" s="1" t="str">
        <f>contacts!T1</f>
        <v>Home Phone</v>
      </c>
    </row>
    <row r="14" spans="1:7" ht="15.75" customHeight="1" x14ac:dyDescent="0.3">
      <c r="A14" s="1" t="str">
        <f>contacts!V1</f>
        <v>Mobile Phone</v>
      </c>
      <c r="B14" s="2" t="e">
        <f>VLOOKUP(B1, contacts!A:CJ, 22, FALSE)</f>
        <v>#N/A</v>
      </c>
      <c r="E14" s="1" t="str">
        <f>contacts!V1</f>
        <v>Mobile Phone</v>
      </c>
    </row>
    <row r="15" spans="1:7" ht="15.75" customHeight="1" x14ac:dyDescent="0.25">
      <c r="F15" s="2" t="s">
        <v>72</v>
      </c>
      <c r="G15" s="2" t="s">
        <v>73</v>
      </c>
    </row>
    <row r="16" spans="1:7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B1:D1"/>
  </mergeCell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900-000000000000}">
          <x14:formula1>
            <xm:f>contacts!$A:$A</xm:f>
          </x14:formula1>
          <xm:sqref>B1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I1000"/>
  <sheetViews>
    <sheetView workbookViewId="0"/>
  </sheetViews>
  <sheetFormatPr defaultColWidth="12.6328125" defaultRowHeight="15" customHeight="1" x14ac:dyDescent="0.25"/>
  <cols>
    <col min="1" max="2" width="25.08984375" customWidth="1"/>
    <col min="3" max="6" width="12.6328125" customWidth="1"/>
  </cols>
  <sheetData>
    <row r="1" spans="1:9" ht="15.75" customHeight="1" x14ac:dyDescent="0.3">
      <c r="A1" s="1" t="str">
        <f>contacts!B1</f>
        <v>First Name</v>
      </c>
      <c r="B1" s="31"/>
    </row>
    <row r="2" spans="1:9" ht="15.75" customHeight="1" x14ac:dyDescent="0.3">
      <c r="A2" s="1" t="str">
        <f>contacts!C1</f>
        <v>Middle Name</v>
      </c>
      <c r="B2" s="31"/>
    </row>
    <row r="3" spans="1:9" ht="15.75" customHeight="1" x14ac:dyDescent="0.3">
      <c r="A3" s="1" t="str">
        <f>contacts!D1</f>
        <v>Last Name</v>
      </c>
      <c r="B3" s="31"/>
      <c r="F3" s="49" t="str">
        <f>HYPERLINK("https://workspace.google.com/marketplace/app/addressblock/786018916601?pann=b", "To import contacts: Install AddressBlock")</f>
        <v>To import contacts: Install AddressBlock</v>
      </c>
      <c r="G3" s="34"/>
      <c r="H3" s="34"/>
      <c r="I3" s="34"/>
    </row>
    <row r="4" spans="1:9" ht="15.75" customHeight="1" x14ac:dyDescent="0.3">
      <c r="A4" s="1" t="str">
        <f>contacts!AR1</f>
        <v>Company</v>
      </c>
      <c r="B4" s="31"/>
    </row>
    <row r="5" spans="1:9" ht="15.75" customHeight="1" x14ac:dyDescent="0.3">
      <c r="A5" s="1" t="str">
        <f>contacts!AZ1</f>
        <v>Business Street</v>
      </c>
      <c r="B5" s="31"/>
    </row>
    <row r="6" spans="1:9" ht="15.75" customHeight="1" x14ac:dyDescent="0.3">
      <c r="A6" s="1" t="str">
        <f>contacts!BD1</f>
        <v>Business City</v>
      </c>
      <c r="B6" s="31"/>
    </row>
    <row r="7" spans="1:9" ht="15.75" customHeight="1" x14ac:dyDescent="0.3">
      <c r="A7" s="1" t="str">
        <f>contacts!BE1</f>
        <v>Business State</v>
      </c>
      <c r="B7" s="31"/>
    </row>
    <row r="8" spans="1:9" ht="15.75" customHeight="1" x14ac:dyDescent="0.3">
      <c r="A8" s="1" t="str">
        <f>contacts!BF1</f>
        <v>Business Postal Code</v>
      </c>
      <c r="B8" s="31"/>
    </row>
    <row r="9" spans="1:9" ht="15.75" customHeight="1" x14ac:dyDescent="0.3">
      <c r="A9" s="1" t="str">
        <f>contacts!P1</f>
        <v>E-mail Address</v>
      </c>
      <c r="B9" s="31"/>
    </row>
    <row r="10" spans="1:9" ht="15.75" customHeight="1" x14ac:dyDescent="0.3">
      <c r="A10" s="1" t="str">
        <f>contacts!AN1</f>
        <v>Business Phone</v>
      </c>
      <c r="B10" s="31"/>
    </row>
    <row r="11" spans="1:9" ht="15.75" customHeight="1" x14ac:dyDescent="0.3">
      <c r="A11" s="1" t="str">
        <f>contacts!AP1</f>
        <v>Business Fax</v>
      </c>
      <c r="B11" s="31"/>
    </row>
    <row r="12" spans="1:9" ht="15.75" customHeight="1" x14ac:dyDescent="0.3">
      <c r="A12" s="1" t="str">
        <f>contacts!Z1</f>
        <v>Home Street</v>
      </c>
      <c r="B12" s="31"/>
    </row>
    <row r="13" spans="1:9" ht="15.75" customHeight="1" x14ac:dyDescent="0.3">
      <c r="A13" s="1" t="str">
        <f>contacts!AD1</f>
        <v>Home City</v>
      </c>
      <c r="B13" s="31"/>
    </row>
    <row r="14" spans="1:9" ht="15.75" customHeight="1" x14ac:dyDescent="0.3">
      <c r="A14" s="1" t="str">
        <f>contacts!AE1</f>
        <v>Home State</v>
      </c>
      <c r="B14" s="31"/>
    </row>
    <row r="15" spans="1:9" ht="15.75" customHeight="1" x14ac:dyDescent="0.3">
      <c r="A15" s="1" t="str">
        <f>contacts!AF1</f>
        <v>Home Postal Code</v>
      </c>
      <c r="B15" s="31"/>
    </row>
    <row r="16" spans="1:9" ht="15.75" customHeight="1" x14ac:dyDescent="0.3">
      <c r="A16" s="1" t="str">
        <f>contacts!BK1</f>
        <v>Other Street</v>
      </c>
      <c r="B16" s="31"/>
    </row>
    <row r="17" spans="1:2" ht="15.75" customHeight="1" x14ac:dyDescent="0.3">
      <c r="A17" s="1" t="str">
        <f>contacts!BO1</f>
        <v>Other City</v>
      </c>
      <c r="B17" s="31"/>
    </row>
    <row r="18" spans="1:2" ht="15.75" customHeight="1" x14ac:dyDescent="0.3">
      <c r="A18" s="1" t="str">
        <f>contacts!BP1</f>
        <v>Other State</v>
      </c>
      <c r="B18" s="31"/>
    </row>
    <row r="19" spans="1:2" ht="15.75" customHeight="1" x14ac:dyDescent="0.3">
      <c r="A19" s="1" t="str">
        <f>contacts!BQ1</f>
        <v>Other Postal Code</v>
      </c>
      <c r="B19" s="31"/>
    </row>
    <row r="20" spans="1:2" ht="15.75" customHeight="1" x14ac:dyDescent="0.3">
      <c r="A20" s="1" t="str">
        <f>contacts!E1</f>
        <v>Title</v>
      </c>
      <c r="B20" s="31"/>
    </row>
    <row r="21" spans="1:2" ht="15.75" customHeight="1" x14ac:dyDescent="0.3">
      <c r="A21" s="1" t="str">
        <f>contacts!T1</f>
        <v>Home Phone</v>
      </c>
      <c r="B21" s="31"/>
    </row>
    <row r="22" spans="1:2" ht="15.75" customHeight="1" x14ac:dyDescent="0.3">
      <c r="A22" s="1" t="str">
        <f>contacts!V1</f>
        <v>Mobile Phone</v>
      </c>
      <c r="B22" s="31"/>
    </row>
    <row r="23" spans="1:2" ht="15.75" customHeight="1" x14ac:dyDescent="0.3">
      <c r="A23" s="1"/>
      <c r="B23" s="2" t="s">
        <v>74</v>
      </c>
    </row>
    <row r="24" spans="1:2" ht="15.75" customHeight="1" x14ac:dyDescent="0.3">
      <c r="A24" s="1"/>
    </row>
    <row r="25" spans="1:2" ht="15.75" customHeight="1" x14ac:dyDescent="0.3">
      <c r="A25" s="1"/>
    </row>
    <row r="26" spans="1:2" ht="15.75" customHeight="1" x14ac:dyDescent="0.3">
      <c r="A26" s="1"/>
    </row>
    <row r="27" spans="1:2" ht="15.75" customHeight="1" x14ac:dyDescent="0.3">
      <c r="A27" s="1"/>
    </row>
    <row r="28" spans="1:2" ht="15.75" customHeight="1" x14ac:dyDescent="0.3">
      <c r="A28" s="1"/>
    </row>
    <row r="29" spans="1:2" ht="15.75" customHeight="1" x14ac:dyDescent="0.3">
      <c r="A29" s="1"/>
    </row>
    <row r="30" spans="1:2" ht="15.75" customHeight="1" x14ac:dyDescent="0.3">
      <c r="A30" s="1"/>
    </row>
    <row r="31" spans="1:2" ht="15.75" customHeight="1" x14ac:dyDescent="0.3">
      <c r="A31" s="1"/>
    </row>
    <row r="32" spans="1:2" ht="15.75" customHeight="1" x14ac:dyDescent="0.3">
      <c r="A32" s="1"/>
    </row>
    <row r="33" spans="1:1" ht="15.75" customHeight="1" x14ac:dyDescent="0.3">
      <c r="A33" s="1"/>
    </row>
    <row r="34" spans="1:1" ht="15.75" customHeight="1" x14ac:dyDescent="0.3">
      <c r="A34" s="1"/>
    </row>
    <row r="35" spans="1:1" ht="15.75" customHeight="1" x14ac:dyDescent="0.3">
      <c r="A35" s="1"/>
    </row>
    <row r="36" spans="1:1" ht="15.75" customHeight="1" x14ac:dyDescent="0.3">
      <c r="A36" s="1"/>
    </row>
    <row r="37" spans="1:1" ht="15.75" customHeight="1" x14ac:dyDescent="0.3">
      <c r="A37" s="1"/>
    </row>
    <row r="38" spans="1:1" ht="15.75" customHeight="1" x14ac:dyDescent="0.3">
      <c r="A38" s="1"/>
    </row>
    <row r="39" spans="1:1" ht="15.75" customHeight="1" x14ac:dyDescent="0.3">
      <c r="A39" s="1"/>
    </row>
    <row r="40" spans="1:1" ht="15.75" customHeight="1" x14ac:dyDescent="0.3">
      <c r="A40" s="1"/>
    </row>
    <row r="41" spans="1:1" ht="15.75" customHeight="1" x14ac:dyDescent="0.3">
      <c r="A41" s="1"/>
    </row>
    <row r="42" spans="1:1" ht="15.75" customHeight="1" x14ac:dyDescent="0.3">
      <c r="A42" s="1"/>
    </row>
    <row r="43" spans="1:1" ht="15.75" customHeight="1" x14ac:dyDescent="0.3">
      <c r="A43" s="1"/>
    </row>
    <row r="44" spans="1:1" ht="15.75" customHeight="1" x14ac:dyDescent="0.3">
      <c r="A44" s="1"/>
    </row>
    <row r="45" spans="1:1" ht="15.75" customHeight="1" x14ac:dyDescent="0.3">
      <c r="A45" s="1"/>
    </row>
    <row r="46" spans="1:1" ht="15.75" customHeight="1" x14ac:dyDescent="0.3">
      <c r="A46" s="1"/>
    </row>
    <row r="47" spans="1:1" ht="15.75" customHeight="1" x14ac:dyDescent="0.3">
      <c r="A47" s="1"/>
    </row>
    <row r="48" spans="1:1" ht="15.75" customHeight="1" x14ac:dyDescent="0.3">
      <c r="A48" s="1"/>
    </row>
    <row r="49" spans="1:1" ht="15.75" customHeight="1" x14ac:dyDescent="0.3">
      <c r="A49" s="1"/>
    </row>
    <row r="50" spans="1:1" ht="15.75" customHeight="1" x14ac:dyDescent="0.3">
      <c r="A50" s="1"/>
    </row>
    <row r="51" spans="1:1" ht="15.75" customHeight="1" x14ac:dyDescent="0.3">
      <c r="A51" s="1"/>
    </row>
    <row r="52" spans="1:1" ht="15.75" customHeight="1" x14ac:dyDescent="0.3">
      <c r="A52" s="1"/>
    </row>
    <row r="53" spans="1:1" ht="15.75" customHeight="1" x14ac:dyDescent="0.3">
      <c r="A53" s="1"/>
    </row>
    <row r="54" spans="1:1" ht="15.75" customHeight="1" x14ac:dyDescent="0.3">
      <c r="A54" s="1"/>
    </row>
    <row r="55" spans="1:1" ht="15.75" customHeight="1" x14ac:dyDescent="0.3">
      <c r="A55" s="1"/>
    </row>
    <row r="56" spans="1:1" ht="15.75" customHeight="1" x14ac:dyDescent="0.3">
      <c r="A56" s="1"/>
    </row>
    <row r="57" spans="1:1" ht="15.75" customHeight="1" x14ac:dyDescent="0.3">
      <c r="A57" s="1"/>
    </row>
    <row r="58" spans="1:1" ht="15.75" customHeight="1" x14ac:dyDescent="0.3">
      <c r="A58" s="1"/>
    </row>
    <row r="59" spans="1:1" ht="15.75" customHeight="1" x14ac:dyDescent="0.3">
      <c r="A59" s="1"/>
    </row>
    <row r="60" spans="1:1" ht="15.75" customHeight="1" x14ac:dyDescent="0.3">
      <c r="A60" s="1"/>
    </row>
    <row r="61" spans="1:1" ht="15.75" customHeight="1" x14ac:dyDescent="0.3">
      <c r="A61" s="1"/>
    </row>
    <row r="62" spans="1:1" ht="15.75" customHeight="1" x14ac:dyDescent="0.3">
      <c r="A62" s="1"/>
    </row>
    <row r="63" spans="1:1" ht="15.75" customHeight="1" x14ac:dyDescent="0.3">
      <c r="A63" s="1"/>
    </row>
    <row r="64" spans="1:1" ht="15.75" customHeight="1" x14ac:dyDescent="0.3">
      <c r="A64" s="1"/>
    </row>
    <row r="65" spans="1:1" ht="15.75" customHeight="1" x14ac:dyDescent="0.3">
      <c r="A65" s="1"/>
    </row>
    <row r="66" spans="1:1" ht="15.75" customHeight="1" x14ac:dyDescent="0.3">
      <c r="A66" s="1"/>
    </row>
    <row r="67" spans="1:1" ht="15.75" customHeight="1" x14ac:dyDescent="0.3">
      <c r="A67" s="1"/>
    </row>
    <row r="68" spans="1:1" ht="15.75" customHeight="1" x14ac:dyDescent="0.3">
      <c r="A68" s="1"/>
    </row>
    <row r="69" spans="1:1" ht="15.75" customHeight="1" x14ac:dyDescent="0.3">
      <c r="A69" s="1"/>
    </row>
    <row r="70" spans="1:1" ht="15.75" customHeight="1" x14ac:dyDescent="0.3">
      <c r="A70" s="1"/>
    </row>
    <row r="71" spans="1:1" ht="15.75" customHeight="1" x14ac:dyDescent="0.3">
      <c r="A71" s="1"/>
    </row>
    <row r="72" spans="1:1" ht="15.75" customHeight="1" x14ac:dyDescent="0.3">
      <c r="A72" s="1"/>
    </row>
    <row r="73" spans="1:1" ht="15.75" customHeight="1" x14ac:dyDescent="0.3">
      <c r="A73" s="1"/>
    </row>
    <row r="74" spans="1:1" ht="15.75" customHeight="1" x14ac:dyDescent="0.3">
      <c r="A74" s="1"/>
    </row>
    <row r="75" spans="1:1" ht="15.75" customHeight="1" x14ac:dyDescent="0.3">
      <c r="A75" s="1"/>
    </row>
    <row r="76" spans="1:1" ht="15.75" customHeight="1" x14ac:dyDescent="0.3">
      <c r="A76" s="1"/>
    </row>
    <row r="77" spans="1:1" ht="15.75" customHeight="1" x14ac:dyDescent="0.3">
      <c r="A77" s="1"/>
    </row>
    <row r="78" spans="1:1" ht="15.75" customHeight="1" x14ac:dyDescent="0.3">
      <c r="A78" s="1"/>
    </row>
    <row r="79" spans="1:1" ht="15.75" customHeight="1" x14ac:dyDescent="0.3">
      <c r="A79" s="1"/>
    </row>
    <row r="80" spans="1:1" ht="15.75" customHeight="1" x14ac:dyDescent="0.3">
      <c r="A80" s="1"/>
    </row>
    <row r="81" spans="1:1" ht="15.75" customHeight="1" x14ac:dyDescent="0.3">
      <c r="A81" s="1"/>
    </row>
    <row r="82" spans="1:1" ht="15.75" customHeight="1" x14ac:dyDescent="0.3">
      <c r="A82" s="1"/>
    </row>
    <row r="83" spans="1:1" ht="15.75" customHeight="1" x14ac:dyDescent="0.3">
      <c r="A83" s="1"/>
    </row>
    <row r="84" spans="1:1" ht="15.75" customHeight="1" x14ac:dyDescent="0.3">
      <c r="A84" s="1"/>
    </row>
    <row r="85" spans="1:1" ht="15.75" customHeight="1" x14ac:dyDescent="0.3">
      <c r="A85" s="1"/>
    </row>
    <row r="86" spans="1:1" ht="15.75" customHeight="1" x14ac:dyDescent="0.3">
      <c r="A86" s="1"/>
    </row>
    <row r="87" spans="1:1" ht="15.75" customHeight="1" x14ac:dyDescent="0.3">
      <c r="A87" s="1"/>
    </row>
    <row r="88" spans="1:1" ht="15.75" customHeight="1" x14ac:dyDescent="0.3">
      <c r="A88" s="1"/>
    </row>
    <row r="89" spans="1:1" ht="15.75" customHeight="1" x14ac:dyDescent="0.3">
      <c r="A89" s="1"/>
    </row>
    <row r="90" spans="1:1" ht="15.75" customHeight="1" x14ac:dyDescent="0.3">
      <c r="A90" s="1"/>
    </row>
    <row r="91" spans="1:1" ht="15.75" customHeight="1" x14ac:dyDescent="0.3">
      <c r="A91" s="1"/>
    </row>
    <row r="92" spans="1:1" ht="15.75" customHeight="1" x14ac:dyDescent="0.3">
      <c r="A92" s="1"/>
    </row>
    <row r="93" spans="1:1" ht="15.75" customHeight="1" x14ac:dyDescent="0.3">
      <c r="A93" s="1"/>
    </row>
    <row r="94" spans="1:1" ht="15.75" customHeight="1" x14ac:dyDescent="0.3">
      <c r="A94" s="1"/>
    </row>
    <row r="95" spans="1:1" ht="15.75" customHeight="1" x14ac:dyDescent="0.3">
      <c r="A95" s="1"/>
    </row>
    <row r="96" spans="1:1" ht="15.75" customHeight="1" x14ac:dyDescent="0.3">
      <c r="A96" s="1"/>
    </row>
    <row r="97" spans="1:1" ht="15.75" customHeight="1" x14ac:dyDescent="0.3">
      <c r="A97" s="1"/>
    </row>
    <row r="98" spans="1:1" ht="15.75" customHeight="1" x14ac:dyDescent="0.3">
      <c r="A98" s="1"/>
    </row>
    <row r="99" spans="1:1" ht="15.75" customHeight="1" x14ac:dyDescent="0.3">
      <c r="A99" s="1"/>
    </row>
    <row r="100" spans="1:1" ht="15.75" customHeight="1" x14ac:dyDescent="0.3">
      <c r="A100" s="1"/>
    </row>
    <row r="101" spans="1:1" ht="15.75" customHeight="1" x14ac:dyDescent="0.3">
      <c r="A101" s="1"/>
    </row>
    <row r="102" spans="1:1" ht="15.75" customHeight="1" x14ac:dyDescent="0.3">
      <c r="A102" s="1"/>
    </row>
    <row r="103" spans="1:1" ht="15.75" customHeight="1" x14ac:dyDescent="0.3">
      <c r="A103" s="1"/>
    </row>
    <row r="104" spans="1:1" ht="15.75" customHeight="1" x14ac:dyDescent="0.3">
      <c r="A104" s="1"/>
    </row>
    <row r="105" spans="1:1" ht="15.75" customHeight="1" x14ac:dyDescent="0.3">
      <c r="A105" s="1"/>
    </row>
    <row r="106" spans="1:1" ht="15.75" customHeight="1" x14ac:dyDescent="0.3">
      <c r="A106" s="1"/>
    </row>
    <row r="107" spans="1:1" ht="15.75" customHeight="1" x14ac:dyDescent="0.3">
      <c r="A107" s="1"/>
    </row>
    <row r="108" spans="1:1" ht="15.75" customHeight="1" x14ac:dyDescent="0.3">
      <c r="A108" s="1"/>
    </row>
    <row r="109" spans="1:1" ht="15.75" customHeight="1" x14ac:dyDescent="0.3">
      <c r="A109" s="1"/>
    </row>
    <row r="110" spans="1:1" ht="15.75" customHeight="1" x14ac:dyDescent="0.3">
      <c r="A110" s="1"/>
    </row>
    <row r="111" spans="1:1" ht="15.75" customHeight="1" x14ac:dyDescent="0.3">
      <c r="A111" s="1"/>
    </row>
    <row r="112" spans="1:1" ht="15.75" customHeight="1" x14ac:dyDescent="0.3">
      <c r="A112" s="1"/>
    </row>
    <row r="113" spans="1:1" ht="15.75" customHeight="1" x14ac:dyDescent="0.3">
      <c r="A113" s="1"/>
    </row>
    <row r="114" spans="1:1" ht="15.75" customHeight="1" x14ac:dyDescent="0.3">
      <c r="A114" s="1"/>
    </row>
    <row r="115" spans="1:1" ht="15.75" customHeight="1" x14ac:dyDescent="0.3">
      <c r="A115" s="1"/>
    </row>
    <row r="116" spans="1:1" ht="15.75" customHeight="1" x14ac:dyDescent="0.3">
      <c r="A116" s="1"/>
    </row>
    <row r="117" spans="1:1" ht="15.75" customHeight="1" x14ac:dyDescent="0.3">
      <c r="A117" s="1"/>
    </row>
    <row r="118" spans="1:1" ht="15.75" customHeight="1" x14ac:dyDescent="0.3">
      <c r="A118" s="1"/>
    </row>
    <row r="119" spans="1:1" ht="15.75" customHeight="1" x14ac:dyDescent="0.3">
      <c r="A119" s="1"/>
    </row>
    <row r="120" spans="1:1" ht="15.75" customHeight="1" x14ac:dyDescent="0.3">
      <c r="A120" s="1"/>
    </row>
    <row r="121" spans="1:1" ht="15.75" customHeight="1" x14ac:dyDescent="0.3">
      <c r="A121" s="1"/>
    </row>
    <row r="122" spans="1:1" ht="15.75" customHeight="1" x14ac:dyDescent="0.3">
      <c r="A122" s="1"/>
    </row>
    <row r="123" spans="1:1" ht="15.75" customHeight="1" x14ac:dyDescent="0.3">
      <c r="A123" s="1"/>
    </row>
    <row r="124" spans="1:1" ht="15.75" customHeight="1" x14ac:dyDescent="0.3">
      <c r="A124" s="1"/>
    </row>
    <row r="125" spans="1:1" ht="15.75" customHeight="1" x14ac:dyDescent="0.3">
      <c r="A125" s="1"/>
    </row>
    <row r="126" spans="1:1" ht="15.75" customHeight="1" x14ac:dyDescent="0.3">
      <c r="A126" s="1"/>
    </row>
    <row r="127" spans="1:1" ht="15.75" customHeight="1" x14ac:dyDescent="0.3">
      <c r="A127" s="1"/>
    </row>
    <row r="128" spans="1:1" ht="15.75" customHeight="1" x14ac:dyDescent="0.3">
      <c r="A128" s="1"/>
    </row>
    <row r="129" spans="1:1" ht="15.75" customHeight="1" x14ac:dyDescent="0.3">
      <c r="A129" s="1"/>
    </row>
    <row r="130" spans="1:1" ht="15.75" customHeight="1" x14ac:dyDescent="0.3">
      <c r="A130" s="1"/>
    </row>
    <row r="131" spans="1:1" ht="15.75" customHeight="1" x14ac:dyDescent="0.3">
      <c r="A131" s="1"/>
    </row>
    <row r="132" spans="1:1" ht="15.75" customHeight="1" x14ac:dyDescent="0.3">
      <c r="A132" s="1"/>
    </row>
    <row r="133" spans="1:1" ht="15.75" customHeight="1" x14ac:dyDescent="0.3">
      <c r="A133" s="1"/>
    </row>
    <row r="134" spans="1:1" ht="15.75" customHeight="1" x14ac:dyDescent="0.3">
      <c r="A134" s="1"/>
    </row>
    <row r="135" spans="1:1" ht="15.75" customHeight="1" x14ac:dyDescent="0.3">
      <c r="A135" s="1"/>
    </row>
    <row r="136" spans="1:1" ht="15.75" customHeight="1" x14ac:dyDescent="0.3">
      <c r="A136" s="1"/>
    </row>
    <row r="137" spans="1:1" ht="15.75" customHeight="1" x14ac:dyDescent="0.3">
      <c r="A137" s="1"/>
    </row>
    <row r="138" spans="1:1" ht="15.75" customHeight="1" x14ac:dyDescent="0.3">
      <c r="A138" s="1"/>
    </row>
    <row r="139" spans="1:1" ht="15.75" customHeight="1" x14ac:dyDescent="0.3">
      <c r="A139" s="1"/>
    </row>
    <row r="140" spans="1:1" ht="15.75" customHeight="1" x14ac:dyDescent="0.3">
      <c r="A140" s="1"/>
    </row>
    <row r="141" spans="1:1" ht="15.75" customHeight="1" x14ac:dyDescent="0.3">
      <c r="A141" s="1"/>
    </row>
    <row r="142" spans="1:1" ht="15.75" customHeight="1" x14ac:dyDescent="0.3">
      <c r="A142" s="1"/>
    </row>
    <row r="143" spans="1:1" ht="15.75" customHeight="1" x14ac:dyDescent="0.3">
      <c r="A143" s="1"/>
    </row>
    <row r="144" spans="1:1" ht="15.75" customHeight="1" x14ac:dyDescent="0.3">
      <c r="A144" s="1"/>
    </row>
    <row r="145" spans="1:1" ht="15.75" customHeight="1" x14ac:dyDescent="0.3">
      <c r="A145" s="1"/>
    </row>
    <row r="146" spans="1:1" ht="15.75" customHeight="1" x14ac:dyDescent="0.3">
      <c r="A146" s="1"/>
    </row>
    <row r="147" spans="1:1" ht="15.75" customHeight="1" x14ac:dyDescent="0.3">
      <c r="A147" s="1"/>
    </row>
    <row r="148" spans="1:1" ht="15.75" customHeight="1" x14ac:dyDescent="0.3">
      <c r="A148" s="1"/>
    </row>
    <row r="149" spans="1:1" ht="15.75" customHeight="1" x14ac:dyDescent="0.3">
      <c r="A149" s="1"/>
    </row>
    <row r="150" spans="1:1" ht="15.75" customHeight="1" x14ac:dyDescent="0.3">
      <c r="A150" s="1"/>
    </row>
    <row r="151" spans="1:1" ht="15.75" customHeight="1" x14ac:dyDescent="0.3">
      <c r="A151" s="1"/>
    </row>
    <row r="152" spans="1:1" ht="15.75" customHeight="1" x14ac:dyDescent="0.3">
      <c r="A152" s="1"/>
    </row>
    <row r="153" spans="1:1" ht="15.75" customHeight="1" x14ac:dyDescent="0.3">
      <c r="A153" s="1"/>
    </row>
    <row r="154" spans="1:1" ht="15.75" customHeight="1" x14ac:dyDescent="0.3">
      <c r="A154" s="1"/>
    </row>
    <row r="155" spans="1:1" ht="15.75" customHeight="1" x14ac:dyDescent="0.3">
      <c r="A155" s="1"/>
    </row>
    <row r="156" spans="1:1" ht="15.75" customHeight="1" x14ac:dyDescent="0.3">
      <c r="A156" s="1"/>
    </row>
    <row r="157" spans="1:1" ht="15.75" customHeight="1" x14ac:dyDescent="0.3">
      <c r="A157" s="1"/>
    </row>
    <row r="158" spans="1:1" ht="15.75" customHeight="1" x14ac:dyDescent="0.3">
      <c r="A158" s="1"/>
    </row>
    <row r="159" spans="1:1" ht="15.75" customHeight="1" x14ac:dyDescent="0.3">
      <c r="A159" s="1"/>
    </row>
    <row r="160" spans="1:1" ht="15.75" customHeight="1" x14ac:dyDescent="0.3">
      <c r="A160" s="1"/>
    </row>
    <row r="161" spans="1:1" ht="15.75" customHeight="1" x14ac:dyDescent="0.3">
      <c r="A161" s="1"/>
    </row>
    <row r="162" spans="1:1" ht="15.75" customHeight="1" x14ac:dyDescent="0.3">
      <c r="A162" s="1"/>
    </row>
    <row r="163" spans="1:1" ht="15.75" customHeight="1" x14ac:dyDescent="0.3">
      <c r="A163" s="1"/>
    </row>
    <row r="164" spans="1:1" ht="15.75" customHeight="1" x14ac:dyDescent="0.3">
      <c r="A164" s="1"/>
    </row>
    <row r="165" spans="1:1" ht="15.75" customHeight="1" x14ac:dyDescent="0.3">
      <c r="A165" s="1"/>
    </row>
    <row r="166" spans="1:1" ht="15.75" customHeight="1" x14ac:dyDescent="0.3">
      <c r="A166" s="1"/>
    </row>
    <row r="167" spans="1:1" ht="15.75" customHeight="1" x14ac:dyDescent="0.3">
      <c r="A167" s="1"/>
    </row>
    <row r="168" spans="1:1" ht="15.75" customHeight="1" x14ac:dyDescent="0.3">
      <c r="A168" s="1"/>
    </row>
    <row r="169" spans="1:1" ht="15.75" customHeight="1" x14ac:dyDescent="0.3">
      <c r="A169" s="1"/>
    </row>
    <row r="170" spans="1:1" ht="15.75" customHeight="1" x14ac:dyDescent="0.3">
      <c r="A170" s="1"/>
    </row>
    <row r="171" spans="1:1" ht="15.75" customHeight="1" x14ac:dyDescent="0.3">
      <c r="A171" s="1"/>
    </row>
    <row r="172" spans="1:1" ht="15.75" customHeight="1" x14ac:dyDescent="0.3">
      <c r="A172" s="1"/>
    </row>
    <row r="173" spans="1:1" ht="15.75" customHeight="1" x14ac:dyDescent="0.3">
      <c r="A173" s="1"/>
    </row>
    <row r="174" spans="1:1" ht="15.75" customHeight="1" x14ac:dyDescent="0.3">
      <c r="A174" s="1"/>
    </row>
    <row r="175" spans="1:1" ht="15.75" customHeight="1" x14ac:dyDescent="0.3">
      <c r="A175" s="1"/>
    </row>
    <row r="176" spans="1:1" ht="15.75" customHeight="1" x14ac:dyDescent="0.3">
      <c r="A176" s="1"/>
    </row>
    <row r="177" spans="1:1" ht="15.75" customHeight="1" x14ac:dyDescent="0.3">
      <c r="A177" s="1"/>
    </row>
    <row r="178" spans="1:1" ht="15.75" customHeight="1" x14ac:dyDescent="0.3">
      <c r="A178" s="1"/>
    </row>
    <row r="179" spans="1:1" ht="15.75" customHeight="1" x14ac:dyDescent="0.3">
      <c r="A179" s="1"/>
    </row>
    <row r="180" spans="1:1" ht="15.75" customHeight="1" x14ac:dyDescent="0.3">
      <c r="A180" s="1"/>
    </row>
    <row r="181" spans="1:1" ht="15.75" customHeight="1" x14ac:dyDescent="0.3">
      <c r="A181" s="1"/>
    </row>
    <row r="182" spans="1:1" ht="15.75" customHeight="1" x14ac:dyDescent="0.3">
      <c r="A182" s="1"/>
    </row>
    <row r="183" spans="1:1" ht="15.75" customHeight="1" x14ac:dyDescent="0.3">
      <c r="A183" s="1"/>
    </row>
    <row r="184" spans="1:1" ht="15.75" customHeight="1" x14ac:dyDescent="0.3">
      <c r="A184" s="1"/>
    </row>
    <row r="185" spans="1:1" ht="15.75" customHeight="1" x14ac:dyDescent="0.3">
      <c r="A185" s="1"/>
    </row>
    <row r="186" spans="1:1" ht="15.75" customHeight="1" x14ac:dyDescent="0.3">
      <c r="A186" s="1"/>
    </row>
    <row r="187" spans="1:1" ht="15.75" customHeight="1" x14ac:dyDescent="0.3">
      <c r="A187" s="1"/>
    </row>
    <row r="188" spans="1:1" ht="15.75" customHeight="1" x14ac:dyDescent="0.3">
      <c r="A188" s="1"/>
    </row>
    <row r="189" spans="1:1" ht="15.75" customHeight="1" x14ac:dyDescent="0.3">
      <c r="A189" s="1"/>
    </row>
    <row r="190" spans="1:1" ht="15.75" customHeight="1" x14ac:dyDescent="0.3">
      <c r="A190" s="1"/>
    </row>
    <row r="191" spans="1:1" ht="15.75" customHeight="1" x14ac:dyDescent="0.3">
      <c r="A191" s="1"/>
    </row>
    <row r="192" spans="1:1" ht="15.75" customHeight="1" x14ac:dyDescent="0.3">
      <c r="A192" s="1"/>
    </row>
    <row r="193" spans="1:1" ht="15.75" customHeight="1" x14ac:dyDescent="0.3">
      <c r="A193" s="1"/>
    </row>
    <row r="194" spans="1:1" ht="15.75" customHeight="1" x14ac:dyDescent="0.3">
      <c r="A194" s="1"/>
    </row>
    <row r="195" spans="1:1" ht="15.75" customHeight="1" x14ac:dyDescent="0.3">
      <c r="A195" s="1"/>
    </row>
    <row r="196" spans="1:1" ht="15.75" customHeight="1" x14ac:dyDescent="0.3">
      <c r="A196" s="1"/>
    </row>
    <row r="197" spans="1:1" ht="15.75" customHeight="1" x14ac:dyDescent="0.3">
      <c r="A197" s="1"/>
    </row>
    <row r="198" spans="1:1" ht="15.75" customHeight="1" x14ac:dyDescent="0.3">
      <c r="A198" s="1"/>
    </row>
    <row r="199" spans="1:1" ht="15.75" customHeight="1" x14ac:dyDescent="0.3">
      <c r="A199" s="1"/>
    </row>
    <row r="200" spans="1:1" ht="15.75" customHeight="1" x14ac:dyDescent="0.3">
      <c r="A200" s="1"/>
    </row>
    <row r="201" spans="1:1" ht="15.75" customHeight="1" x14ac:dyDescent="0.3">
      <c r="A201" s="1"/>
    </row>
    <row r="202" spans="1:1" ht="15.75" customHeight="1" x14ac:dyDescent="0.3">
      <c r="A202" s="1"/>
    </row>
    <row r="203" spans="1:1" ht="15.75" customHeight="1" x14ac:dyDescent="0.3">
      <c r="A203" s="1"/>
    </row>
    <row r="204" spans="1:1" ht="15.75" customHeight="1" x14ac:dyDescent="0.3">
      <c r="A204" s="1"/>
    </row>
    <row r="205" spans="1:1" ht="15.75" customHeight="1" x14ac:dyDescent="0.3">
      <c r="A205" s="1"/>
    </row>
    <row r="206" spans="1:1" ht="15.75" customHeight="1" x14ac:dyDescent="0.3">
      <c r="A206" s="1"/>
    </row>
    <row r="207" spans="1:1" ht="15.75" customHeight="1" x14ac:dyDescent="0.3">
      <c r="A207" s="1"/>
    </row>
    <row r="208" spans="1:1" ht="15.75" customHeight="1" x14ac:dyDescent="0.3">
      <c r="A208" s="1"/>
    </row>
    <row r="209" spans="1:1" ht="15.75" customHeight="1" x14ac:dyDescent="0.3">
      <c r="A209" s="1"/>
    </row>
    <row r="210" spans="1:1" ht="15.75" customHeight="1" x14ac:dyDescent="0.3">
      <c r="A210" s="1"/>
    </row>
    <row r="211" spans="1:1" ht="15.75" customHeight="1" x14ac:dyDescent="0.3">
      <c r="A211" s="1"/>
    </row>
    <row r="212" spans="1:1" ht="15.75" customHeight="1" x14ac:dyDescent="0.3">
      <c r="A212" s="1"/>
    </row>
    <row r="213" spans="1:1" ht="15.75" customHeight="1" x14ac:dyDescent="0.3">
      <c r="A213" s="1"/>
    </row>
    <row r="214" spans="1:1" ht="15.75" customHeight="1" x14ac:dyDescent="0.3">
      <c r="A214" s="1"/>
    </row>
    <row r="215" spans="1:1" ht="15.75" customHeight="1" x14ac:dyDescent="0.3">
      <c r="A215" s="1"/>
    </row>
    <row r="216" spans="1:1" ht="15.75" customHeight="1" x14ac:dyDescent="0.3">
      <c r="A216" s="1"/>
    </row>
    <row r="217" spans="1:1" ht="15.75" customHeight="1" x14ac:dyDescent="0.3">
      <c r="A217" s="1"/>
    </row>
    <row r="218" spans="1:1" ht="15.75" customHeight="1" x14ac:dyDescent="0.3">
      <c r="A218" s="1"/>
    </row>
    <row r="219" spans="1:1" ht="15.75" customHeight="1" x14ac:dyDescent="0.3">
      <c r="A219" s="1"/>
    </row>
    <row r="220" spans="1:1" ht="15.75" customHeight="1" x14ac:dyDescent="0.3">
      <c r="A220" s="1"/>
    </row>
    <row r="221" spans="1:1" ht="15.75" customHeight="1" x14ac:dyDescent="0.3">
      <c r="A221" s="1"/>
    </row>
    <row r="222" spans="1:1" ht="15.75" customHeight="1" x14ac:dyDescent="0.3">
      <c r="A222" s="1"/>
    </row>
    <row r="223" spans="1:1" ht="15.75" customHeight="1" x14ac:dyDescent="0.3">
      <c r="A223" s="1"/>
    </row>
    <row r="224" spans="1:1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F3:I3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S1:AG1000"/>
  <sheetViews>
    <sheetView showGridLines="0" workbookViewId="0"/>
  </sheetViews>
  <sheetFormatPr defaultColWidth="12.6328125" defaultRowHeight="15" customHeight="1" x14ac:dyDescent="0.25"/>
  <cols>
    <col min="1" max="6" width="12.6328125" customWidth="1"/>
  </cols>
  <sheetData>
    <row r="1" spans="19:33" ht="15.75" customHeight="1" x14ac:dyDescent="0.25">
      <c r="S1" s="2" t="str">
        <f>Input!A1</f>
        <v>Number</v>
      </c>
      <c r="T1" s="2" t="str">
        <f>Input!B1</f>
        <v>Date:</v>
      </c>
      <c r="U1" s="2" t="str">
        <f>Input!C1</f>
        <v>Bill To:</v>
      </c>
      <c r="V1" s="2" t="str">
        <f>Input!D1</f>
        <v>Total:</v>
      </c>
      <c r="W1" s="2" t="str">
        <f>Input!E1</f>
        <v>Subtotal:</v>
      </c>
      <c r="X1" s="2" t="str">
        <f>Input!F1</f>
        <v>Log 6</v>
      </c>
      <c r="Y1" s="2" t="str">
        <f>Input!G1</f>
        <v>Log 7</v>
      </c>
      <c r="Z1" s="2" t="str">
        <f>Input!H1</f>
        <v>Log 8</v>
      </c>
      <c r="AA1" s="2" t="str">
        <f>Input!I1</f>
        <v>Log 9</v>
      </c>
      <c r="AB1" s="2" t="str">
        <f>Input!J1</f>
        <v>Log 10</v>
      </c>
      <c r="AC1" s="2" t="str">
        <f>Input!K1</f>
        <v>Log 11</v>
      </c>
      <c r="AD1" s="2" t="str">
        <f>Input!L1</f>
        <v>Log 12</v>
      </c>
      <c r="AE1" s="2" t="str">
        <f>Input!M1</f>
        <v>Date Paid:</v>
      </c>
      <c r="AF1" s="2" t="str">
        <f>Input!N1</f>
        <v>Via:</v>
      </c>
      <c r="AG1" s="2" t="str">
        <f>Input!O1</f>
        <v>Date Shipped:</v>
      </c>
    </row>
    <row r="2" spans="19:33" ht="15.75" customHeight="1" x14ac:dyDescent="0.25"/>
    <row r="3" spans="19:33" ht="15.75" customHeight="1" x14ac:dyDescent="0.25"/>
    <row r="4" spans="19:33" ht="15.75" customHeight="1" x14ac:dyDescent="0.25"/>
    <row r="5" spans="19:33" ht="15.75" customHeight="1" x14ac:dyDescent="0.25"/>
    <row r="6" spans="19:33" ht="15.75" customHeight="1" x14ac:dyDescent="0.25"/>
    <row r="7" spans="19:33" ht="15.75" customHeight="1" x14ac:dyDescent="0.25"/>
    <row r="8" spans="19:33" ht="15.75" customHeight="1" x14ac:dyDescent="0.25"/>
    <row r="9" spans="19:33" ht="15.75" customHeight="1" x14ac:dyDescent="0.25"/>
    <row r="10" spans="19:33" ht="15.75" customHeight="1" x14ac:dyDescent="0.25"/>
    <row r="11" spans="19:33" ht="15.75" customHeight="1" x14ac:dyDescent="0.25"/>
    <row r="12" spans="19:33" ht="15.75" customHeight="1" x14ac:dyDescent="0.25"/>
    <row r="13" spans="19:33" ht="15.75" customHeight="1" x14ac:dyDescent="0.25"/>
    <row r="14" spans="19:33" ht="15.75" customHeight="1" x14ac:dyDescent="0.25"/>
    <row r="15" spans="19:33" ht="15.75" customHeight="1" x14ac:dyDescent="0.25"/>
    <row r="16" spans="19:33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1000"/>
  <sheetViews>
    <sheetView showGridLines="0" tabSelected="1" workbookViewId="0">
      <selection activeCell="A21" sqref="A21"/>
    </sheetView>
  </sheetViews>
  <sheetFormatPr defaultColWidth="12.6328125" defaultRowHeight="15" customHeight="1" x14ac:dyDescent="0.25"/>
  <cols>
    <col min="1" max="1" width="30.6328125" customWidth="1"/>
    <col min="2" max="6" width="12.6328125" customWidth="1"/>
  </cols>
  <sheetData>
    <row r="1" spans="1:17" ht="15.75" customHeight="1" x14ac:dyDescent="0.4">
      <c r="A1" s="4"/>
      <c r="B1" s="4"/>
      <c r="C1" s="4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75" customHeight="1" x14ac:dyDescent="0.4">
      <c r="A2" s="4"/>
      <c r="B2" s="4"/>
      <c r="C2" s="4"/>
      <c r="D2" s="4"/>
      <c r="E2" s="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ht="21.75" customHeight="1" x14ac:dyDescent="0.4">
      <c r="A3" s="36" t="s">
        <v>9</v>
      </c>
      <c r="B3" s="34"/>
      <c r="C3" s="34"/>
      <c r="D3" s="34"/>
      <c r="E3" s="3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5"/>
    </row>
    <row r="4" spans="1:17" ht="15.75" customHeight="1" x14ac:dyDescent="0.25">
      <c r="A4" s="37"/>
      <c r="B4" s="34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5"/>
    </row>
    <row r="5" spans="1:17" ht="15.75" customHeight="1" x14ac:dyDescent="0.25">
      <c r="A5" s="37" t="s">
        <v>18</v>
      </c>
      <c r="B5" s="34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5"/>
    </row>
    <row r="6" spans="1:17" ht="15.75" customHeight="1" x14ac:dyDescent="0.25">
      <c r="A6" s="37" t="s">
        <v>19</v>
      </c>
      <c r="B6" s="34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5"/>
    </row>
    <row r="7" spans="1:17" ht="15.75" customHeight="1" x14ac:dyDescent="0.25">
      <c r="A7" s="37" t="s">
        <v>20</v>
      </c>
      <c r="B7" s="34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5"/>
    </row>
    <row r="8" spans="1:17" ht="15.75" customHeight="1" x14ac:dyDescent="0.25">
      <c r="A8" s="37" t="s">
        <v>21</v>
      </c>
      <c r="B8" s="3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5"/>
    </row>
    <row r="9" spans="1:17" ht="15.75" customHeight="1" x14ac:dyDescent="0.25">
      <c r="A9" s="37"/>
      <c r="B9" s="34"/>
      <c r="C9" s="34"/>
      <c r="D9" s="34"/>
      <c r="E9" s="34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5"/>
    </row>
    <row r="10" spans="1:17" ht="15.75" customHeight="1" x14ac:dyDescent="0.4">
      <c r="A10" s="38" t="s">
        <v>22</v>
      </c>
      <c r="B10" s="34"/>
      <c r="C10" s="34"/>
      <c r="D10" s="34"/>
      <c r="E10" s="34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5"/>
    </row>
    <row r="11" spans="1:17" ht="15.75" customHeight="1" x14ac:dyDescent="0.3">
      <c r="A11" s="1" t="s">
        <v>23</v>
      </c>
      <c r="B11" s="2">
        <f>Log!A10+1</f>
        <v>1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5"/>
    </row>
    <row r="12" spans="1:17" ht="15.75" customHeight="1" x14ac:dyDescent="0.3">
      <c r="A12" s="39" t="s">
        <v>24</v>
      </c>
      <c r="B12" s="34"/>
      <c r="C12" s="2"/>
      <c r="D12" s="33" t="s">
        <v>25</v>
      </c>
      <c r="E12" s="34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5"/>
    </row>
    <row r="13" spans="1:17" ht="15.75" customHeight="1" x14ac:dyDescent="0.25">
      <c r="A13" s="37" t="s">
        <v>26</v>
      </c>
      <c r="B13" s="34"/>
      <c r="C13" s="2"/>
      <c r="D13" s="35">
        <f ca="1">TODAY()</f>
        <v>45718</v>
      </c>
      <c r="E13" s="34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5"/>
    </row>
    <row r="14" spans="1:17" ht="15.75" customHeight="1" x14ac:dyDescent="0.25">
      <c r="A14" s="37" t="str">
        <f>VLOOKUP(A13, contacts!A:CJ, 44, FALSE)</f>
        <v>Company</v>
      </c>
      <c r="B14" s="3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5"/>
    </row>
    <row r="15" spans="1:17" ht="15.75" customHeight="1" x14ac:dyDescent="0.25">
      <c r="A15" s="37" t="str">
        <f>VLOOKUP(A13, contacts!A:CJ, 26, FALSE)</f>
        <v>Home Street</v>
      </c>
      <c r="B15" s="3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5"/>
    </row>
    <row r="16" spans="1:17" ht="15.75" customHeight="1" x14ac:dyDescent="0.25">
      <c r="A16" s="37" t="str">
        <f>VLOOKUP(A13, contacts!A:CJ, 30, FALSE) &amp; ", " &amp; VLOOKUP(A13, contacts!A:CJ, 31, FALSE) &amp; "   " &amp; VLOOKUP(A13, contacts!A:CJ, 32, FALSE)</f>
        <v>Home City, Home State   Home Postal Code</v>
      </c>
      <c r="B16" s="3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5"/>
    </row>
    <row r="17" spans="1:17" ht="15.75" customHeight="1" x14ac:dyDescent="0.25">
      <c r="A17" s="40" t="str">
        <f>HYPERLINK(VLOOKUP(A13, contacts!A:CJ, 16, FALSE))</f>
        <v>E-mail Address</v>
      </c>
      <c r="B17" s="3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5"/>
    </row>
    <row r="18" spans="1:17" ht="15.75" customHeight="1" x14ac:dyDescent="0.25">
      <c r="A18" s="37" t="str">
        <f>VLOOKUP(A13, contacts!A:CJ, 40, FALSE)</f>
        <v>Business Phone</v>
      </c>
      <c r="B18" s="3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</row>
    <row r="19" spans="1:17" ht="15.75" customHeight="1" x14ac:dyDescent="0.25">
      <c r="A19" s="37"/>
      <c r="B19" s="3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5"/>
    </row>
    <row r="20" spans="1:17" ht="15.75" customHeight="1" x14ac:dyDescent="0.3">
      <c r="A20" s="8" t="s">
        <v>27</v>
      </c>
      <c r="B20" s="8" t="s">
        <v>28</v>
      </c>
      <c r="C20" s="8" t="s">
        <v>2</v>
      </c>
      <c r="D20" s="8" t="s">
        <v>29</v>
      </c>
      <c r="E20" s="2"/>
      <c r="F20" s="2" t="str">
        <f>Inventory!B1</f>
        <v>Quantity in Stock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5"/>
    </row>
    <row r="21" spans="1:17" ht="15.75" customHeight="1" x14ac:dyDescent="0.25">
      <c r="A21" s="9"/>
      <c r="B21" s="9"/>
      <c r="C21" s="10" t="str">
        <f>IFERROR(VLOOKUP(A21,Inventory!$A$2:$CL$9341,3,FALSE), "")</f>
        <v/>
      </c>
      <c r="D21" s="11">
        <f t="shared" ref="D21:D30" si="0">IFERROR($B21*$C21,0)</f>
        <v>0</v>
      </c>
      <c r="E21" s="2" t="str">
        <f>IFERROR(VLOOKUP(A21,Inventory!$A$2:$CL$9341,6,FALSE), "")</f>
        <v/>
      </c>
      <c r="F21" s="2" t="str">
        <f>IFERROR(VLOOKUP(A21,Inventory!$A$2:$CL$9341,2,FALSE), "")</f>
        <v/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5"/>
    </row>
    <row r="22" spans="1:17" ht="15.75" customHeight="1" x14ac:dyDescent="0.25">
      <c r="A22" s="9"/>
      <c r="B22" s="9"/>
      <c r="C22" s="10" t="str">
        <f>IFERROR(VLOOKUP(A22,Inventory!$A$2:$CL$9341,3,FALSE), "")</f>
        <v/>
      </c>
      <c r="D22" s="11">
        <f t="shared" si="0"/>
        <v>0</v>
      </c>
      <c r="E22" s="2" t="str">
        <f>IFERROR(VLOOKUP(A22,Inventory!$A$2:$CL$9341,6,FALSE), "")</f>
        <v/>
      </c>
      <c r="F22" s="2" t="str">
        <f>IFERROR(VLOOKUP(A22,Inventory!$A$2:$CL$9341,2,FALSE), "")</f>
        <v/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5"/>
    </row>
    <row r="23" spans="1:17" ht="15.75" customHeight="1" x14ac:dyDescent="0.25">
      <c r="A23" s="9"/>
      <c r="B23" s="9"/>
      <c r="C23" s="10" t="str">
        <f>IFERROR(VLOOKUP(A23,Inventory!$A$2:$CL$9341,3,FALSE), "")</f>
        <v/>
      </c>
      <c r="D23" s="11">
        <f t="shared" si="0"/>
        <v>0</v>
      </c>
      <c r="E23" s="2" t="str">
        <f>IFERROR(VLOOKUP(A23,Inventory!$A$2:$CL$9341,6,FALSE), "")</f>
        <v/>
      </c>
      <c r="F23" s="2" t="str">
        <f>IFERROR(VLOOKUP(A23,Inventory!$A$2:$CL$9341,2,FALSE), "")</f>
        <v/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5"/>
    </row>
    <row r="24" spans="1:17" ht="15.75" customHeight="1" x14ac:dyDescent="0.25">
      <c r="A24" s="9"/>
      <c r="B24" s="9"/>
      <c r="C24" s="10" t="str">
        <f>IFERROR(VLOOKUP(A24,Inventory!$A$2:$CL$9341,3,FALSE), "")</f>
        <v/>
      </c>
      <c r="D24" s="11">
        <f t="shared" si="0"/>
        <v>0</v>
      </c>
      <c r="E24" s="2" t="str">
        <f>IFERROR(VLOOKUP(A24,Inventory!$A$2:$CL$9341,6,FALSE), "")</f>
        <v/>
      </c>
      <c r="F24" s="2" t="str">
        <f>IFERROR(VLOOKUP(A24,Inventory!$A$2:$CL$9341,2,FALSE), "")</f>
        <v/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5"/>
    </row>
    <row r="25" spans="1:17" ht="15.75" customHeight="1" x14ac:dyDescent="0.25">
      <c r="A25" s="9"/>
      <c r="B25" s="9"/>
      <c r="C25" s="10" t="str">
        <f>IFERROR(VLOOKUP(A25,Inventory!$A$2:$CL$9341,3,FALSE), "")</f>
        <v/>
      </c>
      <c r="D25" s="11">
        <f t="shared" si="0"/>
        <v>0</v>
      </c>
      <c r="E25" s="2" t="str">
        <f>IFERROR(VLOOKUP(A25,Inventory!$A$2:$CL$9341,6,FALSE), "")</f>
        <v/>
      </c>
      <c r="F25" s="2" t="str">
        <f>IFERROR(VLOOKUP(A25,Inventory!$A$2:$CL$9341,2,FALSE), "")</f>
        <v/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5"/>
    </row>
    <row r="26" spans="1:17" ht="15.75" customHeight="1" x14ac:dyDescent="0.25">
      <c r="A26" s="9"/>
      <c r="B26" s="9"/>
      <c r="C26" s="10" t="str">
        <f>IFERROR(VLOOKUP(A26,Inventory!$A$2:$CL$9341,3,FALSE), "")</f>
        <v/>
      </c>
      <c r="D26" s="11">
        <f t="shared" si="0"/>
        <v>0</v>
      </c>
      <c r="E26" s="2" t="str">
        <f>IFERROR(VLOOKUP(A26,Inventory!$A$2:$CL$9341,6,FALSE), "")</f>
        <v/>
      </c>
      <c r="F26" s="2" t="str">
        <f>IFERROR(VLOOKUP(A26,Inventory!$A$2:$CL$9341,2,FALSE), "")</f>
        <v/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5"/>
    </row>
    <row r="27" spans="1:17" ht="15.75" customHeight="1" x14ac:dyDescent="0.25">
      <c r="A27" s="9"/>
      <c r="B27" s="9"/>
      <c r="C27" s="10" t="str">
        <f>IFERROR(VLOOKUP(A27,Inventory!$A$2:$CL$9341,3,FALSE), "")</f>
        <v/>
      </c>
      <c r="D27" s="11">
        <f t="shared" si="0"/>
        <v>0</v>
      </c>
      <c r="E27" s="2" t="str">
        <f>IFERROR(VLOOKUP(A27,Inventory!$A$2:$CL$9341,6,FALSE), "")</f>
        <v/>
      </c>
      <c r="F27" s="2" t="str">
        <f>IFERROR(VLOOKUP(A27,Inventory!$A$2:$CL$9341,2,FALSE), "")</f>
        <v/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5"/>
    </row>
    <row r="28" spans="1:17" ht="15.75" customHeight="1" x14ac:dyDescent="0.25">
      <c r="A28" s="9"/>
      <c r="B28" s="9"/>
      <c r="C28" s="10" t="str">
        <f>IFERROR(VLOOKUP(A28,Inventory!$A$2:$CL$9341,3,FALSE), "")</f>
        <v/>
      </c>
      <c r="D28" s="11">
        <f t="shared" si="0"/>
        <v>0</v>
      </c>
      <c r="E28" s="2" t="str">
        <f>IFERROR(VLOOKUP(A28,Inventory!$A$2:$CL$9341,6,FALSE), "")</f>
        <v/>
      </c>
      <c r="F28" s="2" t="str">
        <f>IFERROR(VLOOKUP(A28,Inventory!$A$2:$CL$9341,2,FALSE), "")</f>
        <v/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5"/>
    </row>
    <row r="29" spans="1:17" ht="15.75" customHeight="1" x14ac:dyDescent="0.25">
      <c r="A29" s="9"/>
      <c r="B29" s="9"/>
      <c r="C29" s="10" t="str">
        <f>IFERROR(VLOOKUP(A29,Inventory!$A$2:$CL$9341,3,FALSE), "")</f>
        <v/>
      </c>
      <c r="D29" s="11">
        <f t="shared" si="0"/>
        <v>0</v>
      </c>
      <c r="E29" s="2" t="str">
        <f>IFERROR(VLOOKUP(A29,Inventory!$A$2:$CL$9341,6,FALSE), "")</f>
        <v/>
      </c>
      <c r="F29" s="2" t="str">
        <f>IFERROR(VLOOKUP(A29,Inventory!$A$2:$CL$9341,2,FALSE), "")</f>
        <v/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5"/>
    </row>
    <row r="30" spans="1:17" ht="15.75" customHeight="1" x14ac:dyDescent="0.25">
      <c r="A30" s="9"/>
      <c r="B30" s="9"/>
      <c r="C30" s="10" t="str">
        <f>IFERROR(VLOOKUP(A30,Inventory!$A$2:$CL$9341,3,FALSE), "")</f>
        <v/>
      </c>
      <c r="D30" s="11">
        <f t="shared" si="0"/>
        <v>0</v>
      </c>
      <c r="E30" s="2" t="str">
        <f>IFERROR(VLOOKUP(A30,Inventory!$A$2:$CL$9341,6,FALSE), "")</f>
        <v/>
      </c>
      <c r="F30" s="2" t="str">
        <f>IFERROR(VLOOKUP(A30,Inventory!$A$2:$CL$9341,2,FALSE), "")</f>
        <v/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5"/>
    </row>
    <row r="31" spans="1:17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5"/>
    </row>
    <row r="32" spans="1:17" ht="15.75" customHeight="1" x14ac:dyDescent="0.3">
      <c r="A32" s="2"/>
      <c r="B32" s="2"/>
      <c r="C32" s="7" t="s">
        <v>30</v>
      </c>
      <c r="D32" s="12">
        <f>SUM(D21:D30)</f>
        <v>0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5"/>
    </row>
    <row r="33" spans="1:17" ht="15.75" customHeight="1" x14ac:dyDescent="0.3">
      <c r="A33" s="2"/>
      <c r="B33" s="1" t="s">
        <v>31</v>
      </c>
      <c r="C33" s="13">
        <v>7.0000000000000007E-2</v>
      </c>
      <c r="D33" s="12">
        <f>D32*C33</f>
        <v>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5"/>
    </row>
    <row r="34" spans="1:17" ht="15.75" customHeight="1" x14ac:dyDescent="0.3">
      <c r="A34" s="2"/>
      <c r="B34" s="2"/>
      <c r="C34" s="7" t="s">
        <v>32</v>
      </c>
      <c r="D34" s="12">
        <f>D32+D33</f>
        <v>0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5"/>
    </row>
    <row r="35" spans="1:17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5"/>
    </row>
    <row r="36" spans="1:17" ht="15.75" customHeight="1" x14ac:dyDescent="0.3">
      <c r="A36" s="39" t="s">
        <v>33</v>
      </c>
      <c r="B36" s="34"/>
      <c r="C36" s="34"/>
      <c r="D36" s="34"/>
      <c r="E36" s="3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5"/>
    </row>
    <row r="37" spans="1:17" ht="15.75" customHeight="1" x14ac:dyDescent="0.25">
      <c r="A37" s="37" t="s">
        <v>34</v>
      </c>
      <c r="B37" s="34"/>
      <c r="C37" s="34"/>
      <c r="D37" s="34"/>
      <c r="E37" s="3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5"/>
    </row>
    <row r="38" spans="1:17" ht="15.75" customHeight="1" x14ac:dyDescent="0.3">
      <c r="A38" s="14" t="s">
        <v>35</v>
      </c>
      <c r="B38" s="1" t="s">
        <v>36</v>
      </c>
      <c r="C38" s="1" t="s">
        <v>37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5"/>
    </row>
    <row r="39" spans="1:17" ht="15.75" customHeight="1" x14ac:dyDescent="0.25">
      <c r="A39" s="1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5"/>
    </row>
    <row r="40" spans="1:17" ht="15.75" customHeight="1" x14ac:dyDescent="0.25">
      <c r="A40" s="1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5"/>
    </row>
    <row r="41" spans="1:17" ht="15.75" customHeight="1" x14ac:dyDescent="0.25">
      <c r="A41" s="1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5"/>
    </row>
    <row r="42" spans="1:17" ht="15.75" customHeight="1" x14ac:dyDescent="0.25">
      <c r="A42" s="15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5"/>
    </row>
    <row r="43" spans="1:17" ht="15.75" customHeight="1" x14ac:dyDescent="0.25">
      <c r="A43" s="15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5"/>
    </row>
    <row r="44" spans="1:17" ht="15.75" customHeight="1" x14ac:dyDescent="0.25">
      <c r="A44" s="15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5"/>
    </row>
    <row r="45" spans="1:17" ht="15.75" customHeight="1" x14ac:dyDescent="0.25">
      <c r="A45" s="15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5"/>
    </row>
    <row r="46" spans="1:17" ht="15.75" customHeight="1" x14ac:dyDescent="0.25">
      <c r="A46" s="15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5"/>
    </row>
    <row r="47" spans="1:17" ht="15.75" customHeight="1" x14ac:dyDescent="0.25">
      <c r="A47" s="15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5"/>
    </row>
    <row r="48" spans="1:17" ht="15.75" customHeight="1" x14ac:dyDescent="0.25">
      <c r="A48" s="15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5"/>
    </row>
    <row r="49" spans="1:17" ht="15.75" customHeight="1" x14ac:dyDescent="0.25">
      <c r="A49" s="15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5"/>
    </row>
    <row r="50" spans="1:17" ht="15.75" customHeight="1" x14ac:dyDescent="0.25">
      <c r="A50" s="15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5"/>
    </row>
    <row r="51" spans="1:17" ht="15.75" customHeight="1" x14ac:dyDescent="0.25">
      <c r="A51" s="15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5"/>
    </row>
    <row r="52" spans="1:17" ht="15.75" customHeight="1" x14ac:dyDescent="0.25">
      <c r="A52" s="15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5"/>
    </row>
    <row r="53" spans="1:17" ht="15.75" customHeight="1" x14ac:dyDescent="0.25">
      <c r="A53" s="15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5"/>
    </row>
    <row r="54" spans="1:17" ht="15.75" customHeight="1" x14ac:dyDescent="0.25">
      <c r="A54" s="16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8"/>
    </row>
    <row r="55" spans="1:17" ht="15.75" customHeight="1" x14ac:dyDescent="0.25"/>
    <row r="56" spans="1:17" ht="15.75" customHeight="1" x14ac:dyDescent="0.25"/>
    <row r="57" spans="1:17" ht="15.75" customHeight="1" x14ac:dyDescent="0.25"/>
    <row r="58" spans="1:17" ht="15.75" customHeight="1" x14ac:dyDescent="0.25"/>
    <row r="59" spans="1:17" ht="15.75" customHeight="1" x14ac:dyDescent="0.25"/>
    <row r="60" spans="1:17" ht="15.75" customHeight="1" x14ac:dyDescent="0.25"/>
    <row r="61" spans="1:17" ht="15.75" customHeight="1" x14ac:dyDescent="0.25"/>
    <row r="62" spans="1:17" ht="15.75" customHeight="1" x14ac:dyDescent="0.25"/>
    <row r="63" spans="1:17" ht="15.75" customHeight="1" x14ac:dyDescent="0.25"/>
    <row r="64" spans="1:1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A18:B18"/>
    <mergeCell ref="A19:B19"/>
    <mergeCell ref="A36:E36"/>
    <mergeCell ref="A37:E37"/>
    <mergeCell ref="A8:B8"/>
    <mergeCell ref="A12:B12"/>
    <mergeCell ref="A13:B13"/>
    <mergeCell ref="A14:B14"/>
    <mergeCell ref="A15:B15"/>
    <mergeCell ref="A16:B16"/>
    <mergeCell ref="A17:B17"/>
    <mergeCell ref="D12:E12"/>
    <mergeCell ref="D13:E13"/>
    <mergeCell ref="A3:E3"/>
    <mergeCell ref="A4:B4"/>
    <mergeCell ref="A5:B5"/>
    <mergeCell ref="A6:B6"/>
    <mergeCell ref="A7:B7"/>
    <mergeCell ref="A9:E9"/>
    <mergeCell ref="A10:E10"/>
  </mergeCell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0000000}">
          <x14:formula1>
            <xm:f>Inventory!$A:$A</xm:f>
          </x14:formula1>
          <xm:sqref>A21:A30</xm:sqref>
        </x14:dataValidation>
        <x14:dataValidation type="list" allowBlank="1" showErrorMessage="1" xr:uid="{00000000-0002-0000-0100-000001000000}">
          <x14:formula1>
            <xm:f>contacts!$A:$A</xm:f>
          </x14:formula1>
          <xm:sqref>A13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Q1000"/>
  <sheetViews>
    <sheetView showGridLines="0" workbookViewId="0"/>
  </sheetViews>
  <sheetFormatPr defaultColWidth="12.6328125" defaultRowHeight="15" customHeight="1" x14ac:dyDescent="0.25"/>
  <cols>
    <col min="1" max="1" width="30.6328125" customWidth="1"/>
    <col min="2" max="6" width="12.6328125" customWidth="1"/>
  </cols>
  <sheetData>
    <row r="1" spans="1:17" ht="15.75" customHeight="1" x14ac:dyDescent="0.25">
      <c r="A1" s="19" t="str">
        <f>A11</f>
        <v>Number</v>
      </c>
      <c r="B1" s="19" t="str">
        <f t="shared" ref="B1:B2" si="0">D12</f>
        <v>Date:</v>
      </c>
      <c r="C1" s="19" t="str">
        <f t="shared" ref="C1:C2" si="1">A12</f>
        <v>Bill To:</v>
      </c>
      <c r="D1" s="19" t="str">
        <f>C34</f>
        <v>Total:</v>
      </c>
      <c r="E1" s="19" t="str">
        <f>C32</f>
        <v>Subtotal:</v>
      </c>
      <c r="F1" s="19" t="s">
        <v>38</v>
      </c>
      <c r="G1" s="19" t="s">
        <v>39</v>
      </c>
      <c r="H1" s="19" t="s">
        <v>40</v>
      </c>
      <c r="I1" s="19" t="s">
        <v>41</v>
      </c>
      <c r="J1" s="19" t="s">
        <v>42</v>
      </c>
      <c r="K1" s="19" t="s">
        <v>43</v>
      </c>
      <c r="L1" s="19" t="s">
        <v>44</v>
      </c>
      <c r="M1" s="19" t="str">
        <f t="shared" ref="M1:O1" si="2">A38</f>
        <v>Date Paid:</v>
      </c>
      <c r="N1" s="19" t="str">
        <f t="shared" si="2"/>
        <v>Via:</v>
      </c>
      <c r="O1" s="20" t="str">
        <f t="shared" si="2"/>
        <v>Date Shipped:</v>
      </c>
      <c r="P1" s="41"/>
      <c r="Q1" s="43" t="s">
        <v>45</v>
      </c>
    </row>
    <row r="2" spans="1:17" ht="15.75" customHeight="1" x14ac:dyDescent="0.25">
      <c r="A2" s="9">
        <f>B11</f>
        <v>1</v>
      </c>
      <c r="B2" s="21">
        <f t="shared" ca="1" si="0"/>
        <v>45718</v>
      </c>
      <c r="C2" s="9" t="str">
        <f t="shared" si="1"/>
        <v>First Name Middle Name Last Name</v>
      </c>
      <c r="D2" s="22">
        <f>D34</f>
        <v>0</v>
      </c>
      <c r="E2" s="22">
        <f>D32</f>
        <v>0</v>
      </c>
      <c r="F2" s="9"/>
      <c r="G2" s="9"/>
      <c r="H2" s="9"/>
      <c r="I2" s="9"/>
      <c r="J2" s="9"/>
      <c r="K2" s="9"/>
      <c r="L2" s="9"/>
      <c r="M2" s="9"/>
      <c r="N2" s="9"/>
      <c r="O2" s="23"/>
      <c r="P2" s="42"/>
      <c r="Q2" s="44"/>
    </row>
    <row r="3" spans="1:17" ht="20.25" customHeight="1" x14ac:dyDescent="0.4">
      <c r="A3" s="36" t="s">
        <v>9</v>
      </c>
      <c r="B3" s="34"/>
      <c r="C3" s="34"/>
      <c r="D3" s="34"/>
      <c r="E3" s="3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5"/>
    </row>
    <row r="4" spans="1:17" ht="15.75" customHeight="1" x14ac:dyDescent="0.25">
      <c r="A4" s="37"/>
      <c r="B4" s="34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5"/>
    </row>
    <row r="5" spans="1:17" ht="15.75" customHeight="1" x14ac:dyDescent="0.25">
      <c r="A5" s="37" t="s">
        <v>18</v>
      </c>
      <c r="B5" s="34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5"/>
    </row>
    <row r="6" spans="1:17" ht="15.75" customHeight="1" x14ac:dyDescent="0.25">
      <c r="A6" s="37" t="s">
        <v>19</v>
      </c>
      <c r="B6" s="34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5"/>
    </row>
    <row r="7" spans="1:17" ht="15.75" customHeight="1" x14ac:dyDescent="0.25">
      <c r="A7" s="37" t="s">
        <v>20</v>
      </c>
      <c r="B7" s="34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5"/>
    </row>
    <row r="8" spans="1:17" ht="15.75" customHeight="1" x14ac:dyDescent="0.25">
      <c r="A8" s="37" t="s">
        <v>21</v>
      </c>
      <c r="B8" s="3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5"/>
    </row>
    <row r="9" spans="1:17" ht="15.75" customHeight="1" x14ac:dyDescent="0.25">
      <c r="A9" s="37"/>
      <c r="B9" s="34"/>
      <c r="C9" s="34"/>
      <c r="D9" s="34"/>
      <c r="E9" s="34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5"/>
    </row>
    <row r="10" spans="1:17" ht="15.75" customHeight="1" x14ac:dyDescent="0.4">
      <c r="A10" s="38" t="s">
        <v>22</v>
      </c>
      <c r="B10" s="34"/>
      <c r="C10" s="34"/>
      <c r="D10" s="34"/>
      <c r="E10" s="34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5"/>
    </row>
    <row r="11" spans="1:17" ht="15.75" customHeight="1" x14ac:dyDescent="0.3">
      <c r="A11" s="1" t="s">
        <v>23</v>
      </c>
      <c r="B11" s="2">
        <f>Log!A10+1</f>
        <v>1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5"/>
    </row>
    <row r="12" spans="1:17" ht="15.75" customHeight="1" x14ac:dyDescent="0.3">
      <c r="A12" s="39" t="s">
        <v>24</v>
      </c>
      <c r="B12" s="34"/>
      <c r="C12" s="2"/>
      <c r="D12" s="33" t="s">
        <v>25</v>
      </c>
      <c r="E12" s="34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5"/>
    </row>
    <row r="13" spans="1:17" ht="15.75" customHeight="1" x14ac:dyDescent="0.25">
      <c r="A13" s="37" t="s">
        <v>26</v>
      </c>
      <c r="B13" s="34"/>
      <c r="C13" s="2"/>
      <c r="D13" s="35">
        <f ca="1">TODAY()</f>
        <v>45718</v>
      </c>
      <c r="E13" s="34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5"/>
    </row>
    <row r="14" spans="1:17" ht="15.75" customHeight="1" x14ac:dyDescent="0.25">
      <c r="A14" s="37" t="str">
        <f>VLOOKUP(A13, contacts!A:CJ, 44, FALSE)</f>
        <v>Company</v>
      </c>
      <c r="B14" s="3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5"/>
    </row>
    <row r="15" spans="1:17" ht="15.75" customHeight="1" x14ac:dyDescent="0.25">
      <c r="A15" s="37" t="str">
        <f>VLOOKUP(A13, contacts!A:CJ, 26, FALSE)</f>
        <v>Home Street</v>
      </c>
      <c r="B15" s="3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5"/>
    </row>
    <row r="16" spans="1:17" ht="15.75" customHeight="1" x14ac:dyDescent="0.25">
      <c r="A16" s="37" t="str">
        <f>VLOOKUP(A13, contacts!A:CJ, 30, FALSE) &amp; ", " &amp; VLOOKUP(A13, contacts!A:CJ, 31, FALSE) &amp; "   " &amp; VLOOKUP(A13, contacts!A:CJ, 32, FALSE)</f>
        <v>Home City, Home State   Home Postal Code</v>
      </c>
      <c r="B16" s="3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5"/>
    </row>
    <row r="17" spans="1:17" ht="15.75" customHeight="1" x14ac:dyDescent="0.25">
      <c r="A17" s="40" t="str">
        <f>HYPERLINK(VLOOKUP(A13, contacts!A:CJ, 16, FALSE))</f>
        <v>E-mail Address</v>
      </c>
      <c r="B17" s="3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5"/>
    </row>
    <row r="18" spans="1:17" ht="15.75" customHeight="1" x14ac:dyDescent="0.25">
      <c r="A18" s="37" t="str">
        <f>VLOOKUP(A13, contacts!A:CJ, 40, FALSE)</f>
        <v>Business Phone</v>
      </c>
      <c r="B18" s="3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</row>
    <row r="19" spans="1:17" ht="15.75" customHeight="1" x14ac:dyDescent="0.25">
      <c r="A19" s="37"/>
      <c r="B19" s="3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5"/>
    </row>
    <row r="20" spans="1:17" ht="15.75" customHeight="1" x14ac:dyDescent="0.3">
      <c r="A20" s="8" t="s">
        <v>27</v>
      </c>
      <c r="B20" s="8" t="s">
        <v>28</v>
      </c>
      <c r="C20" s="8" t="s">
        <v>2</v>
      </c>
      <c r="D20" s="8" t="s">
        <v>29</v>
      </c>
      <c r="E20" s="2"/>
      <c r="F20" s="2" t="str">
        <f>Inventory!B1</f>
        <v>Quantity in Stock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5"/>
    </row>
    <row r="21" spans="1:17" ht="15.75" customHeight="1" x14ac:dyDescent="0.25">
      <c r="A21" s="9"/>
      <c r="B21" s="9"/>
      <c r="C21" s="10" t="str">
        <f>IFERROR(VLOOKUP(A21,Inventory!$A$2:$CL$9341,3,FALSE), "")</f>
        <v/>
      </c>
      <c r="D21" s="11">
        <f t="shared" ref="D21:D30" si="3">IFERROR($B21*$C21,0)</f>
        <v>0</v>
      </c>
      <c r="E21" s="2" t="str">
        <f>IFERROR(VLOOKUP(A21,Inventory!$A$2:$CL$9341,6,FALSE), "")</f>
        <v/>
      </c>
      <c r="F21" s="2" t="str">
        <f>IFERROR(VLOOKUP(A21,Inventory!$A$2:$CL$9341,2,FALSE), "")</f>
        <v/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5"/>
    </row>
    <row r="22" spans="1:17" ht="15.75" customHeight="1" x14ac:dyDescent="0.25">
      <c r="A22" s="9"/>
      <c r="B22" s="9"/>
      <c r="C22" s="10" t="str">
        <f>IFERROR(VLOOKUP(A22,Inventory!$A$2:$CL$9341,3,FALSE), "")</f>
        <v/>
      </c>
      <c r="D22" s="11">
        <f t="shared" si="3"/>
        <v>0</v>
      </c>
      <c r="E22" s="2" t="str">
        <f>IFERROR(VLOOKUP(A22,Inventory!$A$2:$CL$9341,6,FALSE), "")</f>
        <v/>
      </c>
      <c r="F22" s="2" t="str">
        <f>IFERROR(VLOOKUP(A22,Inventory!$A$2:$CL$9341,2,FALSE), "")</f>
        <v/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5"/>
    </row>
    <row r="23" spans="1:17" ht="15.75" customHeight="1" x14ac:dyDescent="0.25">
      <c r="A23" s="9"/>
      <c r="B23" s="9"/>
      <c r="C23" s="10" t="str">
        <f>IFERROR(VLOOKUP(A23,Inventory!$A$2:$CL$9341,3,FALSE), "")</f>
        <v/>
      </c>
      <c r="D23" s="11">
        <f t="shared" si="3"/>
        <v>0</v>
      </c>
      <c r="E23" s="2" t="str">
        <f>IFERROR(VLOOKUP(A23,Inventory!$A$2:$CL$9341,6,FALSE), "")</f>
        <v/>
      </c>
      <c r="F23" s="2" t="str">
        <f>IFERROR(VLOOKUP(A23,Inventory!$A$2:$CL$9341,2,FALSE), "")</f>
        <v/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5"/>
    </row>
    <row r="24" spans="1:17" ht="15.75" customHeight="1" x14ac:dyDescent="0.25">
      <c r="A24" s="9"/>
      <c r="B24" s="9"/>
      <c r="C24" s="10" t="str">
        <f>IFERROR(VLOOKUP(A24,Inventory!$A$2:$CL$9341,3,FALSE), "")</f>
        <v/>
      </c>
      <c r="D24" s="11">
        <f t="shared" si="3"/>
        <v>0</v>
      </c>
      <c r="E24" s="2" t="str">
        <f>IFERROR(VLOOKUP(A24,Inventory!$A$2:$CL$9341,6,FALSE), "")</f>
        <v/>
      </c>
      <c r="F24" s="2" t="str">
        <f>IFERROR(VLOOKUP(A24,Inventory!$A$2:$CL$9341,2,FALSE), "")</f>
        <v/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5"/>
    </row>
    <row r="25" spans="1:17" ht="15.75" customHeight="1" x14ac:dyDescent="0.25">
      <c r="A25" s="9"/>
      <c r="B25" s="9"/>
      <c r="C25" s="10" t="str">
        <f>IFERROR(VLOOKUP(A25,Inventory!$A$2:$CL$9341,3,FALSE), "")</f>
        <v/>
      </c>
      <c r="D25" s="11">
        <f t="shared" si="3"/>
        <v>0</v>
      </c>
      <c r="E25" s="2" t="str">
        <f>IFERROR(VLOOKUP(A25,Inventory!$A$2:$CL$9341,6,FALSE), "")</f>
        <v/>
      </c>
      <c r="F25" s="2" t="str">
        <f>IFERROR(VLOOKUP(A25,Inventory!$A$2:$CL$9341,2,FALSE), "")</f>
        <v/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5"/>
    </row>
    <row r="26" spans="1:17" ht="15.75" customHeight="1" x14ac:dyDescent="0.25">
      <c r="A26" s="9"/>
      <c r="B26" s="9"/>
      <c r="C26" s="10" t="str">
        <f>IFERROR(VLOOKUP(A26,Inventory!$A$2:$CL$9341,3,FALSE), "")</f>
        <v/>
      </c>
      <c r="D26" s="11">
        <f t="shared" si="3"/>
        <v>0</v>
      </c>
      <c r="E26" s="2" t="str">
        <f>IFERROR(VLOOKUP(A26,Inventory!$A$2:$CL$9341,6,FALSE), "")</f>
        <v/>
      </c>
      <c r="F26" s="2" t="str">
        <f>IFERROR(VLOOKUP(A26,Inventory!$A$2:$CL$9341,2,FALSE), "")</f>
        <v/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5"/>
    </row>
    <row r="27" spans="1:17" ht="15.75" customHeight="1" x14ac:dyDescent="0.25">
      <c r="A27" s="9"/>
      <c r="B27" s="9"/>
      <c r="C27" s="10" t="str">
        <f>IFERROR(VLOOKUP(A27,Inventory!$A$2:$CL$9341,3,FALSE), "")</f>
        <v/>
      </c>
      <c r="D27" s="11">
        <f t="shared" si="3"/>
        <v>0</v>
      </c>
      <c r="E27" s="2" t="str">
        <f>IFERROR(VLOOKUP(A27,Inventory!$A$2:$CL$9341,6,FALSE), "")</f>
        <v/>
      </c>
      <c r="F27" s="2" t="str">
        <f>IFERROR(VLOOKUP(A27,Inventory!$A$2:$CL$9341,2,FALSE), "")</f>
        <v/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5"/>
    </row>
    <row r="28" spans="1:17" ht="15.75" customHeight="1" x14ac:dyDescent="0.25">
      <c r="A28" s="9"/>
      <c r="B28" s="9"/>
      <c r="C28" s="10" t="str">
        <f>IFERROR(VLOOKUP(A28,Inventory!$A$2:$CL$9341,3,FALSE), "")</f>
        <v/>
      </c>
      <c r="D28" s="11">
        <f t="shared" si="3"/>
        <v>0</v>
      </c>
      <c r="E28" s="2" t="str">
        <f>IFERROR(VLOOKUP(A28,Inventory!$A$2:$CL$9341,6,FALSE), "")</f>
        <v/>
      </c>
      <c r="F28" s="2" t="str">
        <f>IFERROR(VLOOKUP(A28,Inventory!$A$2:$CL$9341,2,FALSE), "")</f>
        <v/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5"/>
    </row>
    <row r="29" spans="1:17" ht="15.75" customHeight="1" x14ac:dyDescent="0.25">
      <c r="A29" s="9"/>
      <c r="B29" s="9"/>
      <c r="C29" s="10" t="str">
        <f>IFERROR(VLOOKUP(A29,Inventory!$A$2:$CL$9341,3,FALSE), "")</f>
        <v/>
      </c>
      <c r="D29" s="11">
        <f t="shared" si="3"/>
        <v>0</v>
      </c>
      <c r="E29" s="2" t="str">
        <f>IFERROR(VLOOKUP(A29,Inventory!$A$2:$CL$9341,6,FALSE), "")</f>
        <v/>
      </c>
      <c r="F29" s="2" t="str">
        <f>IFERROR(VLOOKUP(A29,Inventory!$A$2:$CL$9341,2,FALSE), "")</f>
        <v/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5"/>
    </row>
    <row r="30" spans="1:17" ht="15.75" customHeight="1" x14ac:dyDescent="0.25">
      <c r="A30" s="9"/>
      <c r="B30" s="9"/>
      <c r="C30" s="10" t="str">
        <f>IFERROR(VLOOKUP(A30,Inventory!$A$2:$CL$9341,3,FALSE), "")</f>
        <v/>
      </c>
      <c r="D30" s="11">
        <f t="shared" si="3"/>
        <v>0</v>
      </c>
      <c r="E30" s="2" t="str">
        <f>IFERROR(VLOOKUP(A30,Inventory!$A$2:$CL$9341,6,FALSE), "")</f>
        <v/>
      </c>
      <c r="F30" s="2" t="str">
        <f>IFERROR(VLOOKUP(A30,Inventory!$A$2:$CL$9341,2,FALSE), "")</f>
        <v/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5"/>
    </row>
    <row r="31" spans="1:17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5"/>
    </row>
    <row r="32" spans="1:17" ht="15.75" customHeight="1" x14ac:dyDescent="0.3">
      <c r="A32" s="2"/>
      <c r="B32" s="2"/>
      <c r="C32" s="7" t="s">
        <v>30</v>
      </c>
      <c r="D32" s="12">
        <f>SUM(D21:D30)</f>
        <v>0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5"/>
    </row>
    <row r="33" spans="1:17" ht="15.75" customHeight="1" x14ac:dyDescent="0.3">
      <c r="A33" s="2"/>
      <c r="B33" s="1" t="s">
        <v>31</v>
      </c>
      <c r="C33" s="13">
        <v>7.0000000000000007E-2</v>
      </c>
      <c r="D33" s="12">
        <f>D32*C33</f>
        <v>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5"/>
    </row>
    <row r="34" spans="1:17" ht="15.75" customHeight="1" x14ac:dyDescent="0.3">
      <c r="A34" s="2"/>
      <c r="B34" s="2"/>
      <c r="C34" s="7" t="s">
        <v>32</v>
      </c>
      <c r="D34" s="12">
        <f>D32+D33</f>
        <v>0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5"/>
    </row>
    <row r="35" spans="1:17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5"/>
    </row>
    <row r="36" spans="1:17" ht="15.75" customHeight="1" x14ac:dyDescent="0.3">
      <c r="A36" s="39" t="s">
        <v>33</v>
      </c>
      <c r="B36" s="34"/>
      <c r="C36" s="34"/>
      <c r="D36" s="34"/>
      <c r="E36" s="3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5"/>
    </row>
    <row r="37" spans="1:17" ht="15.75" customHeight="1" x14ac:dyDescent="0.25">
      <c r="A37" s="37" t="s">
        <v>34</v>
      </c>
      <c r="B37" s="34"/>
      <c r="C37" s="34"/>
      <c r="D37" s="34"/>
      <c r="E37" s="3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5"/>
    </row>
    <row r="38" spans="1:17" ht="15.75" customHeight="1" x14ac:dyDescent="0.3">
      <c r="A38" s="14" t="s">
        <v>35</v>
      </c>
      <c r="B38" s="1" t="s">
        <v>36</v>
      </c>
      <c r="C38" s="1" t="s">
        <v>37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5"/>
    </row>
    <row r="39" spans="1:17" ht="15.75" customHeight="1" x14ac:dyDescent="0.25">
      <c r="A39" s="1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5"/>
    </row>
    <row r="40" spans="1:17" ht="15.75" customHeight="1" x14ac:dyDescent="0.25">
      <c r="A40" s="1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5"/>
    </row>
    <row r="41" spans="1:17" ht="15.75" customHeight="1" x14ac:dyDescent="0.25">
      <c r="A41" s="1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5"/>
    </row>
    <row r="42" spans="1:17" ht="15.75" customHeight="1" x14ac:dyDescent="0.25">
      <c r="A42" s="15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5"/>
    </row>
    <row r="43" spans="1:17" ht="15.75" customHeight="1" x14ac:dyDescent="0.25">
      <c r="A43" s="15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5"/>
    </row>
    <row r="44" spans="1:17" ht="15.75" customHeight="1" x14ac:dyDescent="0.25">
      <c r="A44" s="15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5"/>
    </row>
    <row r="45" spans="1:17" ht="15.75" customHeight="1" x14ac:dyDescent="0.25">
      <c r="A45" s="15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5"/>
    </row>
    <row r="46" spans="1:17" ht="15.75" customHeight="1" x14ac:dyDescent="0.25">
      <c r="A46" s="15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5"/>
    </row>
    <row r="47" spans="1:17" ht="15.75" customHeight="1" x14ac:dyDescent="0.25">
      <c r="A47" s="15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5"/>
    </row>
    <row r="48" spans="1:17" ht="15.75" customHeight="1" x14ac:dyDescent="0.25">
      <c r="A48" s="15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5"/>
    </row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2">
    <mergeCell ref="A17:B17"/>
    <mergeCell ref="A18:B18"/>
    <mergeCell ref="A19:B19"/>
    <mergeCell ref="A36:E36"/>
    <mergeCell ref="A37:E37"/>
    <mergeCell ref="A6:B6"/>
    <mergeCell ref="A7:B7"/>
    <mergeCell ref="A14:B14"/>
    <mergeCell ref="A15:B15"/>
    <mergeCell ref="A16:B16"/>
    <mergeCell ref="A8:B8"/>
    <mergeCell ref="A9:E9"/>
    <mergeCell ref="A10:E10"/>
    <mergeCell ref="A12:B12"/>
    <mergeCell ref="D12:E12"/>
    <mergeCell ref="A13:B13"/>
    <mergeCell ref="D13:E13"/>
    <mergeCell ref="P1:P2"/>
    <mergeCell ref="Q1:Q2"/>
    <mergeCell ref="A3:E3"/>
    <mergeCell ref="A4:B4"/>
    <mergeCell ref="A5:B5"/>
  </mergeCells>
  <pageMargins left="0.7" right="0.7" top="0.75" bottom="0.75" header="0" footer="0"/>
  <pageSetup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200-000000000000}">
          <x14:formula1>
            <xm:f>Inventory!$A:$A</xm:f>
          </x14:formula1>
          <xm:sqref>A21:A30</xm:sqref>
        </x14:dataValidation>
        <x14:dataValidation type="list" allowBlank="1" showErrorMessage="1" xr:uid="{00000000-0002-0000-0200-000001000000}">
          <x14:formula1>
            <xm:f>contacts!$A:$A</xm:f>
          </x14:formula1>
          <xm:sqref>A13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Q1000"/>
  <sheetViews>
    <sheetView showGridLines="0" workbookViewId="0"/>
  </sheetViews>
  <sheetFormatPr defaultColWidth="12.6328125" defaultRowHeight="15" customHeight="1" x14ac:dyDescent="0.25"/>
  <cols>
    <col min="1" max="1" width="30.6328125" customWidth="1"/>
    <col min="2" max="6" width="12.6328125" customWidth="1"/>
  </cols>
  <sheetData>
    <row r="1" spans="1:17" ht="15.75" customHeight="1" x14ac:dyDescent="0.25">
      <c r="A1" s="24">
        <f>View_Print!B2</f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 t="str">
        <f>Input!M1</f>
        <v>Date Paid:</v>
      </c>
      <c r="N1" s="24" t="str">
        <f>Input!N1</f>
        <v>Via:</v>
      </c>
      <c r="O1" s="24" t="str">
        <f>Input!O1</f>
        <v>Date Shipped:</v>
      </c>
      <c r="P1" s="24"/>
      <c r="Q1" s="24"/>
    </row>
    <row r="2" spans="1:17" ht="15.75" customHeight="1" x14ac:dyDescent="0.25">
      <c r="A2" s="24"/>
      <c r="B2" s="45"/>
      <c r="C2" s="46"/>
      <c r="D2" s="46"/>
      <c r="E2" s="46"/>
      <c r="F2" s="46"/>
      <c r="G2" s="46"/>
      <c r="H2" s="46"/>
      <c r="I2" s="46"/>
      <c r="J2" s="46"/>
      <c r="K2" s="46"/>
      <c r="L2" s="47"/>
      <c r="M2" s="2" t="e">
        <f>VLOOKUP(A1,Update!$A$1:$P$10000,2,FALSE)</f>
        <v>#N/A</v>
      </c>
      <c r="N2" s="2" t="e">
        <f>VLOOKUP(A1,Update!$A$1:$P$10000,3,FALSE)</f>
        <v>#N/A</v>
      </c>
      <c r="O2" s="2" t="e">
        <f>VLOOKUP(A1,Update!$A$1:$P$10000,4,FALSE)</f>
        <v>#N/A</v>
      </c>
      <c r="P2" s="24"/>
      <c r="Q2" s="24"/>
    </row>
    <row r="3" spans="1:17" ht="15.75" customHeight="1" x14ac:dyDescent="0.4">
      <c r="A3" s="36" t="e">
        <f>VLOOKUP(A1,Data!$A$1:$DZU$10000,36,FALSE)</f>
        <v>#N/A</v>
      </c>
      <c r="B3" s="34"/>
      <c r="C3" s="34"/>
      <c r="D3" s="34"/>
      <c r="E3" s="34"/>
      <c r="F3" s="2" t="e">
        <f>VLOOKUP(A1,Data!$A$1:$DZU$10000,41,FALSE)</f>
        <v>#N/A</v>
      </c>
      <c r="G3" s="2" t="e">
        <f>VLOOKUP(A1,Data!$A$1:$DZU$10000,42,FALSE)</f>
        <v>#N/A</v>
      </c>
      <c r="H3" s="2" t="e">
        <f>VLOOKUP(A1,Data!$A$1:$DZU$10000,43,FALSE)</f>
        <v>#N/A</v>
      </c>
      <c r="I3" s="2" t="e">
        <f>VLOOKUP(A1,Data!$A$1:$DZU$10000,44,FALSE)</f>
        <v>#N/A</v>
      </c>
      <c r="J3" s="2" t="e">
        <f>VLOOKUP(A1,Data!$A$1:$DZU$10000,45,FALSE)</f>
        <v>#N/A</v>
      </c>
      <c r="K3" s="2" t="e">
        <f>VLOOKUP(A1,Data!$A$1:$DZU$10000,46,FALSE)</f>
        <v>#N/A</v>
      </c>
      <c r="L3" s="2" t="e">
        <f>VLOOKUP(A1,Data!$A$1:$DZU$10000,47,FALSE)</f>
        <v>#N/A</v>
      </c>
      <c r="M3" s="2" t="e">
        <f>VLOOKUP(A1,Data!$A$1:$DZU$10000,48,FALSE)</f>
        <v>#N/A</v>
      </c>
      <c r="N3" s="2" t="e">
        <f>VLOOKUP(A1,Data!$A$1:$DZU$10000,49,FALSE)</f>
        <v>#N/A</v>
      </c>
      <c r="O3" s="2" t="e">
        <f>VLOOKUP(A1,Data!$A$1:$DZU$10000,50,FALSE)</f>
        <v>#N/A</v>
      </c>
      <c r="P3" s="2" t="e">
        <f>VLOOKUP(A1,Data!$A$1:$DZU$10000,51,FALSE)</f>
        <v>#N/A</v>
      </c>
      <c r="Q3" s="5" t="e">
        <f>VLOOKUP(A1,Data!$A$1:$DZU$10000,52,FALSE)</f>
        <v>#N/A</v>
      </c>
    </row>
    <row r="4" spans="1:17" ht="15.75" customHeight="1" x14ac:dyDescent="0.25">
      <c r="A4" s="37" t="e">
        <f>VLOOKUP(A1,Data!$A$1:$DZU$10000,53,FALSE)</f>
        <v>#N/A</v>
      </c>
      <c r="B4" s="34"/>
      <c r="C4" s="2" t="e">
        <f>VLOOKUP(A1,Data!$A$1:$DZU$10000,55,FALSE)</f>
        <v>#N/A</v>
      </c>
      <c r="D4" s="2" t="e">
        <f>VLOOKUP(A1,Data!$A$1:$DZU$10000,56,FALSE)</f>
        <v>#N/A</v>
      </c>
      <c r="E4" s="2" t="e">
        <f>VLOOKUP(A1,Data!$A$1:$DZU$10000,57,FALSE)</f>
        <v>#N/A</v>
      </c>
      <c r="F4" s="2" t="e">
        <f>VLOOKUP(A1,Data!$A$1:$DZU$10000,58,FALSE)</f>
        <v>#N/A</v>
      </c>
      <c r="G4" s="2" t="e">
        <f>VLOOKUP(A1,Data!$A$1:$DZU$10000,59,FALSE)</f>
        <v>#N/A</v>
      </c>
      <c r="H4" s="2" t="e">
        <f>VLOOKUP(A1,Data!$A$1:$DZU$10000,60,FALSE)</f>
        <v>#N/A</v>
      </c>
      <c r="I4" s="2" t="e">
        <f>VLOOKUP(A1,Data!$A$1:$DZU$10000,61,FALSE)</f>
        <v>#N/A</v>
      </c>
      <c r="J4" s="2" t="e">
        <f>VLOOKUP(A1,Data!$A$1:$DZU$10000,62,FALSE)</f>
        <v>#N/A</v>
      </c>
      <c r="K4" s="2" t="e">
        <f>VLOOKUP(A1,Data!$A$1:$DZU$10000,63,FALSE)</f>
        <v>#N/A</v>
      </c>
      <c r="L4" s="2" t="e">
        <f>VLOOKUP(A1,Data!$A$1:$DZU$10000,64,FALSE)</f>
        <v>#N/A</v>
      </c>
      <c r="M4" s="2" t="e">
        <f>VLOOKUP(A1,Data!$A$1:$DZU$10000,65,FALSE)</f>
        <v>#N/A</v>
      </c>
      <c r="N4" s="2" t="e">
        <f>VLOOKUP(A1,Data!$A$1:$DZU$10000,66,FALSE)</f>
        <v>#N/A</v>
      </c>
      <c r="O4" s="2" t="e">
        <f>VLOOKUP(A1,Data!$A$1:$DZU$10000,67,FALSE)</f>
        <v>#N/A</v>
      </c>
      <c r="P4" s="2" t="e">
        <f>VLOOKUP(A1,Data!$A$1:$DZU$10000,68,FALSE)</f>
        <v>#N/A</v>
      </c>
      <c r="Q4" s="5" t="e">
        <f>VLOOKUP(A1,Data!$A$1:$DZU$10000,69,FALSE)</f>
        <v>#N/A</v>
      </c>
    </row>
    <row r="5" spans="1:17" ht="15.75" customHeight="1" x14ac:dyDescent="0.25">
      <c r="A5" s="37" t="e">
        <f>VLOOKUP(A1,Data!$A$1:$DZU$10000,70,FALSE)</f>
        <v>#N/A</v>
      </c>
      <c r="B5" s="34"/>
      <c r="C5" s="2" t="e">
        <f>VLOOKUP(A1,Data!$A$1:$DZU$10000,72,FALSE)</f>
        <v>#N/A</v>
      </c>
      <c r="D5" s="2" t="e">
        <f>VLOOKUP(A1,Data!$A$1:$DZU$10000,73,FALSE)</f>
        <v>#N/A</v>
      </c>
      <c r="E5" s="2" t="e">
        <f>VLOOKUP(A1,Data!$A$1:$DZU$10000,74,FALSE)</f>
        <v>#N/A</v>
      </c>
      <c r="F5" s="2" t="e">
        <f>VLOOKUP(A1,Data!$A$1:$DZU$10000,75,FALSE)</f>
        <v>#N/A</v>
      </c>
      <c r="G5" s="2" t="e">
        <f>VLOOKUP(A1,Data!$A$1:$DZU$10000,76,FALSE)</f>
        <v>#N/A</v>
      </c>
      <c r="H5" s="2" t="e">
        <f>VLOOKUP(A1,Data!$A$1:$DZU$10000,77,FALSE)</f>
        <v>#N/A</v>
      </c>
      <c r="I5" s="2" t="e">
        <f>VLOOKUP(A1,Data!$A$1:$DZU$10000,78,FALSE)</f>
        <v>#N/A</v>
      </c>
      <c r="J5" s="2" t="e">
        <f>VLOOKUP(A1,Data!$A$1:$DZU$10000,79,FALSE)</f>
        <v>#N/A</v>
      </c>
      <c r="K5" s="2" t="e">
        <f>VLOOKUP(A1,Data!$A$1:$DZU$10000,80,FALSE)</f>
        <v>#N/A</v>
      </c>
      <c r="L5" s="2" t="e">
        <f>VLOOKUP(A1,Data!$A$1:$DZU$10000,81,FALSE)</f>
        <v>#N/A</v>
      </c>
      <c r="M5" s="2" t="e">
        <f>VLOOKUP(A1,Data!$A$1:$DZU$10000,82,FALSE)</f>
        <v>#N/A</v>
      </c>
      <c r="N5" s="2" t="e">
        <f>VLOOKUP(A1,Data!$A$1:$DZU$10000,83,FALSE)</f>
        <v>#N/A</v>
      </c>
      <c r="O5" s="2" t="e">
        <f>VLOOKUP(A1,Data!$A$1:$DZU$10000,84,FALSE)</f>
        <v>#N/A</v>
      </c>
      <c r="P5" s="2" t="e">
        <f>VLOOKUP(A1,Data!$A$1:$DZU$10000,85,FALSE)</f>
        <v>#N/A</v>
      </c>
      <c r="Q5" s="5" t="e">
        <f>VLOOKUP(A1,Data!$A$1:$DZU$10000,86,FALSE)</f>
        <v>#N/A</v>
      </c>
    </row>
    <row r="6" spans="1:17" ht="15.75" customHeight="1" x14ac:dyDescent="0.25">
      <c r="A6" s="37" t="e">
        <f>VLOOKUP(A1,Data!$A$1:$DZU$10000,87,FALSE)</f>
        <v>#N/A</v>
      </c>
      <c r="B6" s="34"/>
      <c r="C6" s="2" t="e">
        <f>VLOOKUP(A1,Data!$A$1:$DZU$10000,89,FALSE)</f>
        <v>#N/A</v>
      </c>
      <c r="D6" s="2" t="e">
        <f>VLOOKUP(A1,Data!$A$1:$DZU$10000,90,FALSE)</f>
        <v>#N/A</v>
      </c>
      <c r="E6" s="2" t="e">
        <f>VLOOKUP(A1,Data!$A$1:$DZU$10000,91,FALSE)</f>
        <v>#N/A</v>
      </c>
      <c r="F6" s="2" t="e">
        <f>VLOOKUP(A1,Data!$A$1:$DZU$10000,92,FALSE)</f>
        <v>#N/A</v>
      </c>
      <c r="G6" s="2" t="e">
        <f>VLOOKUP(A1,Data!$A$1:$DZU$10000,93,FALSE)</f>
        <v>#N/A</v>
      </c>
      <c r="H6" s="2" t="e">
        <f>VLOOKUP(A1,Data!$A$1:$DZU$10000,94,FALSE)</f>
        <v>#N/A</v>
      </c>
      <c r="I6" s="2" t="e">
        <f>VLOOKUP(A1,Data!$A$1:$DZU$10000,95,FALSE)</f>
        <v>#N/A</v>
      </c>
      <c r="J6" s="2" t="e">
        <f>VLOOKUP(A1,Data!$A$1:$DZU$10000,96,FALSE)</f>
        <v>#N/A</v>
      </c>
      <c r="K6" s="2" t="e">
        <f>VLOOKUP(A1,Data!$A$1:$DZU$10000,97,FALSE)</f>
        <v>#N/A</v>
      </c>
      <c r="L6" s="2" t="e">
        <f>VLOOKUP(A1,Data!$A$1:$DZU$10000,98,FALSE)</f>
        <v>#N/A</v>
      </c>
      <c r="M6" s="2" t="e">
        <f>VLOOKUP(A1,Data!$A$1:$DZU$10000,99,FALSE)</f>
        <v>#N/A</v>
      </c>
      <c r="N6" s="2" t="e">
        <f>VLOOKUP(A1,Data!$A$1:$DZU$10000,100,FALSE)</f>
        <v>#N/A</v>
      </c>
      <c r="O6" s="2" t="e">
        <f>VLOOKUP(A1,Data!$A$1:$DZU$10000,101,FALSE)</f>
        <v>#N/A</v>
      </c>
      <c r="P6" s="2" t="e">
        <f>VLOOKUP(A1,Data!$A$1:$DZU$10000,102,FALSE)</f>
        <v>#N/A</v>
      </c>
      <c r="Q6" s="5" t="e">
        <f>VLOOKUP(A1,Data!$A$1:$DZU$10000,103,FALSE)</f>
        <v>#N/A</v>
      </c>
    </row>
    <row r="7" spans="1:17" ht="15.75" customHeight="1" x14ac:dyDescent="0.25">
      <c r="A7" s="37" t="e">
        <f>VLOOKUP(A1,Data!$A$1:$DZU$10000,104,FALSE)</f>
        <v>#N/A</v>
      </c>
      <c r="B7" s="34"/>
      <c r="C7" s="2" t="e">
        <f>VLOOKUP(A1,Data!$A$1:$DZU$10000,106,FALSE)</f>
        <v>#N/A</v>
      </c>
      <c r="D7" s="2" t="e">
        <f>VLOOKUP(A1,Data!$A$1:$DZU$10000,107,FALSE)</f>
        <v>#N/A</v>
      </c>
      <c r="E7" s="2" t="e">
        <f>VLOOKUP(A1,Data!$A$1:$DZU$10000,108,FALSE)</f>
        <v>#N/A</v>
      </c>
      <c r="F7" s="2" t="e">
        <f>VLOOKUP(A1,Data!$A$1:$DZU$10000,109,FALSE)</f>
        <v>#N/A</v>
      </c>
      <c r="G7" s="2" t="e">
        <f>VLOOKUP(A1,Data!$A$1:$DZU$10000,110,FALSE)</f>
        <v>#N/A</v>
      </c>
      <c r="H7" s="2" t="e">
        <f>VLOOKUP(A1,Data!$A$1:$DZU$10000,111,FALSE)</f>
        <v>#N/A</v>
      </c>
      <c r="I7" s="2" t="e">
        <f>VLOOKUP(A1,Data!$A$1:$DZU$10000,112,FALSE)</f>
        <v>#N/A</v>
      </c>
      <c r="J7" s="2" t="e">
        <f>VLOOKUP(A1,Data!$A$1:$DZU$10000,113,FALSE)</f>
        <v>#N/A</v>
      </c>
      <c r="K7" s="2" t="e">
        <f>VLOOKUP(A1,Data!$A$1:$DZU$10000,114,FALSE)</f>
        <v>#N/A</v>
      </c>
      <c r="L7" s="2" t="e">
        <f>VLOOKUP(A1,Data!$A$1:$DZU$10000,115,FALSE)</f>
        <v>#N/A</v>
      </c>
      <c r="M7" s="2" t="e">
        <f>VLOOKUP(A1,Data!$A$1:$DZU$10000,116,FALSE)</f>
        <v>#N/A</v>
      </c>
      <c r="N7" s="2" t="e">
        <f>VLOOKUP(A1,Data!$A$1:$DZU$10000,117,FALSE)</f>
        <v>#N/A</v>
      </c>
      <c r="O7" s="2" t="e">
        <f>VLOOKUP(A1,Data!$A$1:$DZU$10000,118,FALSE)</f>
        <v>#N/A</v>
      </c>
      <c r="P7" s="2" t="e">
        <f>VLOOKUP(A1,Data!$A$1:$DZU$10000,119,FALSE)</f>
        <v>#N/A</v>
      </c>
      <c r="Q7" s="5" t="e">
        <f>VLOOKUP(A1,Data!$A$1:$DZU$10000,120,FALSE)</f>
        <v>#N/A</v>
      </c>
    </row>
    <row r="8" spans="1:17" ht="15.75" customHeight="1" x14ac:dyDescent="0.25">
      <c r="A8" s="37" t="e">
        <f>VLOOKUP(A1,Data!$A$1:$DZU$10000,121,FALSE)</f>
        <v>#N/A</v>
      </c>
      <c r="B8" s="34"/>
      <c r="C8" s="2" t="e">
        <f>VLOOKUP(A1,Data!$A$1:$DZU$10000,123,FALSE)</f>
        <v>#N/A</v>
      </c>
      <c r="D8" s="2" t="e">
        <f>VLOOKUP(A1,Data!$A$1:$DZU$10000,124,FALSE)</f>
        <v>#N/A</v>
      </c>
      <c r="E8" s="2" t="e">
        <f>VLOOKUP(A1,Data!$A$1:$DZU$10000,125,FALSE)</f>
        <v>#N/A</v>
      </c>
      <c r="F8" s="2" t="e">
        <f>VLOOKUP(A1,Data!$A$1:$DZU$10000,126,FALSE)</f>
        <v>#N/A</v>
      </c>
      <c r="G8" s="2" t="e">
        <f>VLOOKUP(A1,Data!$A$1:$DZU$10000,127,FALSE)</f>
        <v>#N/A</v>
      </c>
      <c r="H8" s="2" t="e">
        <f>VLOOKUP(A1,Data!$A$1:$DZU$10000,128,FALSE)</f>
        <v>#N/A</v>
      </c>
      <c r="I8" s="2" t="e">
        <f>VLOOKUP(A1,Data!$A$1:$DZU$10000,129,FALSE)</f>
        <v>#N/A</v>
      </c>
      <c r="J8" s="2" t="e">
        <f>VLOOKUP(A1,Data!$A$1:$DZU$10000,130,FALSE)</f>
        <v>#N/A</v>
      </c>
      <c r="K8" s="2" t="e">
        <f>VLOOKUP(A1,Data!$A$1:$DZU$10000,131,FALSE)</f>
        <v>#N/A</v>
      </c>
      <c r="L8" s="2" t="e">
        <f>VLOOKUP(A1,Data!$A$1:$DZU$10000,132,FALSE)</f>
        <v>#N/A</v>
      </c>
      <c r="M8" s="2" t="e">
        <f>VLOOKUP(A1,Data!$A$1:$DZU$10000,133,FALSE)</f>
        <v>#N/A</v>
      </c>
      <c r="N8" s="2" t="e">
        <f>VLOOKUP(A1,Data!$A$1:$DZU$10000,134,FALSE)</f>
        <v>#N/A</v>
      </c>
      <c r="O8" s="2" t="e">
        <f>VLOOKUP(A1,Data!$A$1:$DZU$10000,135,FALSE)</f>
        <v>#N/A</v>
      </c>
      <c r="P8" s="2" t="e">
        <f>VLOOKUP(A1,Data!$A$1:$DZU$10000,136,FALSE)</f>
        <v>#N/A</v>
      </c>
      <c r="Q8" s="5" t="e">
        <f>VLOOKUP(A1,Data!$A$1:$DZU$10000,137,FALSE)</f>
        <v>#N/A</v>
      </c>
    </row>
    <row r="9" spans="1:17" ht="15.75" customHeight="1" x14ac:dyDescent="0.25">
      <c r="A9" s="37" t="e">
        <f>VLOOKUP(A1,Data!$A$1:$DZU$10000,138,FALSE)</f>
        <v>#N/A</v>
      </c>
      <c r="B9" s="34"/>
      <c r="C9" s="34"/>
      <c r="D9" s="34"/>
      <c r="E9" s="34"/>
      <c r="F9" s="2" t="e">
        <f>VLOOKUP(A1,Data!$A$1:$DZU$10000,143,FALSE)</f>
        <v>#N/A</v>
      </c>
      <c r="G9" s="2" t="e">
        <f>VLOOKUP(A1,Data!$A$1:$DZU$10000,144,FALSE)</f>
        <v>#N/A</v>
      </c>
      <c r="H9" s="2" t="e">
        <f>VLOOKUP(A1,Data!$A$1:$DZU$10000,145,FALSE)</f>
        <v>#N/A</v>
      </c>
      <c r="I9" s="2" t="e">
        <f>VLOOKUP(A1,Data!$A$1:$DZU$10000,146,FALSE)</f>
        <v>#N/A</v>
      </c>
      <c r="J9" s="2" t="e">
        <f>VLOOKUP(A1,Data!$A$1:$DZU$10000,147,FALSE)</f>
        <v>#N/A</v>
      </c>
      <c r="K9" s="2" t="e">
        <f>VLOOKUP(A1,Data!$A$1:$DZU$10000,148,FALSE)</f>
        <v>#N/A</v>
      </c>
      <c r="L9" s="2" t="e">
        <f>VLOOKUP(A1,Data!$A$1:$DZU$10000,149,FALSE)</f>
        <v>#N/A</v>
      </c>
      <c r="M9" s="2" t="e">
        <f>VLOOKUP(A1,Data!$A$1:$DZU$10000,150,FALSE)</f>
        <v>#N/A</v>
      </c>
      <c r="N9" s="2" t="e">
        <f>VLOOKUP(A1,Data!$A$1:$DZU$10000,151,FALSE)</f>
        <v>#N/A</v>
      </c>
      <c r="O9" s="2" t="e">
        <f>VLOOKUP(A1,Data!$A$1:$DZU$10000,152,FALSE)</f>
        <v>#N/A</v>
      </c>
      <c r="P9" s="2" t="e">
        <f>VLOOKUP(A1,Data!$A$1:$DZU$10000,153,FALSE)</f>
        <v>#N/A</v>
      </c>
      <c r="Q9" s="5" t="e">
        <f>VLOOKUP(A1,Data!$A$1:$DZU$10000,154,FALSE)</f>
        <v>#N/A</v>
      </c>
    </row>
    <row r="10" spans="1:17" ht="15.75" customHeight="1" x14ac:dyDescent="0.4">
      <c r="A10" s="38" t="e">
        <f>VLOOKUP(A1,Data!$A$1:$DZU$10000,155,FALSE)</f>
        <v>#N/A</v>
      </c>
      <c r="B10" s="34"/>
      <c r="C10" s="34"/>
      <c r="D10" s="34"/>
      <c r="E10" s="34"/>
      <c r="F10" s="2" t="e">
        <f>VLOOKUP(A1,Data!$A$1:$DZU$10000,160,FALSE)</f>
        <v>#N/A</v>
      </c>
      <c r="G10" s="2" t="e">
        <f>VLOOKUP(A1,Data!$A$1:$DZU$10000,161,FALSE)</f>
        <v>#N/A</v>
      </c>
      <c r="H10" s="2" t="e">
        <f>VLOOKUP(A1,Data!$A$1:$DZU$10000,162,FALSE)</f>
        <v>#N/A</v>
      </c>
      <c r="I10" s="2" t="e">
        <f>VLOOKUP(A1,Data!$A$1:$DZU$10000,163,FALSE)</f>
        <v>#N/A</v>
      </c>
      <c r="J10" s="2" t="e">
        <f>VLOOKUP(A1,Data!$A$1:$DZU$10000,164,FALSE)</f>
        <v>#N/A</v>
      </c>
      <c r="K10" s="2" t="e">
        <f>VLOOKUP(A1,Data!$A$1:$DZU$10000,165,FALSE)</f>
        <v>#N/A</v>
      </c>
      <c r="L10" s="2" t="e">
        <f>VLOOKUP(A1,Data!$A$1:$DZU$10000,166,FALSE)</f>
        <v>#N/A</v>
      </c>
      <c r="M10" s="2" t="e">
        <f>VLOOKUP(A1,Data!$A$1:$DZU$10000,167,FALSE)</f>
        <v>#N/A</v>
      </c>
      <c r="N10" s="2" t="e">
        <f>VLOOKUP(A1,Data!$A$1:$DZU$10000,168,FALSE)</f>
        <v>#N/A</v>
      </c>
      <c r="O10" s="2" t="e">
        <f>VLOOKUP(A1,Data!$A$1:$DZU$10000,169,FALSE)</f>
        <v>#N/A</v>
      </c>
      <c r="P10" s="2" t="e">
        <f>VLOOKUP(A1,Data!$A$1:$DZU$10000,170,FALSE)</f>
        <v>#N/A</v>
      </c>
      <c r="Q10" s="5" t="e">
        <f>VLOOKUP(A1,Data!$A$1:$DZU$10000,171,FALSE)</f>
        <v>#N/A</v>
      </c>
    </row>
    <row r="11" spans="1:17" ht="15.75" customHeight="1" x14ac:dyDescent="0.3">
      <c r="A11" s="1" t="e">
        <f>VLOOKUP(A1,Data!$A$1:$DZU$10000,172,FALSE)</f>
        <v>#N/A</v>
      </c>
      <c r="B11" s="2" t="e">
        <f>VLOOKUP(A1,Data!$A$1:$DZU$10000,173,FALSE)</f>
        <v>#N/A</v>
      </c>
      <c r="C11" s="2" t="e">
        <f>VLOOKUP(A1,Data!$A$1:$DZU$10000,174,FALSE)</f>
        <v>#N/A</v>
      </c>
      <c r="D11" s="2" t="e">
        <f>VLOOKUP(A1,Data!$A$1:$DZU$10000,175,FALSE)</f>
        <v>#N/A</v>
      </c>
      <c r="E11" s="2" t="e">
        <f>VLOOKUP(A1,Data!$A$1:$DZU$10000,176,FALSE)</f>
        <v>#N/A</v>
      </c>
      <c r="F11" s="2" t="e">
        <f>VLOOKUP(A1,Data!$A$1:$DZU$10000,177,FALSE)</f>
        <v>#N/A</v>
      </c>
      <c r="G11" s="2" t="e">
        <f>VLOOKUP(A1,Data!$A$1:$DZU$10000,178,FALSE)</f>
        <v>#N/A</v>
      </c>
      <c r="H11" s="2" t="e">
        <f>VLOOKUP(A1,Data!$A$1:$DZU$10000,179,FALSE)</f>
        <v>#N/A</v>
      </c>
      <c r="I11" s="2" t="e">
        <f>VLOOKUP(A1,Data!$A$1:$DZU$10000,180,FALSE)</f>
        <v>#N/A</v>
      </c>
      <c r="J11" s="2" t="e">
        <f>VLOOKUP(A1,Data!$A$1:$DZU$10000,181,FALSE)</f>
        <v>#N/A</v>
      </c>
      <c r="K11" s="2" t="e">
        <f>VLOOKUP(A1,Data!$A$1:$DZU$10000,182,FALSE)</f>
        <v>#N/A</v>
      </c>
      <c r="L11" s="2" t="e">
        <f>VLOOKUP(A1,Data!$A$1:$DZU$10000,183,FALSE)</f>
        <v>#N/A</v>
      </c>
      <c r="M11" s="2" t="e">
        <f>VLOOKUP(A1,Data!$A$1:$DZU$10000,184,FALSE)</f>
        <v>#N/A</v>
      </c>
      <c r="N11" s="2" t="e">
        <f>VLOOKUP(A1,Data!$A$1:$DZU$10000,185,FALSE)</f>
        <v>#N/A</v>
      </c>
      <c r="O11" s="2" t="e">
        <f>VLOOKUP(A1,Data!$A$1:$DZU$10000,186,FALSE)</f>
        <v>#N/A</v>
      </c>
      <c r="P11" s="2" t="e">
        <f>VLOOKUP(A1,Data!$A$1:$DZU$10000,187,FALSE)</f>
        <v>#N/A</v>
      </c>
      <c r="Q11" s="5" t="e">
        <f>VLOOKUP(A1,Data!$A$1:$DZU$10000,188,FALSE)</f>
        <v>#N/A</v>
      </c>
    </row>
    <row r="12" spans="1:17" ht="15.75" customHeight="1" x14ac:dyDescent="0.3">
      <c r="A12" s="39" t="e">
        <f>VLOOKUP(A1,Data!$A$1:$DZU$10000,189,FALSE)</f>
        <v>#N/A</v>
      </c>
      <c r="B12" s="34"/>
      <c r="C12" s="2" t="e">
        <f>VLOOKUP(A1,Data!$A$1:$DZU$10000,191,FALSE)</f>
        <v>#N/A</v>
      </c>
      <c r="D12" s="33" t="e">
        <f>VLOOKUP(A1,Data!$A$1:$DZU$10000,192,FALSE)</f>
        <v>#N/A</v>
      </c>
      <c r="E12" s="34"/>
      <c r="F12" s="2" t="e">
        <f>VLOOKUP(A1,Data!$A$1:$DZU$10000,194,FALSE)</f>
        <v>#N/A</v>
      </c>
      <c r="G12" s="2" t="e">
        <f>VLOOKUP(A1,Data!$A$1:$DZU$10000,195,FALSE)</f>
        <v>#N/A</v>
      </c>
      <c r="H12" s="2" t="e">
        <f>VLOOKUP(A1,Data!$A$1:$DZU$10000,196,FALSE)</f>
        <v>#N/A</v>
      </c>
      <c r="I12" s="2" t="e">
        <f>VLOOKUP(A1,Data!$A$1:$DZU$10000,197,FALSE)</f>
        <v>#N/A</v>
      </c>
      <c r="J12" s="2" t="e">
        <f>VLOOKUP(A1,Data!$A$1:$DZU$10000,198,FALSE)</f>
        <v>#N/A</v>
      </c>
      <c r="K12" s="2" t="e">
        <f>VLOOKUP(A1,Data!$A$1:$DZU$10000,199,FALSE)</f>
        <v>#N/A</v>
      </c>
      <c r="L12" s="2" t="e">
        <f>VLOOKUP(A1,Data!$A$1:$DZU$10000,200,FALSE)</f>
        <v>#N/A</v>
      </c>
      <c r="M12" s="2" t="e">
        <f>VLOOKUP(A1,Data!$A$1:$DZU$10000,201,FALSE)</f>
        <v>#N/A</v>
      </c>
      <c r="N12" s="2" t="e">
        <f>VLOOKUP(A1,Data!$A$1:$DZU$10000,202,FALSE)</f>
        <v>#N/A</v>
      </c>
      <c r="O12" s="2" t="e">
        <f>VLOOKUP(A1,Data!$A$1:$DZU$10000,203,FALSE)</f>
        <v>#N/A</v>
      </c>
      <c r="P12" s="2" t="e">
        <f>VLOOKUP(A1,Data!$A$1:$DZU$10000,204,FALSE)</f>
        <v>#N/A</v>
      </c>
      <c r="Q12" s="5" t="e">
        <f>VLOOKUP(A1,Data!$A$1:$DZU$10000,205,FALSE)</f>
        <v>#N/A</v>
      </c>
    </row>
    <row r="13" spans="1:17" ht="15.75" customHeight="1" x14ac:dyDescent="0.25">
      <c r="A13" s="37" t="e">
        <f>VLOOKUP(A1,Data!$A$1:$DZU$10000,206,FALSE)</f>
        <v>#N/A</v>
      </c>
      <c r="B13" s="34"/>
      <c r="C13" s="2" t="e">
        <f>VLOOKUP(A1,Data!$A$1:$DZU$10000,208,FALSE)</f>
        <v>#N/A</v>
      </c>
      <c r="D13" s="35" t="e">
        <f>VLOOKUP(A1,Data!$A$1:$DZU$10000,209,FALSE)</f>
        <v>#N/A</v>
      </c>
      <c r="E13" s="34"/>
      <c r="F13" s="2" t="e">
        <f>VLOOKUP(A1,Data!$A$1:$DZU$10000,211,FALSE)</f>
        <v>#N/A</v>
      </c>
      <c r="G13" s="2" t="e">
        <f>VLOOKUP(A1,Data!$A$1:$DZU$10000,212,FALSE)</f>
        <v>#N/A</v>
      </c>
      <c r="H13" s="2" t="e">
        <f>VLOOKUP(A1,Data!$A$1:$DZU$10000,213,FALSE)</f>
        <v>#N/A</v>
      </c>
      <c r="I13" s="2" t="e">
        <f>VLOOKUP(A1,Data!$A$1:$DZU$10000,214,FALSE)</f>
        <v>#N/A</v>
      </c>
      <c r="J13" s="2" t="e">
        <f>VLOOKUP(A1,Data!$A$1:$DZU$10000,215,FALSE)</f>
        <v>#N/A</v>
      </c>
      <c r="K13" s="2" t="e">
        <f>VLOOKUP(A1,Data!$A$1:$DZU$10000,216,FALSE)</f>
        <v>#N/A</v>
      </c>
      <c r="L13" s="2" t="e">
        <f>VLOOKUP(A1,Data!$A$1:$DZU$10000,217,FALSE)</f>
        <v>#N/A</v>
      </c>
      <c r="M13" s="2" t="e">
        <f>VLOOKUP(A1,Data!$A$1:$DZU$10000,218,FALSE)</f>
        <v>#N/A</v>
      </c>
      <c r="N13" s="2" t="e">
        <f>VLOOKUP(A1,Data!$A$1:$DZU$10000,219,FALSE)</f>
        <v>#N/A</v>
      </c>
      <c r="O13" s="2" t="e">
        <f>VLOOKUP(A1,Data!$A$1:$DZU$10000,220,FALSE)</f>
        <v>#N/A</v>
      </c>
      <c r="P13" s="2" t="e">
        <f>VLOOKUP(A1,Data!$A$1:$DZU$10000,221,FALSE)</f>
        <v>#N/A</v>
      </c>
      <c r="Q13" s="5" t="e">
        <f>VLOOKUP(A1,Data!$A$1:$DZU$10000,222,FALSE)</f>
        <v>#N/A</v>
      </c>
    </row>
    <row r="14" spans="1:17" ht="15.75" customHeight="1" x14ac:dyDescent="0.25">
      <c r="A14" s="37" t="e">
        <f>VLOOKUP(A1,Data!$A$1:$DZU$10000,223,FALSE)</f>
        <v>#N/A</v>
      </c>
      <c r="B14" s="34"/>
      <c r="C14" s="2" t="e">
        <f>VLOOKUP(A1,Data!$A$1:$DZU$10000,225,FALSE)</f>
        <v>#N/A</v>
      </c>
      <c r="D14" s="2" t="e">
        <f>VLOOKUP(A1,Data!$A$1:$DZU$10000,226,FALSE)</f>
        <v>#N/A</v>
      </c>
      <c r="E14" s="2" t="e">
        <f>VLOOKUP(A1,Data!$A$1:$DZU$10000,227,FALSE)</f>
        <v>#N/A</v>
      </c>
      <c r="F14" s="2" t="e">
        <f>VLOOKUP(A1,Data!$A$1:$DZU$10000,228,FALSE)</f>
        <v>#N/A</v>
      </c>
      <c r="G14" s="2" t="e">
        <f>VLOOKUP(A1,Data!$A$1:$DZU$10000,229,FALSE)</f>
        <v>#N/A</v>
      </c>
      <c r="H14" s="2" t="e">
        <f>VLOOKUP(A1,Data!$A$1:$DZU$10000,230,FALSE)</f>
        <v>#N/A</v>
      </c>
      <c r="I14" s="2" t="e">
        <f>VLOOKUP(A1,Data!$A$1:$DZU$10000,231,FALSE)</f>
        <v>#N/A</v>
      </c>
      <c r="J14" s="2" t="e">
        <f>VLOOKUP(A1,Data!$A$1:$DZU$10000,232,FALSE)</f>
        <v>#N/A</v>
      </c>
      <c r="K14" s="2" t="e">
        <f>VLOOKUP(A1,Data!$A$1:$DZU$10000,233,FALSE)</f>
        <v>#N/A</v>
      </c>
      <c r="L14" s="2" t="e">
        <f>VLOOKUP(A1,Data!$A$1:$DZU$10000,234,FALSE)</f>
        <v>#N/A</v>
      </c>
      <c r="M14" s="2" t="e">
        <f>VLOOKUP(A1,Data!$A$1:$DZU$10000,235,FALSE)</f>
        <v>#N/A</v>
      </c>
      <c r="N14" s="2" t="e">
        <f>VLOOKUP(A1,Data!$A$1:$DZU$10000,236,FALSE)</f>
        <v>#N/A</v>
      </c>
      <c r="O14" s="2" t="e">
        <f>VLOOKUP(A1,Data!$A$1:$DZU$10000,237,FALSE)</f>
        <v>#N/A</v>
      </c>
      <c r="P14" s="2" t="e">
        <f>VLOOKUP(A1,Data!$A$1:$DZU$10000,238,FALSE)</f>
        <v>#N/A</v>
      </c>
      <c r="Q14" s="5" t="e">
        <f>VLOOKUP(A1,Data!$A$1:$DZU$10000,239,FALSE)</f>
        <v>#N/A</v>
      </c>
    </row>
    <row r="15" spans="1:17" ht="15.75" customHeight="1" x14ac:dyDescent="0.25">
      <c r="A15" s="37" t="e">
        <f>VLOOKUP(A1,Data!$A$1:$DZU$10000,240,FALSE)</f>
        <v>#N/A</v>
      </c>
      <c r="B15" s="34"/>
      <c r="C15" s="2" t="e">
        <f>VLOOKUP(A1,Data!$A$1:$DZU$10000,242,FALSE)</f>
        <v>#N/A</v>
      </c>
      <c r="D15" s="2" t="e">
        <f>VLOOKUP(A1,Data!$A$1:$DZU$10000,243,FALSE)</f>
        <v>#N/A</v>
      </c>
      <c r="E15" s="2" t="e">
        <f>VLOOKUP(A1,Data!$A$1:$DZU$10000,244,FALSE)</f>
        <v>#N/A</v>
      </c>
      <c r="F15" s="2" t="e">
        <f>VLOOKUP(A1,Data!$A$1:$DZU$10000,245,FALSE)</f>
        <v>#N/A</v>
      </c>
      <c r="G15" s="2" t="e">
        <f>VLOOKUP(A1,Data!$A$1:$DZU$10000,246,FALSE)</f>
        <v>#N/A</v>
      </c>
      <c r="H15" s="2" t="e">
        <f>VLOOKUP(A1,Data!$A$1:$DZU$10000,247,FALSE)</f>
        <v>#N/A</v>
      </c>
      <c r="I15" s="2" t="e">
        <f>VLOOKUP(A1,Data!$A$1:$DZU$10000,248,FALSE)</f>
        <v>#N/A</v>
      </c>
      <c r="J15" s="2" t="e">
        <f>VLOOKUP(A1,Data!$A$1:$DZU$10000,249,FALSE)</f>
        <v>#N/A</v>
      </c>
      <c r="K15" s="2" t="e">
        <f>VLOOKUP(A1,Data!$A$1:$DZU$10000,250,FALSE)</f>
        <v>#N/A</v>
      </c>
      <c r="L15" s="2" t="e">
        <f>VLOOKUP(A1,Data!$A$1:$DZU$10000,251,FALSE)</f>
        <v>#N/A</v>
      </c>
      <c r="M15" s="2" t="e">
        <f>VLOOKUP(A1,Data!$A$1:$DZU$10000,252,FALSE)</f>
        <v>#N/A</v>
      </c>
      <c r="N15" s="2" t="e">
        <f>VLOOKUP(A1,Data!$A$1:$DZU$10000,253,FALSE)</f>
        <v>#N/A</v>
      </c>
      <c r="O15" s="2" t="e">
        <f>VLOOKUP(A1,Data!$A$1:$DZU$10000,254,FALSE)</f>
        <v>#N/A</v>
      </c>
      <c r="P15" s="2" t="e">
        <f>VLOOKUP(A1,Data!$A$1:$DZU$10000,255,FALSE)</f>
        <v>#N/A</v>
      </c>
      <c r="Q15" s="5" t="e">
        <f>VLOOKUP(A1,Data!$A$1:$DZU$10000,256,FALSE)</f>
        <v>#N/A</v>
      </c>
    </row>
    <row r="16" spans="1:17" ht="15.75" customHeight="1" x14ac:dyDescent="0.25">
      <c r="A16" s="37" t="e">
        <f>VLOOKUP(A1,Data!$A$1:$DZU$10000,257,FALSE)</f>
        <v>#N/A</v>
      </c>
      <c r="B16" s="34"/>
      <c r="C16" s="2" t="e">
        <f>VLOOKUP(A1,Data!$A$1:$DZU$10000,259,FALSE)</f>
        <v>#N/A</v>
      </c>
      <c r="D16" s="2" t="e">
        <f>VLOOKUP(A1,Data!$A$1:$DZU$10000,260,FALSE)</f>
        <v>#N/A</v>
      </c>
      <c r="E16" s="2" t="e">
        <f>VLOOKUP(A1,Data!$A$1:$DZU$10000,261,FALSE)</f>
        <v>#N/A</v>
      </c>
      <c r="F16" s="2" t="e">
        <f>VLOOKUP(A1,Data!$A$1:$DZU$10000,262,FALSE)</f>
        <v>#N/A</v>
      </c>
      <c r="G16" s="2" t="e">
        <f>VLOOKUP(A1,Data!$A$1:$DZU$10000,263,FALSE)</f>
        <v>#N/A</v>
      </c>
      <c r="H16" s="2" t="e">
        <f>VLOOKUP(A1,Data!$A$1:$DZU$10000,264,FALSE)</f>
        <v>#N/A</v>
      </c>
      <c r="I16" s="2" t="e">
        <f>VLOOKUP(A1,Data!$A$1:$DZU$10000,265,FALSE)</f>
        <v>#N/A</v>
      </c>
      <c r="J16" s="2" t="e">
        <f>VLOOKUP(A1,Data!$A$1:$DZU$10000,266,FALSE)</f>
        <v>#N/A</v>
      </c>
      <c r="K16" s="2" t="e">
        <f>VLOOKUP(A1,Data!$A$1:$DZU$10000,267,FALSE)</f>
        <v>#N/A</v>
      </c>
      <c r="L16" s="2" t="e">
        <f>VLOOKUP(A1,Data!$A$1:$DZU$10000,268,FALSE)</f>
        <v>#N/A</v>
      </c>
      <c r="M16" s="2" t="e">
        <f>VLOOKUP(A1,Data!$A$1:$DZU$10000,269,FALSE)</f>
        <v>#N/A</v>
      </c>
      <c r="N16" s="2" t="e">
        <f>VLOOKUP(A1,Data!$A$1:$DZU$10000,270,FALSE)</f>
        <v>#N/A</v>
      </c>
      <c r="O16" s="2" t="e">
        <f>VLOOKUP(A1,Data!$A$1:$DZU$10000,271,FALSE)</f>
        <v>#N/A</v>
      </c>
      <c r="P16" s="2" t="e">
        <f>VLOOKUP(A1,Data!$A$1:$DZU$10000,272,FALSE)</f>
        <v>#N/A</v>
      </c>
      <c r="Q16" s="5" t="e">
        <f>VLOOKUP(A1,Data!$A$1:$DZU$10000,273,FALSE)</f>
        <v>#N/A</v>
      </c>
    </row>
    <row r="17" spans="1:17" ht="15.75" customHeight="1" x14ac:dyDescent="0.25">
      <c r="A17" s="40" t="e">
        <f>VLOOKUP(A1,Data!$A$1:$DZU$10000,274,FALSE)</f>
        <v>#N/A</v>
      </c>
      <c r="B17" s="34"/>
      <c r="C17" s="2" t="e">
        <f>VLOOKUP(A1,Data!$A$1:$DZU$10000,276,FALSE)</f>
        <v>#N/A</v>
      </c>
      <c r="D17" s="2" t="e">
        <f>VLOOKUP(A1,Data!$A$1:$DZU$10000,277,FALSE)</f>
        <v>#N/A</v>
      </c>
      <c r="E17" s="2" t="e">
        <f>VLOOKUP(A1,Data!$A$1:$DZU$10000,278,FALSE)</f>
        <v>#N/A</v>
      </c>
      <c r="F17" s="2" t="e">
        <f>VLOOKUP(A1,Data!$A$1:$DZU$10000,279,FALSE)</f>
        <v>#N/A</v>
      </c>
      <c r="G17" s="2" t="e">
        <f>VLOOKUP(A1,Data!$A$1:$DZU$10000,280,FALSE)</f>
        <v>#N/A</v>
      </c>
      <c r="H17" s="2" t="e">
        <f>VLOOKUP(A1,Data!$A$1:$DZU$10000,281,FALSE)</f>
        <v>#N/A</v>
      </c>
      <c r="I17" s="2" t="e">
        <f>VLOOKUP(A1,Data!$A$1:$DZU$10000,282,FALSE)</f>
        <v>#N/A</v>
      </c>
      <c r="J17" s="2" t="e">
        <f>VLOOKUP(A1,Data!$A$1:$DZU$10000,283,FALSE)</f>
        <v>#N/A</v>
      </c>
      <c r="K17" s="2" t="e">
        <f>VLOOKUP(A1,Data!$A$1:$DZU$10000,284,FALSE)</f>
        <v>#N/A</v>
      </c>
      <c r="L17" s="2" t="e">
        <f>VLOOKUP(A1,Data!$A$1:$DZU$10000,285,FALSE)</f>
        <v>#N/A</v>
      </c>
      <c r="M17" s="2" t="e">
        <f>VLOOKUP(A1,Data!$A$1:$DZU$10000,286,FALSE)</f>
        <v>#N/A</v>
      </c>
      <c r="N17" s="2" t="e">
        <f>VLOOKUP(A1,Data!$A$1:$DZU$10000,287,FALSE)</f>
        <v>#N/A</v>
      </c>
      <c r="O17" s="2" t="e">
        <f>VLOOKUP(A1,Data!$A$1:$DZU$10000,288,FALSE)</f>
        <v>#N/A</v>
      </c>
      <c r="P17" s="2" t="e">
        <f>VLOOKUP(A1,Data!$A$1:$DZU$10000,289,FALSE)</f>
        <v>#N/A</v>
      </c>
      <c r="Q17" s="5" t="e">
        <f>VLOOKUP(A1,Data!$A$1:$DZU$10000,290,FALSE)</f>
        <v>#N/A</v>
      </c>
    </row>
    <row r="18" spans="1:17" ht="15.75" customHeight="1" x14ac:dyDescent="0.25">
      <c r="A18" s="37" t="e">
        <f>VLOOKUP(A1,Data!$A$1:$DZU$10000,291,FALSE)</f>
        <v>#N/A</v>
      </c>
      <c r="B18" s="34"/>
      <c r="C18" s="2" t="e">
        <f>VLOOKUP(A1,Data!$A$1:$DZU$10000,293,FALSE)</f>
        <v>#N/A</v>
      </c>
      <c r="D18" s="2" t="e">
        <f>VLOOKUP(A1,Data!$A$1:$DZU$10000,294,FALSE)</f>
        <v>#N/A</v>
      </c>
      <c r="E18" s="2" t="e">
        <f>VLOOKUP(A1,Data!$A$1:$DZU$10000,295,FALSE)</f>
        <v>#N/A</v>
      </c>
      <c r="F18" s="2" t="e">
        <f>VLOOKUP(A1,Data!$A$1:$DZU$10000,296,FALSE)</f>
        <v>#N/A</v>
      </c>
      <c r="G18" s="2" t="e">
        <f>VLOOKUP(A1,Data!$A$1:$DZU$10000,297,FALSE)</f>
        <v>#N/A</v>
      </c>
      <c r="H18" s="2" t="e">
        <f>VLOOKUP(A1,Data!$A$1:$DZU$10000,298,FALSE)</f>
        <v>#N/A</v>
      </c>
      <c r="I18" s="2" t="e">
        <f>VLOOKUP(A1,Data!$A$1:$DZU$10000,299,FALSE)</f>
        <v>#N/A</v>
      </c>
      <c r="J18" s="2" t="e">
        <f>VLOOKUP(A1,Data!$A$1:$DZU$10000,300,FALSE)</f>
        <v>#N/A</v>
      </c>
      <c r="K18" s="2" t="e">
        <f>VLOOKUP(A1,Data!$A$1:$DZU$10000,301,FALSE)</f>
        <v>#N/A</v>
      </c>
      <c r="L18" s="2" t="e">
        <f>VLOOKUP(A1,Data!$A$1:$DZU$10000,302,FALSE)</f>
        <v>#N/A</v>
      </c>
      <c r="M18" s="2" t="e">
        <f>VLOOKUP(A1,Data!$A$1:$DZU$10000,303,FALSE)</f>
        <v>#N/A</v>
      </c>
      <c r="N18" s="2" t="e">
        <f>VLOOKUP(A1,Data!$A$1:$DZU$10000,304,FALSE)</f>
        <v>#N/A</v>
      </c>
      <c r="O18" s="2" t="e">
        <f>VLOOKUP(A1,Data!$A$1:$DZU$10000,305,FALSE)</f>
        <v>#N/A</v>
      </c>
      <c r="P18" s="2" t="e">
        <f>VLOOKUP(A1,Data!$A$1:$DZU$10000,306,FALSE)</f>
        <v>#N/A</v>
      </c>
      <c r="Q18" s="5" t="e">
        <f>VLOOKUP(A1,Data!$A$1:$DZU$10000,307,FALSE)</f>
        <v>#N/A</v>
      </c>
    </row>
    <row r="19" spans="1:17" ht="15.75" customHeight="1" x14ac:dyDescent="0.25">
      <c r="A19" s="37" t="e">
        <f>VLOOKUP(A1,Data!$A$1:$DZU$10000,308,FALSE)</f>
        <v>#N/A</v>
      </c>
      <c r="B19" s="34"/>
      <c r="C19" s="2" t="e">
        <f>VLOOKUP(A1,Data!$A$1:$DZU$10000,310,FALSE)</f>
        <v>#N/A</v>
      </c>
      <c r="D19" s="2" t="e">
        <f>VLOOKUP(A1,Data!$A$1:$DZU$10000,311,FALSE)</f>
        <v>#N/A</v>
      </c>
      <c r="E19" s="2" t="e">
        <f>VLOOKUP(A1,Data!$A$1:$DZU$10000,312,FALSE)</f>
        <v>#N/A</v>
      </c>
      <c r="F19" s="2" t="e">
        <f>VLOOKUP(A1,Data!$A$1:$DZU$10000,313,FALSE)</f>
        <v>#N/A</v>
      </c>
      <c r="G19" s="2" t="e">
        <f>VLOOKUP(A1,Data!$A$1:$DZU$10000,314,FALSE)</f>
        <v>#N/A</v>
      </c>
      <c r="H19" s="2" t="e">
        <f>VLOOKUP(A1,Data!$A$1:$DZU$10000,315,FALSE)</f>
        <v>#N/A</v>
      </c>
      <c r="I19" s="2" t="e">
        <f>VLOOKUP(A1,Data!$A$1:$DZU$10000,316,FALSE)</f>
        <v>#N/A</v>
      </c>
      <c r="J19" s="2" t="e">
        <f>VLOOKUP(A1,Data!$A$1:$DZU$10000,317,FALSE)</f>
        <v>#N/A</v>
      </c>
      <c r="K19" s="2" t="e">
        <f>VLOOKUP(A1,Data!$A$1:$DZU$10000,318,FALSE)</f>
        <v>#N/A</v>
      </c>
      <c r="L19" s="2" t="e">
        <f>VLOOKUP(A1,Data!$A$1:$DZU$10000,319,FALSE)</f>
        <v>#N/A</v>
      </c>
      <c r="M19" s="2" t="e">
        <f>VLOOKUP(A1,Data!$A$1:$DZU$10000,320,FALSE)</f>
        <v>#N/A</v>
      </c>
      <c r="N19" s="2" t="e">
        <f>VLOOKUP(A1,Data!$A$1:$DZU$10000,321,FALSE)</f>
        <v>#N/A</v>
      </c>
      <c r="O19" s="2" t="e">
        <f>VLOOKUP(A1,Data!$A$1:$DZU$10000,322,FALSE)</f>
        <v>#N/A</v>
      </c>
      <c r="P19" s="2" t="e">
        <f>VLOOKUP(A1,Data!$A$1:$DZU$10000,323,FALSE)</f>
        <v>#N/A</v>
      </c>
      <c r="Q19" s="5" t="e">
        <f>VLOOKUP(A1,Data!$A$1:$DZU$10000,324,FALSE)</f>
        <v>#N/A</v>
      </c>
    </row>
    <row r="20" spans="1:17" ht="15.75" customHeight="1" x14ac:dyDescent="0.3">
      <c r="A20" s="8" t="e">
        <f>VLOOKUP(A1,Data!$A$1:$DZU$10000,325,FALSE)</f>
        <v>#N/A</v>
      </c>
      <c r="B20" s="8" t="e">
        <f>VLOOKUP(A1,Data!$A$1:$DZU$10000,326,FALSE)</f>
        <v>#N/A</v>
      </c>
      <c r="C20" s="8" t="e">
        <f>VLOOKUP(A1,Data!$A$1:$DZU$10000,327,FALSE)</f>
        <v>#N/A</v>
      </c>
      <c r="D20" s="8" t="e">
        <f>VLOOKUP(A1,Data!$A$1:$DZU$10000,328,FALSE)</f>
        <v>#N/A</v>
      </c>
      <c r="E20" s="2" t="e">
        <f>VLOOKUP(A1,Data!$A$1:$DZU$10000,329,FALSE)</f>
        <v>#N/A</v>
      </c>
      <c r="F20" s="2" t="e">
        <f>VLOOKUP(A1,Data!$A$1:$DZU$10000,330,FALSE)</f>
        <v>#N/A</v>
      </c>
      <c r="G20" s="2" t="e">
        <f>VLOOKUP(A1,Data!$A$1:$DZU$10000,331,FALSE)</f>
        <v>#N/A</v>
      </c>
      <c r="H20" s="2" t="e">
        <f>VLOOKUP(A1,Data!$A$1:$DZU$10000,332,FALSE)</f>
        <v>#N/A</v>
      </c>
      <c r="I20" s="2" t="e">
        <f>VLOOKUP(A1,Data!$A$1:$DZU$10000,333,FALSE)</f>
        <v>#N/A</v>
      </c>
      <c r="J20" s="2" t="e">
        <f>VLOOKUP(A1,Data!$A$1:$DZU$10000,334,FALSE)</f>
        <v>#N/A</v>
      </c>
      <c r="K20" s="2" t="e">
        <f>VLOOKUP(A1,Data!$A$1:$DZU$10000,335,FALSE)</f>
        <v>#N/A</v>
      </c>
      <c r="L20" s="2" t="e">
        <f>VLOOKUP(A1,Data!$A$1:$DZU$10000,336,FALSE)</f>
        <v>#N/A</v>
      </c>
      <c r="M20" s="2" t="e">
        <f>VLOOKUP(A1,Data!$A$1:$DZU$10000,337,FALSE)</f>
        <v>#N/A</v>
      </c>
      <c r="N20" s="2" t="e">
        <f>VLOOKUP(A1,Data!$A$1:$DZU$10000,338,FALSE)</f>
        <v>#N/A</v>
      </c>
      <c r="O20" s="2" t="e">
        <f>VLOOKUP(A1,Data!$A$1:$DZU$10000,339,FALSE)</f>
        <v>#N/A</v>
      </c>
      <c r="P20" s="2" t="e">
        <f>VLOOKUP(A1,Data!$A$1:$DZU$10000,340,FALSE)</f>
        <v>#N/A</v>
      </c>
      <c r="Q20" s="5" t="e">
        <f>VLOOKUP(A1,Data!$A$1:$DZU$10000,341,FALSE)</f>
        <v>#N/A</v>
      </c>
    </row>
    <row r="21" spans="1:17" ht="15.75" customHeight="1" x14ac:dyDescent="0.25">
      <c r="A21" s="9" t="e">
        <f>VLOOKUP(A1,Data!$A$1:$DZU$10000,342,FALSE)</f>
        <v>#N/A</v>
      </c>
      <c r="B21" s="9" t="e">
        <f>VLOOKUP(A1,Data!$A$1:$DZU$10000,343,FALSE)</f>
        <v>#N/A</v>
      </c>
      <c r="C21" s="10" t="e">
        <f>VLOOKUP(A1,Data!$A$1:$DZU$10000,344,FALSE)</f>
        <v>#N/A</v>
      </c>
      <c r="D21" s="11" t="e">
        <f>VLOOKUP(A1,Data!$A$1:$DZU$10000,345,FALSE)</f>
        <v>#N/A</v>
      </c>
      <c r="E21" s="2" t="e">
        <f>VLOOKUP(A1,Data!$A$1:$DZU$10000,346,FALSE)</f>
        <v>#N/A</v>
      </c>
      <c r="F21" s="2" t="e">
        <f>VLOOKUP(A1,Data!$A$1:$DZU$10000,347,FALSE)</f>
        <v>#N/A</v>
      </c>
      <c r="G21" s="2" t="e">
        <f>VLOOKUP(A1,Data!$A$1:$DZU$10000,348,FALSE)</f>
        <v>#N/A</v>
      </c>
      <c r="H21" s="2" t="e">
        <f>VLOOKUP(A1,Data!$A$1:$DZU$10000,349,FALSE)</f>
        <v>#N/A</v>
      </c>
      <c r="I21" s="2" t="e">
        <f>VLOOKUP(A1,Data!$A$1:$DZU$10000,350,FALSE)</f>
        <v>#N/A</v>
      </c>
      <c r="J21" s="2" t="e">
        <f>VLOOKUP(A1,Data!$A$1:$DZU$10000,351,FALSE)</f>
        <v>#N/A</v>
      </c>
      <c r="K21" s="2" t="e">
        <f>VLOOKUP(A1,Data!$A$1:$DZU$10000,352,FALSE)</f>
        <v>#N/A</v>
      </c>
      <c r="L21" s="2" t="e">
        <f>VLOOKUP(A1,Data!$A$1:$DZU$10000,353,FALSE)</f>
        <v>#N/A</v>
      </c>
      <c r="M21" s="2" t="e">
        <f>VLOOKUP(A1,Data!$A$1:$DZU$10000,354,FALSE)</f>
        <v>#N/A</v>
      </c>
      <c r="N21" s="2" t="e">
        <f>VLOOKUP(A1,Data!$A$1:$DZU$10000,355,FALSE)</f>
        <v>#N/A</v>
      </c>
      <c r="O21" s="2" t="e">
        <f>VLOOKUP(A1,Data!$A$1:$DZU$10000,356,FALSE)</f>
        <v>#N/A</v>
      </c>
      <c r="P21" s="2" t="e">
        <f>VLOOKUP(A1,Data!$A$1:$DZU$10000,357,FALSE)</f>
        <v>#N/A</v>
      </c>
      <c r="Q21" s="5" t="e">
        <f>VLOOKUP(A1,Data!$A$1:$DZU$10000,358,FALSE)</f>
        <v>#N/A</v>
      </c>
    </row>
    <row r="22" spans="1:17" ht="15.75" customHeight="1" x14ac:dyDescent="0.25">
      <c r="A22" s="9" t="e">
        <f>VLOOKUP(A1,Data!$A$1:$DZU$10000,359,FALSE)</f>
        <v>#N/A</v>
      </c>
      <c r="B22" s="9" t="e">
        <f>VLOOKUP(A1,Data!$A$1:$DZU$10000,360,FALSE)</f>
        <v>#N/A</v>
      </c>
      <c r="C22" s="10" t="e">
        <f>VLOOKUP(A1,Data!$A$1:$DZU$10000,361,FALSE)</f>
        <v>#N/A</v>
      </c>
      <c r="D22" s="11" t="e">
        <f>VLOOKUP(A1,Data!$A$1:$DZU$10000,362,FALSE)</f>
        <v>#N/A</v>
      </c>
      <c r="E22" s="2" t="e">
        <f>VLOOKUP(A1,Data!$A$1:$DZU$10000,363,FALSE)</f>
        <v>#N/A</v>
      </c>
      <c r="F22" s="2" t="e">
        <f>VLOOKUP(A1,Data!$A$1:$DZU$10000,364,FALSE)</f>
        <v>#N/A</v>
      </c>
      <c r="G22" s="2" t="e">
        <f>VLOOKUP(A1,Data!$A$1:$DZU$10000,365,FALSE)</f>
        <v>#N/A</v>
      </c>
      <c r="H22" s="2" t="e">
        <f>VLOOKUP(A1,Data!$A$1:$DZU$10000,366,FALSE)</f>
        <v>#N/A</v>
      </c>
      <c r="I22" s="2" t="e">
        <f>VLOOKUP(A1,Data!$A$1:$DZU$10000,367,FALSE)</f>
        <v>#N/A</v>
      </c>
      <c r="J22" s="2" t="e">
        <f>VLOOKUP(A1,Data!$A$1:$DZU$10000,368,FALSE)</f>
        <v>#N/A</v>
      </c>
      <c r="K22" s="2" t="e">
        <f>VLOOKUP(A1,Data!$A$1:$DZU$10000,369,FALSE)</f>
        <v>#N/A</v>
      </c>
      <c r="L22" s="2" t="e">
        <f>VLOOKUP(A1,Data!$A$1:$DZU$10000,370,FALSE)</f>
        <v>#N/A</v>
      </c>
      <c r="M22" s="2" t="e">
        <f>VLOOKUP(A1,Data!$A$1:$DZU$10000,371,FALSE)</f>
        <v>#N/A</v>
      </c>
      <c r="N22" s="2" t="e">
        <f>VLOOKUP(A1,Data!$A$1:$DZU$10000,372,FALSE)</f>
        <v>#N/A</v>
      </c>
      <c r="O22" s="2" t="e">
        <f>VLOOKUP(A1,Data!$A$1:$DZU$10000,373,FALSE)</f>
        <v>#N/A</v>
      </c>
      <c r="P22" s="2" t="e">
        <f>VLOOKUP(A1,Data!$A$1:$DZU$10000,374,FALSE)</f>
        <v>#N/A</v>
      </c>
      <c r="Q22" s="5" t="e">
        <f>VLOOKUP(A1,Data!$A$1:$DZU$10000,375,FALSE)</f>
        <v>#N/A</v>
      </c>
    </row>
    <row r="23" spans="1:17" ht="15.75" customHeight="1" x14ac:dyDescent="0.25">
      <c r="A23" s="9" t="e">
        <f>VLOOKUP(A1,Data!$A$1:$DZU$10000,376,FALSE)</f>
        <v>#N/A</v>
      </c>
      <c r="B23" s="9" t="e">
        <f>VLOOKUP(A1,Data!$A$1:$DZU$10000,377,FALSE)</f>
        <v>#N/A</v>
      </c>
      <c r="C23" s="10" t="e">
        <f>VLOOKUP(A1,Data!$A$1:$DZU$10000,378,FALSE)</f>
        <v>#N/A</v>
      </c>
      <c r="D23" s="11" t="e">
        <f>VLOOKUP(A1,Data!$A$1:$DZU$10000,379,FALSE)</f>
        <v>#N/A</v>
      </c>
      <c r="E23" s="2" t="e">
        <f>VLOOKUP(A1,Data!$A$1:$DZU$10000,380,FALSE)</f>
        <v>#N/A</v>
      </c>
      <c r="F23" s="2" t="e">
        <f>VLOOKUP(A1,Data!$A$1:$DZU$10000,381,FALSE)</f>
        <v>#N/A</v>
      </c>
      <c r="G23" s="2" t="e">
        <f>VLOOKUP(A1,Data!$A$1:$DZU$10000,382,FALSE)</f>
        <v>#N/A</v>
      </c>
      <c r="H23" s="2" t="e">
        <f>VLOOKUP(A1,Data!$A$1:$DZU$10000,383,FALSE)</f>
        <v>#N/A</v>
      </c>
      <c r="I23" s="2" t="e">
        <f>VLOOKUP(A1,Data!$A$1:$DZU$10000,384,FALSE)</f>
        <v>#N/A</v>
      </c>
      <c r="J23" s="2" t="e">
        <f>VLOOKUP(A1,Data!$A$1:$DZU$10000,385,FALSE)</f>
        <v>#N/A</v>
      </c>
      <c r="K23" s="2" t="e">
        <f>VLOOKUP(A1,Data!$A$1:$DZU$10000,386,FALSE)</f>
        <v>#N/A</v>
      </c>
      <c r="L23" s="2" t="e">
        <f>VLOOKUP(A1,Data!$A$1:$DZU$10000,387,FALSE)</f>
        <v>#N/A</v>
      </c>
      <c r="M23" s="2" t="e">
        <f>VLOOKUP(A1,Data!$A$1:$DZU$10000,388,FALSE)</f>
        <v>#N/A</v>
      </c>
      <c r="N23" s="2" t="e">
        <f>VLOOKUP(A1,Data!$A$1:$DZU$10000,389,FALSE)</f>
        <v>#N/A</v>
      </c>
      <c r="O23" s="2" t="e">
        <f>VLOOKUP(A1,Data!$A$1:$DZU$10000,390,FALSE)</f>
        <v>#N/A</v>
      </c>
      <c r="P23" s="2" t="e">
        <f>VLOOKUP(A1,Data!$A$1:$DZU$10000,391,FALSE)</f>
        <v>#N/A</v>
      </c>
      <c r="Q23" s="5" t="e">
        <f>VLOOKUP(A1,Data!$A$1:$DZU$10000,392,FALSE)</f>
        <v>#N/A</v>
      </c>
    </row>
    <row r="24" spans="1:17" ht="15.75" customHeight="1" x14ac:dyDescent="0.25">
      <c r="A24" s="9" t="e">
        <f>VLOOKUP(A1,Data!$A$1:$DZU$10000,393,FALSE)</f>
        <v>#N/A</v>
      </c>
      <c r="B24" s="9" t="e">
        <f>VLOOKUP(A1,Data!$A$1:$DZU$10000,394,FALSE)</f>
        <v>#N/A</v>
      </c>
      <c r="C24" s="10" t="e">
        <f>VLOOKUP(A1,Data!$A$1:$DZU$10000,395,FALSE)</f>
        <v>#N/A</v>
      </c>
      <c r="D24" s="11" t="e">
        <f>VLOOKUP(A1,Data!$A$1:$DZU$10000,396,FALSE)</f>
        <v>#N/A</v>
      </c>
      <c r="E24" s="2" t="e">
        <f>VLOOKUP(A1,Data!$A$1:$DZU$10000,397,FALSE)</f>
        <v>#N/A</v>
      </c>
      <c r="F24" s="2" t="e">
        <f>VLOOKUP(A1,Data!$A$1:$DZU$10000,398,FALSE)</f>
        <v>#N/A</v>
      </c>
      <c r="G24" s="2" t="e">
        <f>VLOOKUP(A1,Data!$A$1:$DZU$10000,399,FALSE)</f>
        <v>#N/A</v>
      </c>
      <c r="H24" s="2" t="e">
        <f>VLOOKUP(A1,Data!$A$1:$DZU$10000,400,FALSE)</f>
        <v>#N/A</v>
      </c>
      <c r="I24" s="2" t="e">
        <f>VLOOKUP(A1,Data!$A$1:$DZU$10000,401,FALSE)</f>
        <v>#N/A</v>
      </c>
      <c r="J24" s="2" t="e">
        <f>VLOOKUP(A1,Data!$A$1:$DZU$10000,402,FALSE)</f>
        <v>#N/A</v>
      </c>
      <c r="K24" s="2" t="e">
        <f>VLOOKUP(A1,Data!$A$1:$DZU$10000,403,FALSE)</f>
        <v>#N/A</v>
      </c>
      <c r="L24" s="2" t="e">
        <f>VLOOKUP(A1,Data!$A$1:$DZU$10000,404,FALSE)</f>
        <v>#N/A</v>
      </c>
      <c r="M24" s="2" t="e">
        <f>VLOOKUP(A1,Data!$A$1:$DZU$10000,405,FALSE)</f>
        <v>#N/A</v>
      </c>
      <c r="N24" s="2" t="e">
        <f>VLOOKUP(A1,Data!$A$1:$DZU$10000,406,FALSE)</f>
        <v>#N/A</v>
      </c>
      <c r="O24" s="2" t="e">
        <f>VLOOKUP(A1,Data!$A$1:$DZU$10000,407,FALSE)</f>
        <v>#N/A</v>
      </c>
      <c r="P24" s="2" t="e">
        <f>VLOOKUP(A1,Data!$A$1:$DZU$10000,408,FALSE)</f>
        <v>#N/A</v>
      </c>
      <c r="Q24" s="5" t="e">
        <f>VLOOKUP(A1,Data!$A$1:$DZU$10000,409,FALSE)</f>
        <v>#N/A</v>
      </c>
    </row>
    <row r="25" spans="1:17" ht="15.75" customHeight="1" x14ac:dyDescent="0.25">
      <c r="A25" s="9" t="e">
        <f>VLOOKUP(A1,Data!$A$1:$DZU$10000,410,FALSE)</f>
        <v>#N/A</v>
      </c>
      <c r="B25" s="9" t="e">
        <f>VLOOKUP(A1,Data!$A$1:$DZU$10000,411,FALSE)</f>
        <v>#N/A</v>
      </c>
      <c r="C25" s="10" t="e">
        <f>VLOOKUP(A1,Data!$A$1:$DZU$10000,412,FALSE)</f>
        <v>#N/A</v>
      </c>
      <c r="D25" s="11" t="e">
        <f>VLOOKUP(A1,Data!$A$1:$DZU$10000,413,FALSE)</f>
        <v>#N/A</v>
      </c>
      <c r="E25" s="2" t="e">
        <f>VLOOKUP(A1,Data!$A$1:$DZU$10000,414,FALSE)</f>
        <v>#N/A</v>
      </c>
      <c r="F25" s="2" t="e">
        <f>VLOOKUP(A1,Data!$A$1:$DZU$10000,415,FALSE)</f>
        <v>#N/A</v>
      </c>
      <c r="G25" s="2" t="e">
        <f>VLOOKUP(A1,Data!$A$1:$DZU$10000,416,FALSE)</f>
        <v>#N/A</v>
      </c>
      <c r="H25" s="2" t="e">
        <f>VLOOKUP(A1,Data!$A$1:$DZU$10000,417,FALSE)</f>
        <v>#N/A</v>
      </c>
      <c r="I25" s="2" t="e">
        <f>VLOOKUP(A1,Data!$A$1:$DZU$10000,418,FALSE)</f>
        <v>#N/A</v>
      </c>
      <c r="J25" s="2" t="e">
        <f>VLOOKUP(A1,Data!$A$1:$DZU$10000,419,FALSE)</f>
        <v>#N/A</v>
      </c>
      <c r="K25" s="2" t="e">
        <f>VLOOKUP(A1,Data!$A$1:$DZU$10000,420,FALSE)</f>
        <v>#N/A</v>
      </c>
      <c r="L25" s="2" t="e">
        <f>VLOOKUP(A1,Data!$A$1:$DZU$10000,421,FALSE)</f>
        <v>#N/A</v>
      </c>
      <c r="M25" s="2" t="e">
        <f>VLOOKUP(A1,Data!$A$1:$DZU$10000,422,FALSE)</f>
        <v>#N/A</v>
      </c>
      <c r="N25" s="2" t="e">
        <f>VLOOKUP(A1,Data!$A$1:$DZU$10000,423,FALSE)</f>
        <v>#N/A</v>
      </c>
      <c r="O25" s="2" t="e">
        <f>VLOOKUP(A1,Data!$A$1:$DZU$10000,424,FALSE)</f>
        <v>#N/A</v>
      </c>
      <c r="P25" s="2" t="e">
        <f>VLOOKUP(A1,Data!$A$1:$DZU$10000,425,FALSE)</f>
        <v>#N/A</v>
      </c>
      <c r="Q25" s="5" t="e">
        <f>VLOOKUP(A1,Data!$A$1:$DZU$10000,426,FALSE)</f>
        <v>#N/A</v>
      </c>
    </row>
    <row r="26" spans="1:17" ht="15.75" customHeight="1" x14ac:dyDescent="0.25">
      <c r="A26" s="9" t="e">
        <f>VLOOKUP(A1,Data!$A$1:$DZU$10000,427,FALSE)</f>
        <v>#N/A</v>
      </c>
      <c r="B26" s="9" t="e">
        <f>VLOOKUP(A1,Data!$A$1:$DZU$10000,428,FALSE)</f>
        <v>#N/A</v>
      </c>
      <c r="C26" s="10" t="e">
        <f>VLOOKUP(A1,Data!$A$1:$DZU$10000,429,FALSE)</f>
        <v>#N/A</v>
      </c>
      <c r="D26" s="11" t="e">
        <f>VLOOKUP(A1,Data!$A$1:$DZU$10000,430,FALSE)</f>
        <v>#N/A</v>
      </c>
      <c r="E26" s="2" t="e">
        <f>VLOOKUP(A1,Data!$A$1:$DZU$10000,431,FALSE)</f>
        <v>#N/A</v>
      </c>
      <c r="F26" s="2" t="e">
        <f>VLOOKUP(A1,Data!$A$1:$DZU$10000,432,FALSE)</f>
        <v>#N/A</v>
      </c>
      <c r="G26" s="2" t="e">
        <f>VLOOKUP(A1,Data!$A$1:$DZU$10000,433,FALSE)</f>
        <v>#N/A</v>
      </c>
      <c r="H26" s="2" t="e">
        <f>VLOOKUP(A1,Data!$A$1:$DZU$10000,434,FALSE)</f>
        <v>#N/A</v>
      </c>
      <c r="I26" s="2" t="e">
        <f>VLOOKUP(A1,Data!$A$1:$DZU$10000,435,FALSE)</f>
        <v>#N/A</v>
      </c>
      <c r="J26" s="2" t="e">
        <f>VLOOKUP(A1,Data!$A$1:$DZU$10000,436,FALSE)</f>
        <v>#N/A</v>
      </c>
      <c r="K26" s="2" t="e">
        <f>VLOOKUP(A1,Data!$A$1:$DZU$10000,437,FALSE)</f>
        <v>#N/A</v>
      </c>
      <c r="L26" s="2" t="e">
        <f>VLOOKUP(A1,Data!$A$1:$DZU$10000,438,FALSE)</f>
        <v>#N/A</v>
      </c>
      <c r="M26" s="2" t="e">
        <f>VLOOKUP(A1,Data!$A$1:$DZU$10000,439,FALSE)</f>
        <v>#N/A</v>
      </c>
      <c r="N26" s="2" t="e">
        <f>VLOOKUP(A1,Data!$A$1:$DZU$10000,440,FALSE)</f>
        <v>#N/A</v>
      </c>
      <c r="O26" s="2" t="e">
        <f>VLOOKUP(A1,Data!$A$1:$DZU$10000,441,FALSE)</f>
        <v>#N/A</v>
      </c>
      <c r="P26" s="2" t="e">
        <f>VLOOKUP(A1,Data!$A$1:$DZU$10000,442,FALSE)</f>
        <v>#N/A</v>
      </c>
      <c r="Q26" s="5" t="e">
        <f>VLOOKUP(A1,Data!$A$1:$DZU$10000,443,FALSE)</f>
        <v>#N/A</v>
      </c>
    </row>
    <row r="27" spans="1:17" ht="15.75" customHeight="1" x14ac:dyDescent="0.25">
      <c r="A27" s="9" t="e">
        <f>VLOOKUP(A1,Data!$A$1:$DZU$10000,444,FALSE)</f>
        <v>#N/A</v>
      </c>
      <c r="B27" s="9" t="e">
        <f>VLOOKUP(A1,Data!$A$1:$DZU$10000,445,FALSE)</f>
        <v>#N/A</v>
      </c>
      <c r="C27" s="10" t="e">
        <f>VLOOKUP(A1,Data!$A$1:$DZU$10000,446,FALSE)</f>
        <v>#N/A</v>
      </c>
      <c r="D27" s="11" t="e">
        <f>VLOOKUP(A1,Data!$A$1:$DZU$10000,447,FALSE)</f>
        <v>#N/A</v>
      </c>
      <c r="E27" s="2" t="e">
        <f>VLOOKUP(A1,Data!$A$1:$DZU$10000,448,FALSE)</f>
        <v>#N/A</v>
      </c>
      <c r="F27" s="2" t="e">
        <f>VLOOKUP(A1,Data!$A$1:$DZU$10000,449,FALSE)</f>
        <v>#N/A</v>
      </c>
      <c r="G27" s="2" t="e">
        <f>VLOOKUP(A1,Data!$A$1:$DZU$10000,450,FALSE)</f>
        <v>#N/A</v>
      </c>
      <c r="H27" s="2" t="e">
        <f>VLOOKUP(A1,Data!$A$1:$DZU$10000,451,FALSE)</f>
        <v>#N/A</v>
      </c>
      <c r="I27" s="2" t="e">
        <f>VLOOKUP(A1,Data!$A$1:$DZU$10000,452,FALSE)</f>
        <v>#N/A</v>
      </c>
      <c r="J27" s="2" t="e">
        <f>VLOOKUP(A1,Data!$A$1:$DZU$10000,453,FALSE)</f>
        <v>#N/A</v>
      </c>
      <c r="K27" s="2" t="e">
        <f>VLOOKUP(A1,Data!$A$1:$DZU$10000,454,FALSE)</f>
        <v>#N/A</v>
      </c>
      <c r="L27" s="2" t="e">
        <f>VLOOKUP(A1,Data!$A$1:$DZU$10000,455,FALSE)</f>
        <v>#N/A</v>
      </c>
      <c r="M27" s="2" t="e">
        <f>VLOOKUP(A1,Data!$A$1:$DZU$10000,456,FALSE)</f>
        <v>#N/A</v>
      </c>
      <c r="N27" s="2" t="e">
        <f>VLOOKUP(A1,Data!$A$1:$DZU$10000,457,FALSE)</f>
        <v>#N/A</v>
      </c>
      <c r="O27" s="2" t="e">
        <f>VLOOKUP(A1,Data!$A$1:$DZU$10000,458,FALSE)</f>
        <v>#N/A</v>
      </c>
      <c r="P27" s="2" t="e">
        <f>VLOOKUP(A1,Data!$A$1:$DZU$10000,459,FALSE)</f>
        <v>#N/A</v>
      </c>
      <c r="Q27" s="5" t="e">
        <f>VLOOKUP(A1,Data!$A$1:$DZU$10000,460,FALSE)</f>
        <v>#N/A</v>
      </c>
    </row>
    <row r="28" spans="1:17" ht="15.75" customHeight="1" x14ac:dyDescent="0.25">
      <c r="A28" s="9" t="e">
        <f>VLOOKUP(A1,Data!$A$1:$DZU$10000,461,FALSE)</f>
        <v>#N/A</v>
      </c>
      <c r="B28" s="9" t="e">
        <f>VLOOKUP(A1,Data!$A$1:$DZU$10000,462,FALSE)</f>
        <v>#N/A</v>
      </c>
      <c r="C28" s="10" t="e">
        <f>VLOOKUP(A1,Data!$A$1:$DZU$10000,463,FALSE)</f>
        <v>#N/A</v>
      </c>
      <c r="D28" s="11" t="e">
        <f>VLOOKUP(A1,Data!$A$1:$DZU$10000,464,FALSE)</f>
        <v>#N/A</v>
      </c>
      <c r="E28" s="2" t="e">
        <f>VLOOKUP(A1,Data!$A$1:$DZU$10000,465,FALSE)</f>
        <v>#N/A</v>
      </c>
      <c r="F28" s="2" t="e">
        <f>VLOOKUP(A1,Data!$A$1:$DZU$10000,466,FALSE)</f>
        <v>#N/A</v>
      </c>
      <c r="G28" s="2" t="e">
        <f>VLOOKUP(A1,Data!$A$1:$DZU$10000,467,FALSE)</f>
        <v>#N/A</v>
      </c>
      <c r="H28" s="2" t="e">
        <f>VLOOKUP(A1,Data!$A$1:$DZU$10000,468,FALSE)</f>
        <v>#N/A</v>
      </c>
      <c r="I28" s="2" t="e">
        <f>VLOOKUP(A1,Data!$A$1:$DZU$10000,469,FALSE)</f>
        <v>#N/A</v>
      </c>
      <c r="J28" s="2" t="e">
        <f>VLOOKUP(A1,Data!$A$1:$DZU$10000,470,FALSE)</f>
        <v>#N/A</v>
      </c>
      <c r="K28" s="2" t="e">
        <f>VLOOKUP(A1,Data!$A$1:$DZU$10000,471,FALSE)</f>
        <v>#N/A</v>
      </c>
      <c r="L28" s="2" t="e">
        <f>VLOOKUP(A1,Data!$A$1:$DZU$10000,472,FALSE)</f>
        <v>#N/A</v>
      </c>
      <c r="M28" s="2" t="e">
        <f>VLOOKUP(A1,Data!$A$1:$DZU$10000,473,FALSE)</f>
        <v>#N/A</v>
      </c>
      <c r="N28" s="2" t="e">
        <f>VLOOKUP(A1,Data!$A$1:$DZU$10000,474,FALSE)</f>
        <v>#N/A</v>
      </c>
      <c r="O28" s="2" t="e">
        <f>VLOOKUP(A1,Data!$A$1:$DZU$10000,475,FALSE)</f>
        <v>#N/A</v>
      </c>
      <c r="P28" s="2" t="e">
        <f>VLOOKUP(A1,Data!$A$1:$DZU$10000,476,FALSE)</f>
        <v>#N/A</v>
      </c>
      <c r="Q28" s="5" t="e">
        <f>VLOOKUP(A1,Data!$A$1:$DZU$10000,477,FALSE)</f>
        <v>#N/A</v>
      </c>
    </row>
    <row r="29" spans="1:17" ht="15.75" customHeight="1" x14ac:dyDescent="0.25">
      <c r="A29" s="9" t="e">
        <f>VLOOKUP(A1,Data!$A$1:$DZU$10000,478,FALSE)</f>
        <v>#N/A</v>
      </c>
      <c r="B29" s="9" t="e">
        <f>VLOOKUP(A1,Data!$A$1:$DZU$10000,479,FALSE)</f>
        <v>#N/A</v>
      </c>
      <c r="C29" s="10" t="e">
        <f>VLOOKUP(A1,Data!$A$1:$DZU$10000,480,FALSE)</f>
        <v>#N/A</v>
      </c>
      <c r="D29" s="11" t="e">
        <f>VLOOKUP(A1,Data!$A$1:$DZU$10000,481,FALSE)</f>
        <v>#N/A</v>
      </c>
      <c r="E29" s="2" t="e">
        <f>VLOOKUP(A1,Data!$A$1:$DZU$10000,482,FALSE)</f>
        <v>#N/A</v>
      </c>
      <c r="F29" s="2" t="e">
        <f>VLOOKUP(A1,Data!$A$1:$DZU$10000,483,FALSE)</f>
        <v>#N/A</v>
      </c>
      <c r="G29" s="2" t="e">
        <f>VLOOKUP(A1,Data!$A$1:$DZU$10000,484,FALSE)</f>
        <v>#N/A</v>
      </c>
      <c r="H29" s="2" t="e">
        <f>VLOOKUP(A1,Data!$A$1:$DZU$10000,485,FALSE)</f>
        <v>#N/A</v>
      </c>
      <c r="I29" s="2" t="e">
        <f>VLOOKUP(A1,Data!$A$1:$DZU$10000,486,FALSE)</f>
        <v>#N/A</v>
      </c>
      <c r="J29" s="2" t="e">
        <f>VLOOKUP(A1,Data!$A$1:$DZU$10000,487,FALSE)</f>
        <v>#N/A</v>
      </c>
      <c r="K29" s="2" t="e">
        <f>VLOOKUP(A1,Data!$A$1:$DZU$10000,488,FALSE)</f>
        <v>#N/A</v>
      </c>
      <c r="L29" s="2" t="e">
        <f>VLOOKUP(A1,Data!$A$1:$DZU$10000,489,FALSE)</f>
        <v>#N/A</v>
      </c>
      <c r="M29" s="2" t="e">
        <f>VLOOKUP(A1,Data!$A$1:$DZU$10000,490,FALSE)</f>
        <v>#N/A</v>
      </c>
      <c r="N29" s="2" t="e">
        <f>VLOOKUP(A1,Data!$A$1:$DZU$10000,491,FALSE)</f>
        <v>#N/A</v>
      </c>
      <c r="O29" s="2" t="e">
        <f>VLOOKUP(A1,Data!$A$1:$DZU$10000,492,FALSE)</f>
        <v>#N/A</v>
      </c>
      <c r="P29" s="2" t="e">
        <f>VLOOKUP(A1,Data!$A$1:$DZU$10000,493,FALSE)</f>
        <v>#N/A</v>
      </c>
      <c r="Q29" s="5" t="e">
        <f>VLOOKUP(A1,Data!$A$1:$DZU$10000,494,FALSE)</f>
        <v>#N/A</v>
      </c>
    </row>
    <row r="30" spans="1:17" ht="15.75" customHeight="1" x14ac:dyDescent="0.25">
      <c r="A30" s="9" t="e">
        <f>VLOOKUP(A1,Data!$A$1:$DZU$10000,495,FALSE)</f>
        <v>#N/A</v>
      </c>
      <c r="B30" s="9" t="e">
        <f>VLOOKUP(A1,Data!$A$1:$DZU$10000,496,FALSE)</f>
        <v>#N/A</v>
      </c>
      <c r="C30" s="10" t="e">
        <f>VLOOKUP(A1,Data!$A$1:$DZU$10000,497,FALSE)</f>
        <v>#N/A</v>
      </c>
      <c r="D30" s="11" t="e">
        <f>VLOOKUP(A1,Data!$A$1:$DZU$10000,498,FALSE)</f>
        <v>#N/A</v>
      </c>
      <c r="E30" s="2" t="e">
        <f>VLOOKUP(A1,Data!$A$1:$DZU$10000,499,FALSE)</f>
        <v>#N/A</v>
      </c>
      <c r="F30" s="2" t="e">
        <f>VLOOKUP(A1,Data!$A$1:$DZU$10000,500,FALSE)</f>
        <v>#N/A</v>
      </c>
      <c r="G30" s="2" t="e">
        <f>VLOOKUP(A1,Data!$A$1:$DZU$10000,501,FALSE)</f>
        <v>#N/A</v>
      </c>
      <c r="H30" s="2" t="e">
        <f>VLOOKUP(A1,Data!$A$1:$DZU$10000,502,FALSE)</f>
        <v>#N/A</v>
      </c>
      <c r="I30" s="2" t="e">
        <f>VLOOKUP(A1,Data!$A$1:$DZU$10000,503,FALSE)</f>
        <v>#N/A</v>
      </c>
      <c r="J30" s="2" t="e">
        <f>VLOOKUP(A1,Data!$A$1:$DZU$10000,504,FALSE)</f>
        <v>#N/A</v>
      </c>
      <c r="K30" s="2" t="e">
        <f>VLOOKUP(A1,Data!$A$1:$DZU$10000,505,FALSE)</f>
        <v>#N/A</v>
      </c>
      <c r="L30" s="2" t="e">
        <f>VLOOKUP(A1,Data!$A$1:$DZU$10000,506,FALSE)</f>
        <v>#N/A</v>
      </c>
      <c r="M30" s="2" t="e">
        <f>VLOOKUP(A1,Data!$A$1:$DZU$10000,507,FALSE)</f>
        <v>#N/A</v>
      </c>
      <c r="N30" s="2" t="e">
        <f>VLOOKUP(A1,Data!$A$1:$DZU$10000,508,FALSE)</f>
        <v>#N/A</v>
      </c>
      <c r="O30" s="2" t="e">
        <f>VLOOKUP(A1,Data!$A$1:$DZU$10000,509,FALSE)</f>
        <v>#N/A</v>
      </c>
      <c r="P30" s="2" t="e">
        <f>VLOOKUP(A1,Data!$A$1:$DZU$10000,510,FALSE)</f>
        <v>#N/A</v>
      </c>
      <c r="Q30" s="5" t="e">
        <f>VLOOKUP(A1,Data!$A$1:$DZU$10000,511,FALSE)</f>
        <v>#N/A</v>
      </c>
    </row>
    <row r="31" spans="1:17" ht="15.75" customHeight="1" x14ac:dyDescent="0.25">
      <c r="A31" s="2" t="e">
        <f>VLOOKUP(A1,Data!$A$1:$DZU$10000,512,FALSE)</f>
        <v>#N/A</v>
      </c>
      <c r="B31" s="2" t="e">
        <f>VLOOKUP(A1,Data!$A$1:$DZU$10000,513,FALSE)</f>
        <v>#N/A</v>
      </c>
      <c r="C31" s="2" t="e">
        <f>VLOOKUP(A1,Data!$A$1:$DZU$10000,514,FALSE)</f>
        <v>#N/A</v>
      </c>
      <c r="D31" s="2" t="e">
        <f>VLOOKUP(A1,Data!$A$1:$DZU$10000,515,FALSE)</f>
        <v>#N/A</v>
      </c>
      <c r="E31" s="2" t="e">
        <f>VLOOKUP(A1,Data!$A$1:$DZU$10000,516,FALSE)</f>
        <v>#N/A</v>
      </c>
      <c r="F31" s="2" t="e">
        <f>VLOOKUP(A1,Data!$A$1:$DZU$10000,517,FALSE)</f>
        <v>#N/A</v>
      </c>
      <c r="G31" s="2" t="e">
        <f>VLOOKUP(A1,Data!$A$1:$DZU$10000,518,FALSE)</f>
        <v>#N/A</v>
      </c>
      <c r="H31" s="2" t="e">
        <f>VLOOKUP(A1,Data!$A$1:$DZU$10000,519,FALSE)</f>
        <v>#N/A</v>
      </c>
      <c r="I31" s="2" t="e">
        <f>VLOOKUP(A1,Data!$A$1:$DZU$10000,520,FALSE)</f>
        <v>#N/A</v>
      </c>
      <c r="J31" s="2" t="e">
        <f>VLOOKUP(A1,Data!$A$1:$DZU$10000,521,FALSE)</f>
        <v>#N/A</v>
      </c>
      <c r="K31" s="2" t="e">
        <f>VLOOKUP(A1,Data!$A$1:$DZU$10000,522,FALSE)</f>
        <v>#N/A</v>
      </c>
      <c r="L31" s="2" t="e">
        <f>VLOOKUP(A1,Data!$A$1:$DZU$10000,523,FALSE)</f>
        <v>#N/A</v>
      </c>
      <c r="M31" s="2" t="e">
        <f>VLOOKUP(A1,Data!$A$1:$DZU$10000,524,FALSE)</f>
        <v>#N/A</v>
      </c>
      <c r="N31" s="2" t="e">
        <f>VLOOKUP(A1,Data!$A$1:$DZU$10000,525,FALSE)</f>
        <v>#N/A</v>
      </c>
      <c r="O31" s="2" t="e">
        <f>VLOOKUP(A1,Data!$A$1:$DZU$10000,526,FALSE)</f>
        <v>#N/A</v>
      </c>
      <c r="P31" s="2" t="e">
        <f>VLOOKUP(A1,Data!$A$1:$DZU$10000,527,FALSE)</f>
        <v>#N/A</v>
      </c>
      <c r="Q31" s="5" t="e">
        <f>VLOOKUP(A1,Data!$A$1:$DZU$10000,528,FALSE)</f>
        <v>#N/A</v>
      </c>
    </row>
    <row r="32" spans="1:17" ht="15.75" customHeight="1" x14ac:dyDescent="0.3">
      <c r="A32" s="2" t="e">
        <f>VLOOKUP(A1,Data!$A$1:$DZU$10000,529,FALSE)</f>
        <v>#N/A</v>
      </c>
      <c r="B32" s="2" t="e">
        <f>VLOOKUP(A1,Data!$A$1:$DZU$10000,530,FALSE)</f>
        <v>#N/A</v>
      </c>
      <c r="C32" s="7" t="e">
        <f>VLOOKUP(A1,Data!$A$1:$DZU$10000,531,FALSE)</f>
        <v>#N/A</v>
      </c>
      <c r="D32" s="12" t="e">
        <f>VLOOKUP(A1,Data!$A$1:$DZU$10000,532,FALSE)</f>
        <v>#N/A</v>
      </c>
      <c r="E32" s="2" t="e">
        <f>VLOOKUP(A1,Data!$A$1:$DZU$10000,533,FALSE)</f>
        <v>#N/A</v>
      </c>
      <c r="F32" s="2" t="e">
        <f>VLOOKUP(A1,Data!$A$1:$DZU$10000,534,FALSE)</f>
        <v>#N/A</v>
      </c>
      <c r="G32" s="2" t="e">
        <f>VLOOKUP(A1,Data!$A$1:$DZU$10000,535,FALSE)</f>
        <v>#N/A</v>
      </c>
      <c r="H32" s="2" t="e">
        <f>VLOOKUP(A1,Data!$A$1:$DZU$10000,536,FALSE)</f>
        <v>#N/A</v>
      </c>
      <c r="I32" s="2" t="e">
        <f>VLOOKUP(A1,Data!$A$1:$DZU$10000,537,FALSE)</f>
        <v>#N/A</v>
      </c>
      <c r="J32" s="2" t="e">
        <f>VLOOKUP(A1,Data!$A$1:$DZU$10000,538,FALSE)</f>
        <v>#N/A</v>
      </c>
      <c r="K32" s="2" t="e">
        <f>VLOOKUP(A1,Data!$A$1:$DZU$10000,539,FALSE)</f>
        <v>#N/A</v>
      </c>
      <c r="L32" s="2" t="e">
        <f>VLOOKUP(A1,Data!$A$1:$DZU$10000,540,FALSE)</f>
        <v>#N/A</v>
      </c>
      <c r="M32" s="2" t="e">
        <f>VLOOKUP(A1,Data!$A$1:$DZU$10000,541,FALSE)</f>
        <v>#N/A</v>
      </c>
      <c r="N32" s="2" t="e">
        <f>VLOOKUP(A1,Data!$A$1:$DZU$10000,542,FALSE)</f>
        <v>#N/A</v>
      </c>
      <c r="O32" s="2" t="e">
        <f>VLOOKUP(A1,Data!$A$1:$DZU$10000,543,FALSE)</f>
        <v>#N/A</v>
      </c>
      <c r="P32" s="2" t="e">
        <f>VLOOKUP(A1,Data!$A$1:$DZU$10000,544,FALSE)</f>
        <v>#N/A</v>
      </c>
      <c r="Q32" s="5" t="e">
        <f>VLOOKUP(A1,Data!$A$1:$DZU$10000,545,FALSE)</f>
        <v>#N/A</v>
      </c>
    </row>
    <row r="33" spans="1:17" ht="15.75" customHeight="1" x14ac:dyDescent="0.3">
      <c r="A33" s="2" t="e">
        <f>VLOOKUP(A1,Data!$A$1:$DZU$10000,546,FALSE)</f>
        <v>#N/A</v>
      </c>
      <c r="B33" s="1" t="e">
        <f>VLOOKUP(A1,Data!$A$1:$DZU$10000,547,FALSE)</f>
        <v>#N/A</v>
      </c>
      <c r="C33" s="13" t="e">
        <f>VLOOKUP(A1,Data!$A$1:$DZU$10000,548,FALSE)</f>
        <v>#N/A</v>
      </c>
      <c r="D33" s="12" t="e">
        <f>VLOOKUP(A1,Data!$A$1:$DZU$10000,549,FALSE)</f>
        <v>#N/A</v>
      </c>
      <c r="E33" s="2" t="e">
        <f>VLOOKUP(A1,Data!$A$1:$DZU$10000,550,FALSE)</f>
        <v>#N/A</v>
      </c>
      <c r="F33" s="2" t="e">
        <f>VLOOKUP(A1,Data!$A$1:$DZU$10000,551,FALSE)</f>
        <v>#N/A</v>
      </c>
      <c r="G33" s="2" t="e">
        <f>VLOOKUP(A1,Data!$A$1:$DZU$10000,552,FALSE)</f>
        <v>#N/A</v>
      </c>
      <c r="H33" s="2" t="e">
        <f>VLOOKUP(A1,Data!$A$1:$DZU$10000,553,FALSE)</f>
        <v>#N/A</v>
      </c>
      <c r="I33" s="2" t="e">
        <f>VLOOKUP(A1,Data!$A$1:$DZU$10000,554,FALSE)</f>
        <v>#N/A</v>
      </c>
      <c r="J33" s="2" t="e">
        <f>VLOOKUP(A1,Data!$A$1:$DZU$10000,555,FALSE)</f>
        <v>#N/A</v>
      </c>
      <c r="K33" s="2" t="e">
        <f>VLOOKUP(A1,Data!$A$1:$DZU$10000,556,FALSE)</f>
        <v>#N/A</v>
      </c>
      <c r="L33" s="2" t="e">
        <f>VLOOKUP(A1,Data!$A$1:$DZU$10000,557,FALSE)</f>
        <v>#N/A</v>
      </c>
      <c r="M33" s="2" t="e">
        <f>VLOOKUP(A1,Data!$A$1:$DZU$10000,558,FALSE)</f>
        <v>#N/A</v>
      </c>
      <c r="N33" s="2" t="e">
        <f>VLOOKUP(A1,Data!$A$1:$DZU$10000,559,FALSE)</f>
        <v>#N/A</v>
      </c>
      <c r="O33" s="2" t="e">
        <f>VLOOKUP(A1,Data!$A$1:$DZU$10000,560,FALSE)</f>
        <v>#N/A</v>
      </c>
      <c r="P33" s="2" t="e">
        <f>VLOOKUP(A1,Data!$A$1:$DZU$10000,561,FALSE)</f>
        <v>#N/A</v>
      </c>
      <c r="Q33" s="5" t="e">
        <f>VLOOKUP(A1,Data!$A$1:$DZU$10000,562,FALSE)</f>
        <v>#N/A</v>
      </c>
    </row>
    <row r="34" spans="1:17" ht="15.75" customHeight="1" x14ac:dyDescent="0.3">
      <c r="A34" s="2" t="e">
        <f>VLOOKUP(A1,Data!$A$1:$DZU$10000,563,FALSE)</f>
        <v>#N/A</v>
      </c>
      <c r="B34" s="2" t="e">
        <f>VLOOKUP(A1,Data!$A$1:$DZU$10000,564,FALSE)</f>
        <v>#N/A</v>
      </c>
      <c r="C34" s="7" t="e">
        <f>VLOOKUP(A1,Data!$A$1:$DZU$10000,565,FALSE)</f>
        <v>#N/A</v>
      </c>
      <c r="D34" s="12" t="e">
        <f>VLOOKUP(A1,Data!$A$1:$DZU$10000,566,FALSE)</f>
        <v>#N/A</v>
      </c>
      <c r="E34" s="2" t="e">
        <f>VLOOKUP(A1,Data!$A$1:$DZU$10000,567,FALSE)</f>
        <v>#N/A</v>
      </c>
      <c r="F34" s="2" t="e">
        <f>VLOOKUP(A1,Data!$A$1:$DZU$10000,568,FALSE)</f>
        <v>#N/A</v>
      </c>
      <c r="G34" s="2" t="e">
        <f>VLOOKUP(A1,Data!$A$1:$DZU$10000,569,FALSE)</f>
        <v>#N/A</v>
      </c>
      <c r="H34" s="2" t="e">
        <f>VLOOKUP(A1,Data!$A$1:$DZU$10000,570,FALSE)</f>
        <v>#N/A</v>
      </c>
      <c r="I34" s="2" t="e">
        <f>VLOOKUP(A1,Data!$A$1:$DZU$10000,571,FALSE)</f>
        <v>#N/A</v>
      </c>
      <c r="J34" s="2" t="e">
        <f>VLOOKUP(A1,Data!$A$1:$DZU$10000,572,FALSE)</f>
        <v>#N/A</v>
      </c>
      <c r="K34" s="2" t="e">
        <f>VLOOKUP(A1,Data!$A$1:$DZU$10000,573,FALSE)</f>
        <v>#N/A</v>
      </c>
      <c r="L34" s="2" t="e">
        <f>VLOOKUP(A1,Data!$A$1:$DZU$10000,574,FALSE)</f>
        <v>#N/A</v>
      </c>
      <c r="M34" s="2" t="e">
        <f>VLOOKUP(A1,Data!$A$1:$DZU$10000,575,FALSE)</f>
        <v>#N/A</v>
      </c>
      <c r="N34" s="2" t="e">
        <f>VLOOKUP(A1,Data!$A$1:$DZU$10000,576,FALSE)</f>
        <v>#N/A</v>
      </c>
      <c r="O34" s="2" t="e">
        <f>VLOOKUP(A1,Data!$A$1:$DZU$10000,577,FALSE)</f>
        <v>#N/A</v>
      </c>
      <c r="P34" s="2" t="e">
        <f>VLOOKUP(A1,Data!$A$1:$DZU$10000,578,FALSE)</f>
        <v>#N/A</v>
      </c>
      <c r="Q34" s="5" t="e">
        <f>VLOOKUP(A1,Data!$A$1:$DZU$10000,579,FALSE)</f>
        <v>#N/A</v>
      </c>
    </row>
    <row r="35" spans="1:17" ht="15.75" customHeight="1" x14ac:dyDescent="0.25">
      <c r="A35" s="2" t="e">
        <f>VLOOKUP(A1,Data!$A$1:$DZU$10000,580,FALSE)</f>
        <v>#N/A</v>
      </c>
      <c r="B35" s="2" t="e">
        <f>VLOOKUP(A1,Data!$A$1:$DZU$10000,581,FALSE)</f>
        <v>#N/A</v>
      </c>
      <c r="C35" s="2" t="e">
        <f>VLOOKUP(A1,Data!$A$1:$DZU$10000,582,FALSE)</f>
        <v>#N/A</v>
      </c>
      <c r="D35" s="2" t="e">
        <f>VLOOKUP(A1,Data!$A$1:$DZU$10000,583,FALSE)</f>
        <v>#N/A</v>
      </c>
      <c r="E35" s="2" t="e">
        <f>VLOOKUP(A1,Data!$A$1:$DZU$10000,584,FALSE)</f>
        <v>#N/A</v>
      </c>
      <c r="F35" s="2" t="e">
        <f>VLOOKUP(A1,Data!$A$1:$DZU$10000,585,FALSE)</f>
        <v>#N/A</v>
      </c>
      <c r="G35" s="2" t="e">
        <f>VLOOKUP(A1,Data!$A$1:$DZU$10000,586,FALSE)</f>
        <v>#N/A</v>
      </c>
      <c r="H35" s="2" t="e">
        <f>VLOOKUP(A1,Data!$A$1:$DZU$10000,587,FALSE)</f>
        <v>#N/A</v>
      </c>
      <c r="I35" s="2" t="e">
        <f>VLOOKUP(A1,Data!$A$1:$DZU$10000,588,FALSE)</f>
        <v>#N/A</v>
      </c>
      <c r="J35" s="2" t="e">
        <f>VLOOKUP(A1,Data!$A$1:$DZU$10000,589,FALSE)</f>
        <v>#N/A</v>
      </c>
      <c r="K35" s="2" t="e">
        <f>VLOOKUP(A1,Data!$A$1:$DZU$10000,590,FALSE)</f>
        <v>#N/A</v>
      </c>
      <c r="L35" s="2" t="e">
        <f>VLOOKUP(A1,Data!$A$1:$DZU$10000,591,FALSE)</f>
        <v>#N/A</v>
      </c>
      <c r="M35" s="2" t="e">
        <f>VLOOKUP(A1,Data!$A$1:$DZU$10000,592,FALSE)</f>
        <v>#N/A</v>
      </c>
      <c r="N35" s="2" t="e">
        <f>VLOOKUP(A1,Data!$A$1:$DZU$10000,593,FALSE)</f>
        <v>#N/A</v>
      </c>
      <c r="O35" s="2" t="e">
        <f>VLOOKUP(A1,Data!$A$1:$DZU$10000,594,FALSE)</f>
        <v>#N/A</v>
      </c>
      <c r="P35" s="2" t="e">
        <f>VLOOKUP(A1,Data!$A$1:$DZU$10000,595,FALSE)</f>
        <v>#N/A</v>
      </c>
      <c r="Q35" s="5" t="e">
        <f>VLOOKUP(A1,Data!$A$1:$DZU$10000,596,FALSE)</f>
        <v>#N/A</v>
      </c>
    </row>
    <row r="36" spans="1:17" ht="15.75" customHeight="1" x14ac:dyDescent="0.3">
      <c r="A36" s="39" t="e">
        <f>VLOOKUP(A1,Data!$A$1:$DZU$10000,597,FALSE)</f>
        <v>#N/A</v>
      </c>
      <c r="B36" s="34"/>
      <c r="C36" s="34"/>
      <c r="D36" s="34"/>
      <c r="E36" s="34"/>
      <c r="F36" s="2" t="e">
        <f>VLOOKUP(A1,Data!$A$1:$DZU$10000,602,FALSE)</f>
        <v>#N/A</v>
      </c>
      <c r="G36" s="2" t="e">
        <f>VLOOKUP(A1,Data!$A$1:$DZU$10000,603,FALSE)</f>
        <v>#N/A</v>
      </c>
      <c r="H36" s="2" t="e">
        <f>VLOOKUP(A1,Data!$A$1:$DZU$10000,604,FALSE)</f>
        <v>#N/A</v>
      </c>
      <c r="I36" s="2" t="e">
        <f>VLOOKUP(A1,Data!$A$1:$DZU$10000,605,FALSE)</f>
        <v>#N/A</v>
      </c>
      <c r="J36" s="2" t="e">
        <f>VLOOKUP(A1,Data!$A$1:$DZU$10000,606,FALSE)</f>
        <v>#N/A</v>
      </c>
      <c r="K36" s="2" t="e">
        <f>VLOOKUP(A1,Data!$A$1:$DZU$10000,607,FALSE)</f>
        <v>#N/A</v>
      </c>
      <c r="L36" s="2" t="e">
        <f>VLOOKUP(A1,Data!$A$1:$DZU$10000,608,FALSE)</f>
        <v>#N/A</v>
      </c>
      <c r="M36" s="2" t="e">
        <f>VLOOKUP(A1,Data!$A$1:$DZU$10000,609,FALSE)</f>
        <v>#N/A</v>
      </c>
      <c r="N36" s="2" t="e">
        <f>VLOOKUP(A1,Data!$A$1:$DZU$10000,610,FALSE)</f>
        <v>#N/A</v>
      </c>
      <c r="O36" s="2" t="e">
        <f>VLOOKUP(A1,Data!$A$1:$DZU$10000,611,FALSE)</f>
        <v>#N/A</v>
      </c>
      <c r="P36" s="2" t="e">
        <f>VLOOKUP(A1,Data!$A$1:$DZU$10000,612,FALSE)</f>
        <v>#N/A</v>
      </c>
      <c r="Q36" s="5" t="e">
        <f>VLOOKUP(A1,Data!$A$1:$DZU$10000,613,FALSE)</f>
        <v>#N/A</v>
      </c>
    </row>
    <row r="37" spans="1:17" ht="15.75" customHeight="1" x14ac:dyDescent="0.25">
      <c r="A37" s="37" t="e">
        <f>VLOOKUP(A1,Data!$A$1:$DZU$10000,614,FALSE)</f>
        <v>#N/A</v>
      </c>
      <c r="B37" s="34"/>
      <c r="C37" s="34"/>
      <c r="D37" s="34"/>
      <c r="E37" s="34"/>
      <c r="F37" s="2" t="e">
        <f>VLOOKUP(A1,Data!$A$1:$DZU$10000,619,FALSE)</f>
        <v>#N/A</v>
      </c>
      <c r="G37" s="2" t="e">
        <f>VLOOKUP(A1,Data!$A$1:$DZU$10000,620,FALSE)</f>
        <v>#N/A</v>
      </c>
      <c r="H37" s="2" t="e">
        <f>VLOOKUP(A1,Data!$A$1:$DZU$10000,621,FALSE)</f>
        <v>#N/A</v>
      </c>
      <c r="I37" s="2" t="e">
        <f>VLOOKUP(A1,Data!$A$1:$DZU$10000,622,FALSE)</f>
        <v>#N/A</v>
      </c>
      <c r="J37" s="2" t="e">
        <f>VLOOKUP(A1,Data!$A$1:$DZU$10000,623,FALSE)</f>
        <v>#N/A</v>
      </c>
      <c r="K37" s="2" t="e">
        <f>VLOOKUP(A1,Data!$A$1:$DZU$10000,624,FALSE)</f>
        <v>#N/A</v>
      </c>
      <c r="L37" s="2" t="e">
        <f>VLOOKUP(A1,Data!$A$1:$DZU$10000,625,FALSE)</f>
        <v>#N/A</v>
      </c>
      <c r="M37" s="2" t="e">
        <f>VLOOKUP(A1,Data!$A$1:$DZU$10000,626,FALSE)</f>
        <v>#N/A</v>
      </c>
      <c r="N37" s="2" t="e">
        <f>VLOOKUP(A1,Data!$A$1:$DZU$10000,627,FALSE)</f>
        <v>#N/A</v>
      </c>
      <c r="O37" s="2" t="e">
        <f>VLOOKUP(A1,Data!$A$1:$DZU$10000,628,FALSE)</f>
        <v>#N/A</v>
      </c>
      <c r="P37" s="2" t="e">
        <f>VLOOKUP(A1,Data!$A$1:$DZU$10000,629,FALSE)</f>
        <v>#N/A</v>
      </c>
      <c r="Q37" s="5" t="e">
        <f>VLOOKUP(A1,Data!$A$1:$DZU$10000,630,FALSE)</f>
        <v>#N/A</v>
      </c>
    </row>
    <row r="38" spans="1:17" ht="15.75" customHeight="1" x14ac:dyDescent="0.3">
      <c r="A38" s="14" t="e">
        <f>VLOOKUP(A1,Data!$A$1:$DZU$10000,631,FALSE)</f>
        <v>#N/A</v>
      </c>
      <c r="B38" s="1" t="e">
        <f>VLOOKUP(A1,Data!$A$1:$DZU$10000,632,FALSE)</f>
        <v>#N/A</v>
      </c>
      <c r="C38" s="1" t="e">
        <f>VLOOKUP(A1,Data!$A$1:$DZU$10000,633,FALSE)</f>
        <v>#N/A</v>
      </c>
      <c r="D38" s="2" t="e">
        <f>VLOOKUP(A1,Data!$A$1:$DZU$10000,634,FALSE)</f>
        <v>#N/A</v>
      </c>
      <c r="E38" s="2" t="e">
        <f>VLOOKUP(A1,Data!$A$1:$DZU$10000,635,FALSE)</f>
        <v>#N/A</v>
      </c>
      <c r="F38" s="2" t="e">
        <f>VLOOKUP(A1,Data!$A$1:$DZU$10000,636,FALSE)</f>
        <v>#N/A</v>
      </c>
      <c r="G38" s="2" t="e">
        <f>VLOOKUP(A1,Data!$A$1:$DZU$10000,637,FALSE)</f>
        <v>#N/A</v>
      </c>
      <c r="H38" s="2" t="e">
        <f>VLOOKUP(A1,Data!$A$1:$DZU$10000,638,FALSE)</f>
        <v>#N/A</v>
      </c>
      <c r="I38" s="2" t="e">
        <f>VLOOKUP(A1,Data!$A$1:$DZU$10000,639,FALSE)</f>
        <v>#N/A</v>
      </c>
      <c r="J38" s="2" t="e">
        <f>VLOOKUP(A1,Data!$A$1:$DZU$10000,640,FALSE)</f>
        <v>#N/A</v>
      </c>
      <c r="K38" s="2" t="e">
        <f>VLOOKUP(A1,Data!$A$1:$DZU$10000,641,FALSE)</f>
        <v>#N/A</v>
      </c>
      <c r="L38" s="2" t="e">
        <f>VLOOKUP(A1,Data!$A$1:$DZU$10000,642,FALSE)</f>
        <v>#N/A</v>
      </c>
      <c r="M38" s="2" t="e">
        <f>VLOOKUP(A1,Data!$A$1:$DZU$10000,643,FALSE)</f>
        <v>#N/A</v>
      </c>
      <c r="N38" s="2" t="e">
        <f>VLOOKUP(A1,Data!$A$1:$DZU$10000,644,FALSE)</f>
        <v>#N/A</v>
      </c>
      <c r="O38" s="2" t="e">
        <f>VLOOKUP(A1,Data!$A$1:$DZU$10000,645,FALSE)</f>
        <v>#N/A</v>
      </c>
      <c r="P38" s="2" t="e">
        <f>VLOOKUP(A1,Data!$A$1:$DZU$10000,646,FALSE)</f>
        <v>#N/A</v>
      </c>
      <c r="Q38" s="5" t="e">
        <f>VLOOKUP(A1,Data!$A$1:$DZU$10000,647,FALSE)</f>
        <v>#N/A</v>
      </c>
    </row>
    <row r="39" spans="1:17" ht="15.75" customHeight="1" x14ac:dyDescent="0.25">
      <c r="A39" s="15" t="e">
        <f>VLOOKUP(A1,Data!$A$1:$DZU$10000,648,FALSE)</f>
        <v>#N/A</v>
      </c>
      <c r="B39" s="2" t="e">
        <f>VLOOKUP(A1,Data!$A$1:$DZU$10000,649,FALSE)</f>
        <v>#N/A</v>
      </c>
      <c r="C39" s="2" t="e">
        <f>VLOOKUP(A1,Data!$A$1:$DZU$10000,650,FALSE)</f>
        <v>#N/A</v>
      </c>
      <c r="D39" s="2" t="e">
        <f>VLOOKUP(A1,Data!$A$1:$DZU$10000,651,FALSE)</f>
        <v>#N/A</v>
      </c>
      <c r="E39" s="2" t="e">
        <f>VLOOKUP(A1,Data!$A$1:$DZU$10000,652,FALSE)</f>
        <v>#N/A</v>
      </c>
      <c r="F39" s="2" t="e">
        <f>VLOOKUP(A1,Data!$A$1:$DZU$10000,653,FALSE)</f>
        <v>#N/A</v>
      </c>
      <c r="G39" s="2" t="e">
        <f>VLOOKUP(A1,Data!$A$1:$DZU$10000,654,FALSE)</f>
        <v>#N/A</v>
      </c>
      <c r="H39" s="2" t="e">
        <f>VLOOKUP(A1,Data!$A$1:$DZU$10000,655,FALSE)</f>
        <v>#N/A</v>
      </c>
      <c r="I39" s="2" t="e">
        <f>VLOOKUP(A1,Data!$A$1:$DZU$10000,656,FALSE)</f>
        <v>#N/A</v>
      </c>
      <c r="J39" s="2" t="e">
        <f>VLOOKUP(A1,Data!$A$1:$DZU$10000,657,FALSE)</f>
        <v>#N/A</v>
      </c>
      <c r="K39" s="2" t="e">
        <f>VLOOKUP(A1,Data!$A$1:$DZU$10000,658,FALSE)</f>
        <v>#N/A</v>
      </c>
      <c r="L39" s="2" t="e">
        <f>VLOOKUP(A1,Data!$A$1:$DZU$10000,659,FALSE)</f>
        <v>#N/A</v>
      </c>
      <c r="M39" s="2" t="e">
        <f>VLOOKUP(A1,Data!$A$1:$DZU$10000,660,FALSE)</f>
        <v>#N/A</v>
      </c>
      <c r="N39" s="2" t="e">
        <f>VLOOKUP(A1,Data!$A$1:$DZU$10000,661,FALSE)</f>
        <v>#N/A</v>
      </c>
      <c r="O39" s="2" t="e">
        <f>VLOOKUP(A1,Data!$A$1:$DZU$10000,662,FALSE)</f>
        <v>#N/A</v>
      </c>
      <c r="P39" s="2" t="e">
        <f>VLOOKUP(A1,Data!$A$1:$DZU$10000,663,FALSE)</f>
        <v>#N/A</v>
      </c>
      <c r="Q39" s="5" t="e">
        <f>VLOOKUP(A1,Data!$A$1:$DZU$10000,664,FALSE)</f>
        <v>#N/A</v>
      </c>
    </row>
    <row r="40" spans="1:17" ht="15.75" customHeight="1" x14ac:dyDescent="0.25">
      <c r="A40" s="15" t="e">
        <f>VLOOKUP(A1,Data!$A$1:$DZU$10000,665,FALSE)</f>
        <v>#N/A</v>
      </c>
      <c r="B40" s="2" t="e">
        <f>VLOOKUP(A1,Data!$A$1:$DZU$10000,666,FALSE)</f>
        <v>#N/A</v>
      </c>
      <c r="C40" s="2" t="e">
        <f>VLOOKUP(A1,Data!$A$1:$DZU$10000,667,FALSE)</f>
        <v>#N/A</v>
      </c>
      <c r="D40" s="2" t="e">
        <f>VLOOKUP(A1,Data!$A$1:$DZU$10000,668,FALSE)</f>
        <v>#N/A</v>
      </c>
      <c r="E40" s="2" t="e">
        <f>VLOOKUP(A1,Data!$A$1:$DZU$10000,669,FALSE)</f>
        <v>#N/A</v>
      </c>
      <c r="F40" s="2" t="e">
        <f>VLOOKUP(A1,Data!$A$1:$DZU$10000,670,FALSE)</f>
        <v>#N/A</v>
      </c>
      <c r="G40" s="2" t="e">
        <f>VLOOKUP(A1,Data!$A$1:$DZU$10000,671,FALSE)</f>
        <v>#N/A</v>
      </c>
      <c r="H40" s="2" t="e">
        <f>VLOOKUP(A1,Data!$A$1:$DZU$10000,672,FALSE)</f>
        <v>#N/A</v>
      </c>
      <c r="I40" s="2" t="e">
        <f>VLOOKUP(A1,Data!$A$1:$DZU$10000,673,FALSE)</f>
        <v>#N/A</v>
      </c>
      <c r="J40" s="2" t="e">
        <f>VLOOKUP(A1,Data!$A$1:$DZU$10000,674,FALSE)</f>
        <v>#N/A</v>
      </c>
      <c r="K40" s="2" t="e">
        <f>VLOOKUP(A1,Data!$A$1:$DZU$10000,675,FALSE)</f>
        <v>#N/A</v>
      </c>
      <c r="L40" s="2" t="e">
        <f>VLOOKUP(A1,Data!$A$1:$DZU$10000,676,FALSE)</f>
        <v>#N/A</v>
      </c>
      <c r="M40" s="2" t="e">
        <f>VLOOKUP(A1,Data!$A$1:$DZU$10000,677,FALSE)</f>
        <v>#N/A</v>
      </c>
      <c r="N40" s="2" t="e">
        <f>VLOOKUP(A1,Data!$A$1:$DZU$10000,678,FALSE)</f>
        <v>#N/A</v>
      </c>
      <c r="O40" s="2" t="e">
        <f>VLOOKUP(A1,Data!$A$1:$DZU$10000,679,FALSE)</f>
        <v>#N/A</v>
      </c>
      <c r="P40" s="2" t="e">
        <f>VLOOKUP(A1,Data!$A$1:$DZU$10000,680,FALSE)</f>
        <v>#N/A</v>
      </c>
      <c r="Q40" s="5" t="e">
        <f>VLOOKUP(A1,Data!$A$1:$DZU$10000,681,FALSE)</f>
        <v>#N/A</v>
      </c>
    </row>
    <row r="41" spans="1:17" ht="15.75" customHeight="1" x14ac:dyDescent="0.25">
      <c r="A41" s="15" t="e">
        <f>VLOOKUP(A1,Data!$A$1:$DZU$10000,682,FALSE)</f>
        <v>#N/A</v>
      </c>
      <c r="B41" s="2" t="e">
        <f>VLOOKUP(A1,Data!$A$1:$DZU$10000,683,FALSE)</f>
        <v>#N/A</v>
      </c>
      <c r="C41" s="2" t="e">
        <f>VLOOKUP(A1,Data!$A$1:$DZU$10000,684,FALSE)</f>
        <v>#N/A</v>
      </c>
      <c r="D41" s="2" t="e">
        <f>VLOOKUP(A1,Data!$A$1:$DZU$10000,685,FALSE)</f>
        <v>#N/A</v>
      </c>
      <c r="E41" s="2" t="e">
        <f>VLOOKUP(A1,Data!$A$1:$DZU$10000,686,FALSE)</f>
        <v>#N/A</v>
      </c>
      <c r="F41" s="2" t="e">
        <f>VLOOKUP(A1,Data!$A$1:$DZU$10000,687,FALSE)</f>
        <v>#N/A</v>
      </c>
      <c r="G41" s="2" t="e">
        <f>VLOOKUP(A1,Data!$A$1:$DZU$10000,688,FALSE)</f>
        <v>#N/A</v>
      </c>
      <c r="H41" s="2" t="e">
        <f>VLOOKUP(A1,Data!$A$1:$DZU$10000,689,FALSE)</f>
        <v>#N/A</v>
      </c>
      <c r="I41" s="2" t="e">
        <f>VLOOKUP(A1,Data!$A$1:$DZU$10000,690,FALSE)</f>
        <v>#N/A</v>
      </c>
      <c r="J41" s="2" t="e">
        <f>VLOOKUP(A1,Data!$A$1:$DZU$10000,691,FALSE)</f>
        <v>#N/A</v>
      </c>
      <c r="K41" s="2" t="e">
        <f>VLOOKUP(A1,Data!$A$1:$DZU$10000,692,FALSE)</f>
        <v>#N/A</v>
      </c>
      <c r="L41" s="2" t="e">
        <f>VLOOKUP(A1,Data!$A$1:$DZU$10000,693,FALSE)</f>
        <v>#N/A</v>
      </c>
      <c r="M41" s="2" t="e">
        <f>VLOOKUP(A1,Data!$A$1:$DZU$10000,694,FALSE)</f>
        <v>#N/A</v>
      </c>
      <c r="N41" s="2" t="e">
        <f>VLOOKUP(A1,Data!$A$1:$DZU$10000,695,FALSE)</f>
        <v>#N/A</v>
      </c>
      <c r="O41" s="2" t="e">
        <f>VLOOKUP(A1,Data!$A$1:$DZU$10000,696,FALSE)</f>
        <v>#N/A</v>
      </c>
      <c r="P41" s="2" t="e">
        <f>VLOOKUP(A1,Data!$A$1:$DZU$10000,697,FALSE)</f>
        <v>#N/A</v>
      </c>
      <c r="Q41" s="5" t="e">
        <f>VLOOKUP(A1,Data!$A$1:$DZU$10000,698,FALSE)</f>
        <v>#N/A</v>
      </c>
    </row>
    <row r="42" spans="1:17" ht="15.75" customHeight="1" x14ac:dyDescent="0.25">
      <c r="A42" s="15" t="e">
        <f>VLOOKUP(A1,Data!$A$1:$DZU$10000,699,FALSE)</f>
        <v>#N/A</v>
      </c>
      <c r="B42" s="2" t="e">
        <f>VLOOKUP(A1,Data!$A$1:$DZU$10000,700,FALSE)</f>
        <v>#N/A</v>
      </c>
      <c r="C42" s="2" t="e">
        <f>VLOOKUP(A1,Data!$A$1:$DZU$10000,701,FALSE)</f>
        <v>#N/A</v>
      </c>
      <c r="D42" s="2" t="e">
        <f>VLOOKUP(A1,Data!$A$1:$DZU$10000,702,FALSE)</f>
        <v>#N/A</v>
      </c>
      <c r="E42" s="2" t="e">
        <f>VLOOKUP(A1,Data!$A$1:$DZU$10000,703,FALSE)</f>
        <v>#N/A</v>
      </c>
      <c r="F42" s="2" t="e">
        <f>VLOOKUP(A1,Data!$A$1:$DZU$10000,704,FALSE)</f>
        <v>#N/A</v>
      </c>
      <c r="G42" s="2" t="e">
        <f>VLOOKUP(A1,Data!$A$1:$DZU$10000,705,FALSE)</f>
        <v>#N/A</v>
      </c>
      <c r="H42" s="2" t="e">
        <f>VLOOKUP(A1,Data!$A$1:$DZU$10000,706,FALSE)</f>
        <v>#N/A</v>
      </c>
      <c r="I42" s="2" t="e">
        <f>VLOOKUP(A1,Data!$A$1:$DZU$10000,707,FALSE)</f>
        <v>#N/A</v>
      </c>
      <c r="J42" s="2" t="e">
        <f>VLOOKUP(A1,Data!$A$1:$DZU$10000,708,FALSE)</f>
        <v>#N/A</v>
      </c>
      <c r="K42" s="2" t="e">
        <f>VLOOKUP(A1,Data!$A$1:$DZU$10000,709,FALSE)</f>
        <v>#N/A</v>
      </c>
      <c r="L42" s="2" t="e">
        <f>VLOOKUP(A1,Data!$A$1:$DZU$10000,710,FALSE)</f>
        <v>#N/A</v>
      </c>
      <c r="M42" s="2" t="e">
        <f>VLOOKUP(A1,Data!$A$1:$DZU$10000,711,FALSE)</f>
        <v>#N/A</v>
      </c>
      <c r="N42" s="2" t="e">
        <f>VLOOKUP(A1,Data!$A$1:$DZU$10000,712,FALSE)</f>
        <v>#N/A</v>
      </c>
      <c r="O42" s="2" t="e">
        <f>VLOOKUP(A1,Data!$A$1:$DZU$10000,713,FALSE)</f>
        <v>#N/A</v>
      </c>
      <c r="P42" s="2" t="e">
        <f>VLOOKUP(A1,Data!$A$1:$DZU$10000,714,FALSE)</f>
        <v>#N/A</v>
      </c>
      <c r="Q42" s="5" t="e">
        <f>VLOOKUP(A1,Data!$A$1:$DZU$10000,715,FALSE)</f>
        <v>#N/A</v>
      </c>
    </row>
    <row r="43" spans="1:17" ht="15.75" customHeight="1" x14ac:dyDescent="0.25">
      <c r="A43" s="15" t="e">
        <f>VLOOKUP(A1,Data!$A$1:$DZU$10000,716,FALSE)</f>
        <v>#N/A</v>
      </c>
      <c r="B43" s="2" t="e">
        <f>VLOOKUP(A1,Data!$A$1:$DZU$10000,717,FALSE)</f>
        <v>#N/A</v>
      </c>
      <c r="C43" s="2" t="e">
        <f>VLOOKUP(A1,Data!$A$1:$DZU$10000,718,FALSE)</f>
        <v>#N/A</v>
      </c>
      <c r="D43" s="2" t="e">
        <f>VLOOKUP(A1,Data!$A$1:$DZU$10000,719,FALSE)</f>
        <v>#N/A</v>
      </c>
      <c r="E43" s="2" t="e">
        <f>VLOOKUP(A1,Data!$A$1:$DZU$10000,720,FALSE)</f>
        <v>#N/A</v>
      </c>
      <c r="F43" s="2" t="e">
        <f>VLOOKUP(A1,Data!$A$1:$DZU$10000,721,FALSE)</f>
        <v>#N/A</v>
      </c>
      <c r="G43" s="2" t="e">
        <f>VLOOKUP(A1,Data!$A$1:$DZU$10000,722,FALSE)</f>
        <v>#N/A</v>
      </c>
      <c r="H43" s="2" t="e">
        <f>VLOOKUP(A1,Data!$A$1:$DZU$10000,723,FALSE)</f>
        <v>#N/A</v>
      </c>
      <c r="I43" s="2" t="e">
        <f>VLOOKUP(A1,Data!$A$1:$DZU$10000,724,FALSE)</f>
        <v>#N/A</v>
      </c>
      <c r="J43" s="2" t="e">
        <f>VLOOKUP(A1,Data!$A$1:$DZU$10000,725,FALSE)</f>
        <v>#N/A</v>
      </c>
      <c r="K43" s="2" t="e">
        <f>VLOOKUP(A1,Data!$A$1:$DZU$10000,726,FALSE)</f>
        <v>#N/A</v>
      </c>
      <c r="L43" s="2" t="e">
        <f>VLOOKUP(A1,Data!$A$1:$DZU$10000,727,FALSE)</f>
        <v>#N/A</v>
      </c>
      <c r="M43" s="2" t="e">
        <f>VLOOKUP(A1,Data!$A$1:$DZU$10000,728,FALSE)</f>
        <v>#N/A</v>
      </c>
      <c r="N43" s="2" t="e">
        <f>VLOOKUP(A1,Data!$A$1:$DZU$10000,729,FALSE)</f>
        <v>#N/A</v>
      </c>
      <c r="O43" s="2" t="e">
        <f>VLOOKUP(A1,Data!$A$1:$DZU$10000,730,FALSE)</f>
        <v>#N/A</v>
      </c>
      <c r="P43" s="2" t="e">
        <f>VLOOKUP(A1,Data!$A$1:$DZU$10000,731,FALSE)</f>
        <v>#N/A</v>
      </c>
      <c r="Q43" s="5" t="e">
        <f>VLOOKUP(A1,Data!$A$1:$DZU$10000,732,FALSE)</f>
        <v>#N/A</v>
      </c>
    </row>
    <row r="44" spans="1:17" ht="15.75" customHeight="1" x14ac:dyDescent="0.25">
      <c r="A44" s="15" t="e">
        <f>VLOOKUP(A1,Data!$A$1:$DZU$10000,733,FALSE)</f>
        <v>#N/A</v>
      </c>
      <c r="B44" s="2" t="e">
        <f>VLOOKUP(A1,Data!$A$1:$DZU$10000,734,FALSE)</f>
        <v>#N/A</v>
      </c>
      <c r="C44" s="2" t="e">
        <f>VLOOKUP(A1,Data!$A$1:$DZU$10000,735,FALSE)</f>
        <v>#N/A</v>
      </c>
      <c r="D44" s="2" t="e">
        <f>VLOOKUP(A1,Data!$A$1:$DZU$10000,736,FALSE)</f>
        <v>#N/A</v>
      </c>
      <c r="E44" s="2" t="e">
        <f>VLOOKUP(A1,Data!$A$1:$DZU$10000,737,FALSE)</f>
        <v>#N/A</v>
      </c>
      <c r="F44" s="2" t="e">
        <f>VLOOKUP(A1,Data!$A$1:$DZU$10000,738,FALSE)</f>
        <v>#N/A</v>
      </c>
      <c r="G44" s="2" t="e">
        <f>VLOOKUP(A1,Data!$A$1:$DZU$10000,739,FALSE)</f>
        <v>#N/A</v>
      </c>
      <c r="H44" s="2" t="e">
        <f>VLOOKUP(A1,Data!$A$1:$DZU$10000,740,FALSE)</f>
        <v>#N/A</v>
      </c>
      <c r="I44" s="2" t="e">
        <f>VLOOKUP(A1,Data!$A$1:$DZU$10000,741,FALSE)</f>
        <v>#N/A</v>
      </c>
      <c r="J44" s="2" t="e">
        <f>VLOOKUP(A1,Data!$A$1:$DZU$10000,742,FALSE)</f>
        <v>#N/A</v>
      </c>
      <c r="K44" s="2" t="e">
        <f>VLOOKUP(A1,Data!$A$1:$DZU$10000,743,FALSE)</f>
        <v>#N/A</v>
      </c>
      <c r="L44" s="2" t="e">
        <f>VLOOKUP(A1,Data!$A$1:$DZU$10000,744,FALSE)</f>
        <v>#N/A</v>
      </c>
      <c r="M44" s="2" t="e">
        <f>VLOOKUP(A1,Data!$A$1:$DZU$10000,745,FALSE)</f>
        <v>#N/A</v>
      </c>
      <c r="N44" s="2" t="e">
        <f>VLOOKUP(A1,Data!$A$1:$DZU$10000,746,FALSE)</f>
        <v>#N/A</v>
      </c>
      <c r="O44" s="2" t="e">
        <f>VLOOKUP(A1,Data!$A$1:$DZU$10000,747,FALSE)</f>
        <v>#N/A</v>
      </c>
      <c r="P44" s="2" t="e">
        <f>VLOOKUP(A1,Data!$A$1:$DZU$10000,748,FALSE)</f>
        <v>#N/A</v>
      </c>
      <c r="Q44" s="5" t="e">
        <f>VLOOKUP(A1,Data!$A$1:$DZU$10000,749,FALSE)</f>
        <v>#N/A</v>
      </c>
    </row>
    <row r="45" spans="1:17" ht="15.75" customHeight="1" x14ac:dyDescent="0.25">
      <c r="A45" s="15" t="e">
        <f>VLOOKUP(A1,Data!$A$1:$DZU$10000,750,FALSE)</f>
        <v>#N/A</v>
      </c>
      <c r="B45" s="2" t="e">
        <f>VLOOKUP(A1,Data!$A$1:$DZU$10000,751,FALSE)</f>
        <v>#N/A</v>
      </c>
      <c r="C45" s="2" t="e">
        <f>VLOOKUP(A1,Data!$A$1:$DZU$10000,752,FALSE)</f>
        <v>#N/A</v>
      </c>
      <c r="D45" s="2" t="e">
        <f>VLOOKUP(A1,Data!$A$1:$DZU$10000,753,FALSE)</f>
        <v>#N/A</v>
      </c>
      <c r="E45" s="2" t="e">
        <f>VLOOKUP(A1,Data!$A$1:$DZU$10000,754,FALSE)</f>
        <v>#N/A</v>
      </c>
      <c r="F45" s="2" t="e">
        <f>VLOOKUP(A1,Data!$A$1:$DZU$10000,755,FALSE)</f>
        <v>#N/A</v>
      </c>
      <c r="G45" s="2" t="e">
        <f>VLOOKUP(A1,Data!$A$1:$DZU$10000,756,FALSE)</f>
        <v>#N/A</v>
      </c>
      <c r="H45" s="2" t="e">
        <f>VLOOKUP(A1,Data!$A$1:$DZU$10000,757,FALSE)</f>
        <v>#N/A</v>
      </c>
      <c r="I45" s="2" t="e">
        <f>VLOOKUP(A1,Data!$A$1:$DZU$10000,758,FALSE)</f>
        <v>#N/A</v>
      </c>
      <c r="J45" s="2" t="e">
        <f>VLOOKUP(A1,Data!$A$1:$DZU$10000,759,FALSE)</f>
        <v>#N/A</v>
      </c>
      <c r="K45" s="2" t="e">
        <f>VLOOKUP(A1,Data!$A$1:$DZU$10000,760,FALSE)</f>
        <v>#N/A</v>
      </c>
      <c r="L45" s="2" t="e">
        <f>VLOOKUP(A1,Data!$A$1:$DZU$10000,761,FALSE)</f>
        <v>#N/A</v>
      </c>
      <c r="M45" s="2" t="e">
        <f>VLOOKUP(A1,Data!$A$1:$DZU$10000,762,FALSE)</f>
        <v>#N/A</v>
      </c>
      <c r="N45" s="2" t="e">
        <f>VLOOKUP(A1,Data!$A$1:$DZU$10000,763,FALSE)</f>
        <v>#N/A</v>
      </c>
      <c r="O45" s="2" t="e">
        <f>VLOOKUP(A1,Data!$A$1:$DZU$10000,764,FALSE)</f>
        <v>#N/A</v>
      </c>
      <c r="P45" s="2" t="e">
        <f>VLOOKUP(A1,Data!$A$1:$DZU$10000,765,FALSE)</f>
        <v>#N/A</v>
      </c>
      <c r="Q45" s="5" t="e">
        <f>VLOOKUP(A1,Data!$A$1:$DZU$10000,766,FALSE)</f>
        <v>#N/A</v>
      </c>
    </row>
    <row r="46" spans="1:17" ht="15.75" customHeight="1" x14ac:dyDescent="0.25">
      <c r="A46" s="15" t="e">
        <f>VLOOKUP(A1,Data!$A$1:$DZU$10000,767,FALSE)</f>
        <v>#N/A</v>
      </c>
      <c r="B46" s="2" t="e">
        <f>VLOOKUP(A1,Data!$A$1:$DZU$10000,768,FALSE)</f>
        <v>#N/A</v>
      </c>
      <c r="C46" s="2" t="e">
        <f>VLOOKUP(A1,Data!$A$1:$DZU$10000,769,FALSE)</f>
        <v>#N/A</v>
      </c>
      <c r="D46" s="2" t="e">
        <f>VLOOKUP(A1,Data!$A$1:$DZU$10000,770,FALSE)</f>
        <v>#N/A</v>
      </c>
      <c r="E46" s="2" t="e">
        <f>VLOOKUP(A1,Data!$A$1:$DZU$10000,771,FALSE)</f>
        <v>#N/A</v>
      </c>
      <c r="F46" s="2" t="e">
        <f>VLOOKUP(A1,Data!$A$1:$DZU$10000,772,FALSE)</f>
        <v>#N/A</v>
      </c>
      <c r="G46" s="2" t="e">
        <f>VLOOKUP(A1,Data!$A$1:$DZU$10000,773,FALSE)</f>
        <v>#N/A</v>
      </c>
      <c r="H46" s="2" t="e">
        <f>VLOOKUP(A1,Data!$A$1:$DZU$10000,774,FALSE)</f>
        <v>#N/A</v>
      </c>
      <c r="I46" s="2" t="e">
        <f>VLOOKUP(A1,Data!$A$1:$DZU$10000,775,FALSE)</f>
        <v>#N/A</v>
      </c>
      <c r="J46" s="2" t="e">
        <f>VLOOKUP(A1,Data!$A$1:$DZU$10000,776,FALSE)</f>
        <v>#N/A</v>
      </c>
      <c r="K46" s="2" t="e">
        <f>VLOOKUP(A1,Data!$A$1:$DZU$10000,777,FALSE)</f>
        <v>#N/A</v>
      </c>
      <c r="L46" s="2" t="e">
        <f>VLOOKUP(A1,Data!$A$1:$DZU$10000,778,FALSE)</f>
        <v>#N/A</v>
      </c>
      <c r="M46" s="2" t="e">
        <f>VLOOKUP(A1,Data!$A$1:$DZU$10000,779,FALSE)</f>
        <v>#N/A</v>
      </c>
      <c r="N46" s="2" t="e">
        <f>VLOOKUP(A1,Data!$A$1:$DZU$10000,780,FALSE)</f>
        <v>#N/A</v>
      </c>
      <c r="O46" s="2" t="e">
        <f>VLOOKUP(A1,Data!$A$1:$DZU$10000,781,FALSE)</f>
        <v>#N/A</v>
      </c>
      <c r="P46" s="2" t="e">
        <f>VLOOKUP(A1,Data!$A$1:$DZU$10000,782,FALSE)</f>
        <v>#N/A</v>
      </c>
      <c r="Q46" s="5" t="e">
        <f>VLOOKUP(A1,Data!$A$1:$DZU$10000,783,FALSE)</f>
        <v>#N/A</v>
      </c>
    </row>
    <row r="47" spans="1:17" ht="15.75" customHeight="1" x14ac:dyDescent="0.25">
      <c r="A47" s="15" t="e">
        <f>VLOOKUP(A1,Data!$A$1:$DZU$10000,784,FALSE)</f>
        <v>#N/A</v>
      </c>
      <c r="B47" s="2" t="e">
        <f>VLOOKUP(A1,Data!$A$1:$DZU$10000,785,FALSE)</f>
        <v>#N/A</v>
      </c>
      <c r="C47" s="2" t="e">
        <f>VLOOKUP(A1,Data!$A$1:$DZU$10000,786,FALSE)</f>
        <v>#N/A</v>
      </c>
      <c r="D47" s="2" t="e">
        <f>VLOOKUP(A1,Data!$A$1:$DZU$10000,787,FALSE)</f>
        <v>#N/A</v>
      </c>
      <c r="E47" s="2" t="e">
        <f>VLOOKUP(A1,Data!$A$1:$DZU$10000,788,FALSE)</f>
        <v>#N/A</v>
      </c>
      <c r="F47" s="2" t="e">
        <f>VLOOKUP(A1,Data!$A$1:$DZU$10000,789,FALSE)</f>
        <v>#N/A</v>
      </c>
      <c r="G47" s="2" t="e">
        <f>VLOOKUP(A1,Data!$A$1:$DZU$10000,790,FALSE)</f>
        <v>#N/A</v>
      </c>
      <c r="H47" s="2" t="e">
        <f>VLOOKUP(A1,Data!$A$1:$DZU$10000,791,FALSE)</f>
        <v>#N/A</v>
      </c>
      <c r="I47" s="2" t="e">
        <f>VLOOKUP(A1,Data!$A$1:$DZU$10000,792,FALSE)</f>
        <v>#N/A</v>
      </c>
      <c r="J47" s="2" t="e">
        <f>VLOOKUP(A1,Data!$A$1:$DZU$10000,793,FALSE)</f>
        <v>#N/A</v>
      </c>
      <c r="K47" s="2" t="e">
        <f>VLOOKUP(A1,Data!$A$1:$DZU$10000,794,FALSE)</f>
        <v>#N/A</v>
      </c>
      <c r="L47" s="2" t="e">
        <f>VLOOKUP(A1,Data!$A$1:$DZU$10000,795,FALSE)</f>
        <v>#N/A</v>
      </c>
      <c r="M47" s="2" t="e">
        <f>VLOOKUP(A1,Data!$A$1:$DZU$10000,796,FALSE)</f>
        <v>#N/A</v>
      </c>
      <c r="N47" s="2" t="e">
        <f>VLOOKUP(A1,Data!$A$1:$DZU$10000,797,FALSE)</f>
        <v>#N/A</v>
      </c>
      <c r="O47" s="2" t="e">
        <f>VLOOKUP(A1,Data!$A$1:$DZU$10000,798,FALSE)</f>
        <v>#N/A</v>
      </c>
      <c r="P47" s="2" t="e">
        <f>VLOOKUP(A1,Data!$A$1:$DZU$10000,799,FALSE)</f>
        <v>#N/A</v>
      </c>
      <c r="Q47" s="5" t="e">
        <f>VLOOKUP(A1,Data!$A$1:$DZU$10000,800,FALSE)</f>
        <v>#N/A</v>
      </c>
    </row>
    <row r="48" spans="1:17" ht="15.75" customHeight="1" x14ac:dyDescent="0.25">
      <c r="A48" s="15" t="e">
        <f>VLOOKUP(A1,Data!$A$1:$DZU$10000,801,FALSE)</f>
        <v>#N/A</v>
      </c>
      <c r="B48" s="2" t="e">
        <f>VLOOKUP(A1,Data!$A$1:$DZU$10000,802,FALSE)</f>
        <v>#N/A</v>
      </c>
      <c r="C48" s="2" t="e">
        <f>VLOOKUP(A1,Data!$A$1:$DZU$10000,803,FALSE)</f>
        <v>#N/A</v>
      </c>
      <c r="D48" s="2" t="e">
        <f>VLOOKUP(A1,Data!$A$1:$DZU$10000,804,FALSE)</f>
        <v>#N/A</v>
      </c>
      <c r="E48" s="2" t="e">
        <f>VLOOKUP(A1,Data!$A$1:$DZU$10000,805,FALSE)</f>
        <v>#N/A</v>
      </c>
      <c r="F48" s="2" t="e">
        <f>VLOOKUP(A1,Data!$A$1:$DZU$10000,806,FALSE)</f>
        <v>#N/A</v>
      </c>
      <c r="G48" s="2" t="e">
        <f>VLOOKUP(A1,Data!$A$1:$DZU$10000,807,FALSE)</f>
        <v>#N/A</v>
      </c>
      <c r="H48" s="2" t="e">
        <f>VLOOKUP(A1,Data!$A$1:$DZU$10000,808,FALSE)</f>
        <v>#N/A</v>
      </c>
      <c r="I48" s="2" t="e">
        <f>VLOOKUP(A1,Data!$A$1:$DZU$10000,809,FALSE)</f>
        <v>#N/A</v>
      </c>
      <c r="J48" s="2" t="e">
        <f>VLOOKUP(A1,Data!$A$1:$DZU$10000,810,FALSE)</f>
        <v>#N/A</v>
      </c>
      <c r="K48" s="2" t="e">
        <f>VLOOKUP(A1,Data!$A$1:$DZU$10000,811,FALSE)</f>
        <v>#N/A</v>
      </c>
      <c r="L48" s="2" t="e">
        <f>VLOOKUP(A1,Data!$A$1:$DZU$10000,812,FALSE)</f>
        <v>#N/A</v>
      </c>
      <c r="M48" s="2" t="e">
        <f>VLOOKUP(A1,Data!$A$1:$DZU$10000,813,FALSE)</f>
        <v>#N/A</v>
      </c>
      <c r="N48" s="2" t="e">
        <f>VLOOKUP(A1,Data!$A$1:$DZU$10000,814,FALSE)</f>
        <v>#N/A</v>
      </c>
      <c r="O48" s="2" t="e">
        <f>VLOOKUP(A1,Data!$A$1:$DZU$10000,815,FALSE)</f>
        <v>#N/A</v>
      </c>
      <c r="P48" s="2" t="e">
        <f>VLOOKUP(A1,Data!$A$1:$DZU$10000,816,FALSE)</f>
        <v>#N/A</v>
      </c>
      <c r="Q48" s="5" t="e">
        <f>VLOOKUP(A1,Data!$A$1:$DZU$10000,817,FALSE)</f>
        <v>#N/A</v>
      </c>
    </row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1">
    <mergeCell ref="A18:B18"/>
    <mergeCell ref="A19:B19"/>
    <mergeCell ref="A36:E36"/>
    <mergeCell ref="A37:E37"/>
    <mergeCell ref="A9:E9"/>
    <mergeCell ref="A10:E10"/>
    <mergeCell ref="A12:B12"/>
    <mergeCell ref="D12:E12"/>
    <mergeCell ref="A13:B13"/>
    <mergeCell ref="D13:E13"/>
    <mergeCell ref="A14:B14"/>
    <mergeCell ref="A7:B7"/>
    <mergeCell ref="A8:B8"/>
    <mergeCell ref="A15:B15"/>
    <mergeCell ref="A16:B16"/>
    <mergeCell ref="A17:B17"/>
    <mergeCell ref="B2:L2"/>
    <mergeCell ref="A3:E3"/>
    <mergeCell ref="A4:B4"/>
    <mergeCell ref="A5:B5"/>
    <mergeCell ref="A6:B6"/>
  </mergeCell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300-000000000000}">
          <x14:formula1>
            <xm:f>Inventory!$A:$A</xm:f>
          </x14:formula1>
          <xm:sqref>A21:A30</xm:sqref>
        </x14:dataValidation>
        <x14:dataValidation type="list" allowBlank="1" showErrorMessage="1" xr:uid="{00000000-0002-0000-0300-000001000000}">
          <x14:formula1>
            <xm:f>contacts!$A:$A</xm:f>
          </x14:formula1>
          <xm:sqref>A13</xm:sqref>
        </x14:dataValidation>
        <x14:dataValidation type="list" allowBlank="1" showErrorMessage="1" xr:uid="{00000000-0002-0000-0300-000002000000}">
          <x14:formula1>
            <xm:f>Data!$A:$A</xm:f>
          </x14:formula1>
          <xm:sqref>B2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1000"/>
  <sheetViews>
    <sheetView showGridLines="0" workbookViewId="0"/>
  </sheetViews>
  <sheetFormatPr defaultColWidth="12.6328125" defaultRowHeight="15" customHeight="1" x14ac:dyDescent="0.25"/>
  <cols>
    <col min="1" max="6" width="12.6328125" customWidth="1"/>
  </cols>
  <sheetData>
    <row r="1" spans="1:2" ht="15.75" customHeight="1" x14ac:dyDescent="0.25"/>
    <row r="2" spans="1:2" ht="15.75" customHeight="1" x14ac:dyDescent="0.4">
      <c r="A2" s="6" t="s">
        <v>46</v>
      </c>
    </row>
    <row r="3" spans="1:2" ht="15.75" customHeight="1" x14ac:dyDescent="0.25">
      <c r="A3" s="2" t="s">
        <v>47</v>
      </c>
      <c r="B3" s="25">
        <f ca="1">TODAY()</f>
        <v>45718</v>
      </c>
    </row>
    <row r="4" spans="1:2" ht="15.75" customHeight="1" x14ac:dyDescent="0.25"/>
    <row r="5" spans="1:2" ht="15.75" customHeight="1" x14ac:dyDescent="0.25"/>
    <row r="6" spans="1:2" ht="15.75" customHeight="1" x14ac:dyDescent="0.25"/>
    <row r="7" spans="1:2" ht="15.75" customHeight="1" x14ac:dyDescent="0.25"/>
    <row r="8" spans="1:2" ht="15.75" customHeight="1" x14ac:dyDescent="0.25"/>
    <row r="9" spans="1:2" ht="15.75" customHeight="1" x14ac:dyDescent="0.25"/>
    <row r="10" spans="1:2" ht="15.75" customHeight="1" x14ac:dyDescent="0.25"/>
    <row r="11" spans="1:2" ht="15.75" customHeight="1" x14ac:dyDescent="0.25"/>
    <row r="12" spans="1:2" ht="15.75" customHeight="1" x14ac:dyDescent="0.25"/>
    <row r="13" spans="1:2" ht="15.75" customHeight="1" x14ac:dyDescent="0.25"/>
    <row r="14" spans="1:2" ht="15.75" customHeight="1" x14ac:dyDescent="0.25"/>
    <row r="15" spans="1:2" ht="15.75" customHeight="1" x14ac:dyDescent="0.25"/>
    <row r="16" spans="1:2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9:O10" xr:uid="{00000000-0009-0000-0000-000004000000}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1000"/>
  <sheetViews>
    <sheetView showGridLines="0" workbookViewId="0"/>
  </sheetViews>
  <sheetFormatPr defaultColWidth="12.6328125" defaultRowHeight="15" customHeight="1" x14ac:dyDescent="0.25"/>
  <cols>
    <col min="1" max="1" width="30.6328125" customWidth="1"/>
    <col min="2" max="6" width="12.6328125" customWidth="1"/>
  </cols>
  <sheetData>
    <row r="1" spans="1:5" ht="15.75" customHeight="1" x14ac:dyDescent="0.4">
      <c r="A1" s="36" t="e">
        <f>View_Print!A3</f>
        <v>#N/A</v>
      </c>
      <c r="B1" s="34"/>
      <c r="C1" s="34"/>
      <c r="D1" s="34"/>
      <c r="E1" s="34"/>
    </row>
    <row r="2" spans="1:5" ht="15.75" customHeight="1" x14ac:dyDescent="0.25">
      <c r="A2" s="37" t="e">
        <f>View_Print!A4</f>
        <v>#N/A</v>
      </c>
      <c r="B2" s="34"/>
      <c r="C2" s="34"/>
      <c r="D2" s="34"/>
      <c r="E2" s="34"/>
    </row>
    <row r="3" spans="1:5" ht="15.75" customHeight="1" x14ac:dyDescent="0.25">
      <c r="A3" s="37" t="e">
        <f>View_Print!A5</f>
        <v>#N/A</v>
      </c>
      <c r="B3" s="34"/>
      <c r="C3" s="34"/>
      <c r="D3" s="34"/>
      <c r="E3" s="34"/>
    </row>
    <row r="4" spans="1:5" ht="15.75" customHeight="1" x14ac:dyDescent="0.25">
      <c r="A4" s="37" t="e">
        <f>View_Print!A6</f>
        <v>#N/A</v>
      </c>
      <c r="B4" s="34"/>
      <c r="C4" s="34"/>
      <c r="D4" s="34"/>
      <c r="E4" s="34"/>
    </row>
    <row r="5" spans="1:5" ht="15.75" customHeight="1" x14ac:dyDescent="0.25">
      <c r="A5" s="37" t="e">
        <f>View_Print!A7</f>
        <v>#N/A</v>
      </c>
      <c r="B5" s="34"/>
      <c r="C5" s="34"/>
      <c r="D5" s="34"/>
      <c r="E5" s="34"/>
    </row>
    <row r="6" spans="1:5" ht="15.75" customHeight="1" x14ac:dyDescent="0.25">
      <c r="A6" s="37" t="e">
        <f>View_Print!A8</f>
        <v>#N/A</v>
      </c>
      <c r="B6" s="34"/>
      <c r="C6" s="34"/>
      <c r="D6" s="34"/>
      <c r="E6" s="34"/>
    </row>
    <row r="7" spans="1:5" ht="15.75" customHeight="1" x14ac:dyDescent="0.25">
      <c r="A7" s="37" t="e">
        <f>View_Print!A9</f>
        <v>#N/A</v>
      </c>
      <c r="B7" s="34"/>
      <c r="C7" s="34"/>
      <c r="D7" s="34"/>
      <c r="E7" s="34"/>
    </row>
    <row r="8" spans="1:5" ht="15.75" customHeight="1" x14ac:dyDescent="0.4">
      <c r="A8" s="38" t="s">
        <v>48</v>
      </c>
      <c r="B8" s="34"/>
      <c r="C8" s="34"/>
      <c r="D8" s="34"/>
      <c r="E8" s="34"/>
    </row>
    <row r="9" spans="1:5" ht="15.75" customHeight="1" x14ac:dyDescent="0.3">
      <c r="A9" s="1" t="s">
        <v>23</v>
      </c>
      <c r="B9" s="26" t="e">
        <f>View_Print!B11</f>
        <v>#N/A</v>
      </c>
      <c r="C9" s="2"/>
      <c r="D9" s="2"/>
      <c r="E9" s="2"/>
    </row>
    <row r="10" spans="1:5" ht="15.75" customHeight="1" x14ac:dyDescent="0.3">
      <c r="A10" s="39" t="s">
        <v>24</v>
      </c>
      <c r="B10" s="34"/>
      <c r="C10" s="2"/>
      <c r="D10" s="33" t="s">
        <v>25</v>
      </c>
      <c r="E10" s="34"/>
    </row>
    <row r="11" spans="1:5" ht="15.75" customHeight="1" x14ac:dyDescent="0.25">
      <c r="A11" s="37" t="e">
        <f>View_Print!A13</f>
        <v>#N/A</v>
      </c>
      <c r="B11" s="34"/>
      <c r="C11" s="2"/>
      <c r="D11" s="35" t="e">
        <f>View_Print!D13</f>
        <v>#N/A</v>
      </c>
      <c r="E11" s="34"/>
    </row>
    <row r="12" spans="1:5" ht="15.75" customHeight="1" x14ac:dyDescent="0.25">
      <c r="A12" s="37" t="e">
        <f>View_Print!A14</f>
        <v>#N/A</v>
      </c>
      <c r="B12" s="34"/>
      <c r="C12" s="2"/>
      <c r="D12" s="2"/>
      <c r="E12" s="2"/>
    </row>
    <row r="13" spans="1:5" ht="15.75" customHeight="1" x14ac:dyDescent="0.25">
      <c r="A13" s="37" t="e">
        <f>View_Print!A15</f>
        <v>#N/A</v>
      </c>
      <c r="B13" s="34"/>
      <c r="C13" s="2"/>
      <c r="D13" s="2"/>
      <c r="E13" s="2"/>
    </row>
    <row r="14" spans="1:5" ht="15.75" customHeight="1" x14ac:dyDescent="0.25">
      <c r="A14" s="37" t="e">
        <f>View_Print!A16</f>
        <v>#N/A</v>
      </c>
      <c r="B14" s="34"/>
      <c r="C14" s="2"/>
      <c r="D14" s="2"/>
      <c r="E14" s="2"/>
    </row>
    <row r="15" spans="1:5" ht="15.75" customHeight="1" x14ac:dyDescent="0.25">
      <c r="A15" s="37" t="e">
        <f>View_Print!A17</f>
        <v>#N/A</v>
      </c>
      <c r="B15" s="34"/>
      <c r="C15" s="2"/>
      <c r="D15" s="2"/>
      <c r="E15" s="2"/>
    </row>
    <row r="16" spans="1:5" ht="15.75" customHeight="1" x14ac:dyDescent="0.25">
      <c r="A16" s="37" t="e">
        <f>View_Print!A18</f>
        <v>#N/A</v>
      </c>
      <c r="B16" s="34"/>
      <c r="C16" s="2"/>
      <c r="D16" s="2"/>
      <c r="E16" s="2"/>
    </row>
    <row r="17" spans="1:5" ht="15.75" customHeight="1" x14ac:dyDescent="0.25">
      <c r="A17" s="37"/>
      <c r="B17" s="34"/>
      <c r="C17" s="2"/>
      <c r="D17" s="27"/>
      <c r="E17" s="2"/>
    </row>
    <row r="18" spans="1:5" ht="15.75" customHeight="1" x14ac:dyDescent="0.3">
      <c r="A18" s="8" t="s">
        <v>27</v>
      </c>
      <c r="B18" s="8" t="s">
        <v>28</v>
      </c>
      <c r="C18" s="8" t="s">
        <v>2</v>
      </c>
      <c r="D18" s="8" t="s">
        <v>29</v>
      </c>
      <c r="E18" s="2"/>
    </row>
    <row r="19" spans="1:5" ht="15.75" customHeight="1" x14ac:dyDescent="0.25">
      <c r="A19" s="9" t="e">
        <f>View_Print!A21</f>
        <v>#N/A</v>
      </c>
      <c r="B19" s="9" t="e">
        <f>View_Print!B21</f>
        <v>#N/A</v>
      </c>
      <c r="C19" s="10" t="e">
        <f>View_Print!C21</f>
        <v>#N/A</v>
      </c>
      <c r="D19" s="11" t="e">
        <f t="shared" ref="D19:D28" si="0">B19*C19</f>
        <v>#N/A</v>
      </c>
      <c r="E19" s="2"/>
    </row>
    <row r="20" spans="1:5" ht="15.75" customHeight="1" x14ac:dyDescent="0.25">
      <c r="A20" s="9" t="e">
        <f>View_Print!A22</f>
        <v>#N/A</v>
      </c>
      <c r="B20" s="9" t="e">
        <f>View_Print!B22</f>
        <v>#N/A</v>
      </c>
      <c r="C20" s="10" t="e">
        <f>View_Print!C22</f>
        <v>#N/A</v>
      </c>
      <c r="D20" s="11" t="e">
        <f t="shared" si="0"/>
        <v>#N/A</v>
      </c>
      <c r="E20" s="2"/>
    </row>
    <row r="21" spans="1:5" ht="15.75" customHeight="1" x14ac:dyDescent="0.25">
      <c r="A21" s="9" t="e">
        <f>View_Print!A23</f>
        <v>#N/A</v>
      </c>
      <c r="B21" s="9" t="e">
        <f>View_Print!B23</f>
        <v>#N/A</v>
      </c>
      <c r="C21" s="10" t="e">
        <f>View_Print!C23</f>
        <v>#N/A</v>
      </c>
      <c r="D21" s="11" t="e">
        <f t="shared" si="0"/>
        <v>#N/A</v>
      </c>
      <c r="E21" s="2"/>
    </row>
    <row r="22" spans="1:5" ht="15.75" customHeight="1" x14ac:dyDescent="0.25">
      <c r="A22" s="9" t="e">
        <f>View_Print!A24</f>
        <v>#N/A</v>
      </c>
      <c r="B22" s="9" t="e">
        <f>View_Print!B24</f>
        <v>#N/A</v>
      </c>
      <c r="C22" s="10" t="e">
        <f>View_Print!C24</f>
        <v>#N/A</v>
      </c>
      <c r="D22" s="11" t="e">
        <f t="shared" si="0"/>
        <v>#N/A</v>
      </c>
      <c r="E22" s="2"/>
    </row>
    <row r="23" spans="1:5" ht="15.75" customHeight="1" x14ac:dyDescent="0.25">
      <c r="A23" s="9" t="e">
        <f>View_Print!A25</f>
        <v>#N/A</v>
      </c>
      <c r="B23" s="9" t="e">
        <f>View_Print!B25</f>
        <v>#N/A</v>
      </c>
      <c r="C23" s="10" t="e">
        <f>View_Print!C25</f>
        <v>#N/A</v>
      </c>
      <c r="D23" s="11" t="e">
        <f t="shared" si="0"/>
        <v>#N/A</v>
      </c>
      <c r="E23" s="2"/>
    </row>
    <row r="24" spans="1:5" ht="15.75" customHeight="1" x14ac:dyDescent="0.25">
      <c r="A24" s="9" t="e">
        <f>View_Print!A26</f>
        <v>#N/A</v>
      </c>
      <c r="B24" s="9" t="e">
        <f>View_Print!B26</f>
        <v>#N/A</v>
      </c>
      <c r="C24" s="10" t="e">
        <f>View_Print!C26</f>
        <v>#N/A</v>
      </c>
      <c r="D24" s="11" t="e">
        <f t="shared" si="0"/>
        <v>#N/A</v>
      </c>
      <c r="E24" s="2"/>
    </row>
    <row r="25" spans="1:5" ht="15.75" customHeight="1" x14ac:dyDescent="0.25">
      <c r="A25" s="9" t="e">
        <f>View_Print!A27</f>
        <v>#N/A</v>
      </c>
      <c r="B25" s="9" t="e">
        <f>View_Print!B27</f>
        <v>#N/A</v>
      </c>
      <c r="C25" s="10" t="e">
        <f>View_Print!C27</f>
        <v>#N/A</v>
      </c>
      <c r="D25" s="11" t="e">
        <f t="shared" si="0"/>
        <v>#N/A</v>
      </c>
      <c r="E25" s="2"/>
    </row>
    <row r="26" spans="1:5" ht="15.75" customHeight="1" x14ac:dyDescent="0.25">
      <c r="A26" s="9" t="e">
        <f>View_Print!A28</f>
        <v>#N/A</v>
      </c>
      <c r="B26" s="9" t="e">
        <f>View_Print!B28</f>
        <v>#N/A</v>
      </c>
      <c r="C26" s="10" t="e">
        <f>View_Print!C28</f>
        <v>#N/A</v>
      </c>
      <c r="D26" s="11" t="e">
        <f t="shared" si="0"/>
        <v>#N/A</v>
      </c>
      <c r="E26" s="2"/>
    </row>
    <row r="27" spans="1:5" ht="15.75" customHeight="1" x14ac:dyDescent="0.25">
      <c r="A27" s="9" t="e">
        <f>View_Print!A29</f>
        <v>#N/A</v>
      </c>
      <c r="B27" s="9" t="e">
        <f>View_Print!B29</f>
        <v>#N/A</v>
      </c>
      <c r="C27" s="10" t="e">
        <f>View_Print!C29</f>
        <v>#N/A</v>
      </c>
      <c r="D27" s="11" t="e">
        <f t="shared" si="0"/>
        <v>#N/A</v>
      </c>
      <c r="E27" s="2"/>
    </row>
    <row r="28" spans="1:5" ht="15.75" customHeight="1" x14ac:dyDescent="0.25">
      <c r="A28" s="9" t="e">
        <f>View_Print!A30</f>
        <v>#N/A</v>
      </c>
      <c r="B28" s="9" t="e">
        <f>View_Print!B30</f>
        <v>#N/A</v>
      </c>
      <c r="C28" s="10" t="e">
        <f>View_Print!C30</f>
        <v>#N/A</v>
      </c>
      <c r="D28" s="11" t="e">
        <f t="shared" si="0"/>
        <v>#N/A</v>
      </c>
      <c r="E28" s="2"/>
    </row>
    <row r="29" spans="1:5" ht="15.75" customHeight="1" x14ac:dyDescent="0.25">
      <c r="A29" s="2"/>
      <c r="B29" s="2"/>
      <c r="C29" s="2"/>
      <c r="D29" s="2"/>
      <c r="E29" s="2"/>
    </row>
    <row r="30" spans="1:5" ht="15.75" customHeight="1" x14ac:dyDescent="0.3">
      <c r="A30" s="2"/>
      <c r="B30" s="2"/>
      <c r="C30" s="7" t="s">
        <v>30</v>
      </c>
      <c r="D30" s="12" t="e">
        <f>SUM(D19:D28)</f>
        <v>#N/A</v>
      </c>
      <c r="E30" s="2"/>
    </row>
    <row r="31" spans="1:5" ht="15.75" customHeight="1" x14ac:dyDescent="0.3">
      <c r="A31" s="2"/>
      <c r="B31" s="2"/>
      <c r="C31" s="7" t="s">
        <v>49</v>
      </c>
      <c r="D31" s="12" t="e">
        <f>D30*0.1</f>
        <v>#N/A</v>
      </c>
      <c r="E31" s="2"/>
    </row>
    <row r="32" spans="1:5" ht="15.75" customHeight="1" x14ac:dyDescent="0.3">
      <c r="A32" s="2"/>
      <c r="B32" s="2"/>
      <c r="C32" s="7" t="s">
        <v>32</v>
      </c>
      <c r="D32" s="12" t="e">
        <f>D30+D31</f>
        <v>#N/A</v>
      </c>
      <c r="E32" s="2"/>
    </row>
    <row r="33" spans="1:5" ht="15.75" customHeight="1" x14ac:dyDescent="0.25">
      <c r="A33" s="2"/>
      <c r="B33" s="2"/>
      <c r="C33" s="2"/>
      <c r="D33" s="2"/>
      <c r="E33" s="2"/>
    </row>
    <row r="34" spans="1:5" ht="15.75" customHeight="1" x14ac:dyDescent="0.3">
      <c r="A34" s="28" t="s">
        <v>50</v>
      </c>
    </row>
    <row r="35" spans="1:5" ht="15.75" customHeight="1" x14ac:dyDescent="0.25"/>
    <row r="36" spans="1:5" ht="15.75" customHeight="1" x14ac:dyDescent="0.25"/>
    <row r="37" spans="1:5" ht="15.75" customHeight="1" x14ac:dyDescent="0.25"/>
    <row r="38" spans="1:5" ht="15.75" customHeight="1" x14ac:dyDescent="0.25"/>
    <row r="39" spans="1:5" ht="15.75" customHeight="1" x14ac:dyDescent="0.25"/>
    <row r="40" spans="1:5" ht="15.75" customHeight="1" x14ac:dyDescent="0.25"/>
    <row r="41" spans="1:5" ht="15.75" customHeight="1" x14ac:dyDescent="0.25"/>
    <row r="42" spans="1:5" ht="15.75" customHeight="1" x14ac:dyDescent="0.25"/>
    <row r="43" spans="1:5" ht="15.75" customHeight="1" x14ac:dyDescent="0.25"/>
    <row r="44" spans="1:5" ht="15.75" customHeight="1" x14ac:dyDescent="0.25"/>
    <row r="45" spans="1:5" ht="15.75" customHeight="1" x14ac:dyDescent="0.25"/>
    <row r="46" spans="1:5" ht="15.75" customHeight="1" x14ac:dyDescent="0.25"/>
    <row r="47" spans="1:5" ht="15.75" customHeight="1" x14ac:dyDescent="0.25"/>
    <row r="48" spans="1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8">
    <mergeCell ref="A17:B17"/>
    <mergeCell ref="A8:E8"/>
    <mergeCell ref="A10:B10"/>
    <mergeCell ref="D10:E10"/>
    <mergeCell ref="A11:B11"/>
    <mergeCell ref="D11:E11"/>
    <mergeCell ref="A12:B12"/>
    <mergeCell ref="A13:B13"/>
    <mergeCell ref="A6:E6"/>
    <mergeCell ref="A7:E7"/>
    <mergeCell ref="A14:B14"/>
    <mergeCell ref="A15:B15"/>
    <mergeCell ref="A16:B16"/>
    <mergeCell ref="A1:E1"/>
    <mergeCell ref="A2:E2"/>
    <mergeCell ref="A3:E3"/>
    <mergeCell ref="A4:E4"/>
    <mergeCell ref="A5:E5"/>
  </mergeCells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1000"/>
  <sheetViews>
    <sheetView showGridLines="0" workbookViewId="0"/>
  </sheetViews>
  <sheetFormatPr defaultColWidth="12.6328125" defaultRowHeight="15" customHeight="1" x14ac:dyDescent="0.25"/>
  <cols>
    <col min="1" max="1" width="30.6328125" customWidth="1"/>
    <col min="2" max="6" width="12.6328125" customWidth="1"/>
  </cols>
  <sheetData>
    <row r="1" spans="1:5" ht="15.75" customHeight="1" x14ac:dyDescent="0.4">
      <c r="A1" s="36" t="e">
        <f>View_Print!A3</f>
        <v>#N/A</v>
      </c>
      <c r="B1" s="34"/>
      <c r="C1" s="34"/>
      <c r="D1" s="34"/>
      <c r="E1" s="34"/>
    </row>
    <row r="2" spans="1:5" ht="15.75" customHeight="1" x14ac:dyDescent="0.25">
      <c r="A2" s="37" t="e">
        <f>View_Print!A4</f>
        <v>#N/A</v>
      </c>
      <c r="B2" s="34"/>
      <c r="C2" s="34"/>
      <c r="D2" s="34"/>
      <c r="E2" s="34"/>
    </row>
    <row r="3" spans="1:5" ht="15.75" customHeight="1" x14ac:dyDescent="0.25">
      <c r="A3" s="37" t="e">
        <f>View_Print!A5</f>
        <v>#N/A</v>
      </c>
      <c r="B3" s="34"/>
      <c r="C3" s="34"/>
      <c r="D3" s="34"/>
      <c r="E3" s="34"/>
    </row>
    <row r="4" spans="1:5" ht="15.75" customHeight="1" x14ac:dyDescent="0.25">
      <c r="A4" s="37" t="e">
        <f>View_Print!A6</f>
        <v>#N/A</v>
      </c>
      <c r="B4" s="34"/>
      <c r="C4" s="34"/>
      <c r="D4" s="34"/>
      <c r="E4" s="34"/>
    </row>
    <row r="5" spans="1:5" ht="15.75" customHeight="1" x14ac:dyDescent="0.25">
      <c r="A5" s="37" t="e">
        <f>View_Print!A7</f>
        <v>#N/A</v>
      </c>
      <c r="B5" s="34"/>
      <c r="C5" s="34"/>
      <c r="D5" s="34"/>
      <c r="E5" s="34"/>
    </row>
    <row r="6" spans="1:5" ht="15.75" customHeight="1" x14ac:dyDescent="0.25">
      <c r="A6" s="37" t="e">
        <f>View_Print!A8</f>
        <v>#N/A</v>
      </c>
      <c r="B6" s="34"/>
      <c r="C6" s="34"/>
      <c r="D6" s="34"/>
      <c r="E6" s="34"/>
    </row>
    <row r="7" spans="1:5" ht="15.75" customHeight="1" x14ac:dyDescent="0.25">
      <c r="A7" s="37" t="e">
        <f>View_Print!A9</f>
        <v>#N/A</v>
      </c>
      <c r="B7" s="34"/>
      <c r="C7" s="34"/>
      <c r="D7" s="34"/>
      <c r="E7" s="34"/>
    </row>
    <row r="8" spans="1:5" ht="15.75" customHeight="1" x14ac:dyDescent="0.4">
      <c r="A8" s="38" t="s">
        <v>51</v>
      </c>
      <c r="B8" s="34"/>
      <c r="C8" s="34"/>
      <c r="D8" s="34"/>
      <c r="E8" s="34"/>
    </row>
    <row r="9" spans="1:5" ht="15.75" customHeight="1" x14ac:dyDescent="0.3">
      <c r="A9" s="1" t="s">
        <v>23</v>
      </c>
      <c r="B9" s="26" t="e">
        <f>View_Print!B11</f>
        <v>#N/A</v>
      </c>
      <c r="C9" s="2"/>
      <c r="D9" s="2"/>
      <c r="E9" s="2"/>
    </row>
    <row r="10" spans="1:5" ht="15.75" customHeight="1" x14ac:dyDescent="0.3">
      <c r="A10" s="39" t="s">
        <v>52</v>
      </c>
      <c r="B10" s="34"/>
      <c r="C10" s="2"/>
      <c r="D10" s="48" t="e">
        <f>View_Print!D13:E13</f>
        <v>#N/A</v>
      </c>
      <c r="E10" s="34"/>
    </row>
    <row r="11" spans="1:5" ht="15.75" customHeight="1" x14ac:dyDescent="0.25">
      <c r="A11" s="37" t="e">
        <f>View_Print!A13</f>
        <v>#N/A</v>
      </c>
      <c r="B11" s="34"/>
      <c r="C11" s="2"/>
      <c r="D11" s="35" t="e">
        <f>View_Print!O2</f>
        <v>#N/A</v>
      </c>
      <c r="E11" s="34"/>
    </row>
    <row r="12" spans="1:5" ht="15.75" customHeight="1" x14ac:dyDescent="0.25">
      <c r="A12" s="37" t="e">
        <f>View_Print!A14</f>
        <v>#N/A</v>
      </c>
      <c r="B12" s="34"/>
      <c r="C12" s="2"/>
      <c r="D12" s="2"/>
      <c r="E12" s="2"/>
    </row>
    <row r="13" spans="1:5" ht="15.75" customHeight="1" x14ac:dyDescent="0.25">
      <c r="A13" s="37" t="e">
        <f>VLOOKUP(A11, contacts!A:CJ, 63, FALSE)</f>
        <v>#N/A</v>
      </c>
      <c r="B13" s="34"/>
      <c r="C13" s="2"/>
      <c r="D13" s="2"/>
      <c r="E13" s="2"/>
    </row>
    <row r="14" spans="1:5" ht="15.75" customHeight="1" x14ac:dyDescent="0.25">
      <c r="A14" s="37" t="e">
        <f>VLOOKUP(A11, contacts!A:CJ, 67, FALSE) &amp; ", " &amp; VLOOKUP(A11, contacts!A:CJ, 68, FALSE) &amp; "   " &amp; VLOOKUP(A11, contacts!A:CJ, 69, FALSE)</f>
        <v>#N/A</v>
      </c>
      <c r="B14" s="34"/>
      <c r="C14" s="2"/>
      <c r="D14" s="2"/>
      <c r="E14" s="2"/>
    </row>
    <row r="15" spans="1:5" ht="15.75" customHeight="1" x14ac:dyDescent="0.25">
      <c r="A15" s="37" t="e">
        <f>View_Print!A17</f>
        <v>#N/A</v>
      </c>
      <c r="B15" s="34"/>
      <c r="C15" s="2"/>
      <c r="D15" s="2"/>
      <c r="E15" s="2"/>
    </row>
    <row r="16" spans="1:5" ht="15.75" customHeight="1" x14ac:dyDescent="0.25">
      <c r="A16" s="37" t="e">
        <f>View_Print!A18</f>
        <v>#N/A</v>
      </c>
      <c r="B16" s="34"/>
      <c r="C16" s="2"/>
      <c r="D16" s="2"/>
      <c r="E16" s="2"/>
    </row>
    <row r="17" spans="1:5" ht="15.75" customHeight="1" x14ac:dyDescent="0.25">
      <c r="A17" s="37"/>
      <c r="B17" s="34"/>
      <c r="C17" s="2"/>
      <c r="D17" s="27"/>
      <c r="E17" s="2"/>
    </row>
    <row r="18" spans="1:5" ht="15.75" customHeight="1" x14ac:dyDescent="0.3">
      <c r="A18" s="8" t="s">
        <v>27</v>
      </c>
      <c r="B18" s="8" t="s">
        <v>28</v>
      </c>
      <c r="C18" s="8" t="s">
        <v>2</v>
      </c>
      <c r="D18" s="8" t="s">
        <v>29</v>
      </c>
      <c r="E18" s="2"/>
    </row>
    <row r="19" spans="1:5" ht="15.75" customHeight="1" x14ac:dyDescent="0.25">
      <c r="A19" s="9" t="e">
        <f>View_Print!A21</f>
        <v>#N/A</v>
      </c>
      <c r="B19" s="9" t="e">
        <f>View_Print!B21</f>
        <v>#N/A</v>
      </c>
      <c r="C19" s="10" t="e">
        <f>View_Print!C21</f>
        <v>#N/A</v>
      </c>
      <c r="D19" s="11" t="e">
        <f t="shared" ref="D19:D28" si="0">B19*C19</f>
        <v>#N/A</v>
      </c>
      <c r="E19" s="2"/>
    </row>
    <row r="20" spans="1:5" ht="15.75" customHeight="1" x14ac:dyDescent="0.25">
      <c r="A20" s="9" t="e">
        <f>View_Print!A22</f>
        <v>#N/A</v>
      </c>
      <c r="B20" s="9" t="e">
        <f>View_Print!B22</f>
        <v>#N/A</v>
      </c>
      <c r="C20" s="10" t="e">
        <f>View_Print!C22</f>
        <v>#N/A</v>
      </c>
      <c r="D20" s="11" t="e">
        <f t="shared" si="0"/>
        <v>#N/A</v>
      </c>
      <c r="E20" s="2"/>
    </row>
    <row r="21" spans="1:5" ht="15.75" customHeight="1" x14ac:dyDescent="0.25">
      <c r="A21" s="9" t="e">
        <f>View_Print!A23</f>
        <v>#N/A</v>
      </c>
      <c r="B21" s="9" t="e">
        <f>View_Print!B23</f>
        <v>#N/A</v>
      </c>
      <c r="C21" s="10" t="e">
        <f>View_Print!C23</f>
        <v>#N/A</v>
      </c>
      <c r="D21" s="11" t="e">
        <f t="shared" si="0"/>
        <v>#N/A</v>
      </c>
      <c r="E21" s="2"/>
    </row>
    <row r="22" spans="1:5" ht="15.75" customHeight="1" x14ac:dyDescent="0.25">
      <c r="A22" s="9" t="e">
        <f>View_Print!A24</f>
        <v>#N/A</v>
      </c>
      <c r="B22" s="9" t="e">
        <f>View_Print!B24</f>
        <v>#N/A</v>
      </c>
      <c r="C22" s="10" t="e">
        <f>View_Print!C24</f>
        <v>#N/A</v>
      </c>
      <c r="D22" s="11" t="e">
        <f t="shared" si="0"/>
        <v>#N/A</v>
      </c>
      <c r="E22" s="2"/>
    </row>
    <row r="23" spans="1:5" ht="15.75" customHeight="1" x14ac:dyDescent="0.25">
      <c r="A23" s="9" t="e">
        <f>View_Print!A25</f>
        <v>#N/A</v>
      </c>
      <c r="B23" s="9" t="e">
        <f>View_Print!B25</f>
        <v>#N/A</v>
      </c>
      <c r="C23" s="10" t="e">
        <f>View_Print!C25</f>
        <v>#N/A</v>
      </c>
      <c r="D23" s="11" t="e">
        <f t="shared" si="0"/>
        <v>#N/A</v>
      </c>
      <c r="E23" s="2"/>
    </row>
    <row r="24" spans="1:5" ht="15.75" customHeight="1" x14ac:dyDescent="0.25">
      <c r="A24" s="9" t="e">
        <f>View_Print!A26</f>
        <v>#N/A</v>
      </c>
      <c r="B24" s="9" t="e">
        <f>View_Print!B26</f>
        <v>#N/A</v>
      </c>
      <c r="C24" s="10" t="e">
        <f>View_Print!C26</f>
        <v>#N/A</v>
      </c>
      <c r="D24" s="11" t="e">
        <f t="shared" si="0"/>
        <v>#N/A</v>
      </c>
      <c r="E24" s="2"/>
    </row>
    <row r="25" spans="1:5" ht="15.75" customHeight="1" x14ac:dyDescent="0.25">
      <c r="A25" s="9" t="e">
        <f>View_Print!A27</f>
        <v>#N/A</v>
      </c>
      <c r="B25" s="9" t="e">
        <f>View_Print!B27</f>
        <v>#N/A</v>
      </c>
      <c r="C25" s="10" t="e">
        <f>View_Print!C27</f>
        <v>#N/A</v>
      </c>
      <c r="D25" s="11" t="e">
        <f t="shared" si="0"/>
        <v>#N/A</v>
      </c>
      <c r="E25" s="2"/>
    </row>
    <row r="26" spans="1:5" ht="15.75" customHeight="1" x14ac:dyDescent="0.25">
      <c r="A26" s="9" t="e">
        <f>View_Print!A28</f>
        <v>#N/A</v>
      </c>
      <c r="B26" s="9" t="e">
        <f>View_Print!B28</f>
        <v>#N/A</v>
      </c>
      <c r="C26" s="10" t="e">
        <f>View_Print!C28</f>
        <v>#N/A</v>
      </c>
      <c r="D26" s="11" t="e">
        <f t="shared" si="0"/>
        <v>#N/A</v>
      </c>
      <c r="E26" s="2"/>
    </row>
    <row r="27" spans="1:5" ht="15.75" customHeight="1" x14ac:dyDescent="0.25">
      <c r="A27" s="9" t="e">
        <f>View_Print!A29</f>
        <v>#N/A</v>
      </c>
      <c r="B27" s="9" t="e">
        <f>View_Print!B29</f>
        <v>#N/A</v>
      </c>
      <c r="C27" s="10" t="e">
        <f>View_Print!C29</f>
        <v>#N/A</v>
      </c>
      <c r="D27" s="11" t="e">
        <f t="shared" si="0"/>
        <v>#N/A</v>
      </c>
      <c r="E27" s="2"/>
    </row>
    <row r="28" spans="1:5" ht="15.75" customHeight="1" x14ac:dyDescent="0.25">
      <c r="A28" s="9" t="e">
        <f>View_Print!A30</f>
        <v>#N/A</v>
      </c>
      <c r="B28" s="9" t="e">
        <f>View_Print!B30</f>
        <v>#N/A</v>
      </c>
      <c r="C28" s="10" t="e">
        <f>View_Print!C30</f>
        <v>#N/A</v>
      </c>
      <c r="D28" s="11" t="e">
        <f t="shared" si="0"/>
        <v>#N/A</v>
      </c>
      <c r="E28" s="2"/>
    </row>
    <row r="29" spans="1:5" ht="15.75" customHeight="1" x14ac:dyDescent="0.25">
      <c r="A29" s="2"/>
      <c r="B29" s="2"/>
      <c r="C29" s="2"/>
      <c r="D29" s="2"/>
      <c r="E29" s="2"/>
    </row>
    <row r="30" spans="1:5" ht="15.75" customHeight="1" x14ac:dyDescent="0.3">
      <c r="A30" s="2"/>
      <c r="B30" s="2"/>
      <c r="C30" s="7" t="s">
        <v>30</v>
      </c>
      <c r="D30" s="12" t="e">
        <f>SUM(D19:D28)</f>
        <v>#N/A</v>
      </c>
      <c r="E30" s="2"/>
    </row>
    <row r="31" spans="1:5" ht="15.75" customHeight="1" x14ac:dyDescent="0.3">
      <c r="A31" s="2"/>
      <c r="B31" s="2"/>
      <c r="C31" s="7" t="s">
        <v>49</v>
      </c>
      <c r="D31" s="12" t="e">
        <f>D30*0.1</f>
        <v>#N/A</v>
      </c>
      <c r="E31" s="2"/>
    </row>
    <row r="32" spans="1:5" ht="15.75" customHeight="1" x14ac:dyDescent="0.3">
      <c r="A32" s="2"/>
      <c r="B32" s="2"/>
      <c r="C32" s="7" t="s">
        <v>32</v>
      </c>
      <c r="D32" s="12" t="e">
        <f>D30+D31</f>
        <v>#N/A</v>
      </c>
      <c r="E32" s="2"/>
    </row>
    <row r="33" spans="1:5" ht="15.75" customHeight="1" x14ac:dyDescent="0.25">
      <c r="A33" s="2"/>
      <c r="B33" s="2"/>
      <c r="C33" s="2"/>
      <c r="D33" s="2"/>
      <c r="E33" s="2"/>
    </row>
    <row r="34" spans="1:5" ht="15.75" customHeight="1" x14ac:dyDescent="0.25"/>
    <row r="35" spans="1:5" ht="15.75" customHeight="1" x14ac:dyDescent="0.25"/>
    <row r="36" spans="1:5" ht="15.75" customHeight="1" x14ac:dyDescent="0.25"/>
    <row r="37" spans="1:5" ht="15.75" customHeight="1" x14ac:dyDescent="0.25"/>
    <row r="38" spans="1:5" ht="15.75" customHeight="1" x14ac:dyDescent="0.25"/>
    <row r="39" spans="1:5" ht="15.75" customHeight="1" x14ac:dyDescent="0.25"/>
    <row r="40" spans="1:5" ht="15.75" customHeight="1" x14ac:dyDescent="0.25"/>
    <row r="41" spans="1:5" ht="15.75" customHeight="1" x14ac:dyDescent="0.25"/>
    <row r="42" spans="1:5" ht="15.75" customHeight="1" x14ac:dyDescent="0.25"/>
    <row r="43" spans="1:5" ht="15.75" customHeight="1" x14ac:dyDescent="0.25"/>
    <row r="44" spans="1:5" ht="15.75" customHeight="1" x14ac:dyDescent="0.25"/>
    <row r="45" spans="1:5" ht="15.75" customHeight="1" x14ac:dyDescent="0.25"/>
    <row r="46" spans="1:5" ht="15.75" customHeight="1" x14ac:dyDescent="0.25"/>
    <row r="47" spans="1:5" ht="15.75" customHeight="1" x14ac:dyDescent="0.25"/>
    <row r="48" spans="1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8">
    <mergeCell ref="A17:B17"/>
    <mergeCell ref="A8:E8"/>
    <mergeCell ref="A10:B10"/>
    <mergeCell ref="D10:E10"/>
    <mergeCell ref="A11:B11"/>
    <mergeCell ref="D11:E11"/>
    <mergeCell ref="A12:B12"/>
    <mergeCell ref="A13:B13"/>
    <mergeCell ref="A6:E6"/>
    <mergeCell ref="A7:E7"/>
    <mergeCell ref="A14:B14"/>
    <mergeCell ref="A15:B15"/>
    <mergeCell ref="A16:B16"/>
    <mergeCell ref="A1:E1"/>
    <mergeCell ref="A2:E2"/>
    <mergeCell ref="A3:E3"/>
    <mergeCell ref="A4:E4"/>
    <mergeCell ref="A5:E5"/>
  </mergeCells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Q1000"/>
  <sheetViews>
    <sheetView showGridLines="0" workbookViewId="0"/>
  </sheetViews>
  <sheetFormatPr defaultColWidth="12.6328125" defaultRowHeight="15" customHeight="1" x14ac:dyDescent="0.25"/>
  <cols>
    <col min="1" max="6" width="12.6328125" customWidth="1"/>
  </cols>
  <sheetData>
    <row r="1" spans="1:17" ht="15.75" customHeight="1" x14ac:dyDescent="0.25">
      <c r="A1" s="29"/>
      <c r="B1" s="17" t="str">
        <f>View_Print!M1</f>
        <v>Date Paid:</v>
      </c>
      <c r="C1" s="17" t="str">
        <f>View_Print!N1</f>
        <v>Via:</v>
      </c>
      <c r="D1" s="17" t="str">
        <f>View_Print!O1</f>
        <v>Date Shipped:</v>
      </c>
      <c r="E1" s="29" t="str">
        <f>Input!A1</f>
        <v>Number</v>
      </c>
      <c r="F1" s="29" t="str">
        <f>Input!B1</f>
        <v>Date:</v>
      </c>
      <c r="G1" s="29" t="str">
        <f>Input!C1</f>
        <v>Bill To:</v>
      </c>
      <c r="H1" s="29" t="str">
        <f>Input!D1</f>
        <v>Total:</v>
      </c>
      <c r="I1" s="29" t="str">
        <f>Input!E1</f>
        <v>Subtotal:</v>
      </c>
      <c r="J1" s="29" t="str">
        <f>Input!F1</f>
        <v>Log 6</v>
      </c>
      <c r="K1" s="29" t="str">
        <f>Input!G1</f>
        <v>Log 7</v>
      </c>
      <c r="L1" s="29" t="str">
        <f>Input!H1</f>
        <v>Log 8</v>
      </c>
      <c r="M1" s="30" t="str">
        <f>Input!I1</f>
        <v>Log 9</v>
      </c>
      <c r="N1" s="30" t="str">
        <f>Input!J1</f>
        <v>Log 10</v>
      </c>
      <c r="O1" s="30" t="str">
        <f>Input!K1</f>
        <v>Log 11</v>
      </c>
      <c r="P1" s="30" t="str">
        <f>Input!L1</f>
        <v>Log 12</v>
      </c>
      <c r="Q1" s="30"/>
    </row>
    <row r="2" spans="1:17" ht="15.75" customHeight="1" x14ac:dyDescent="0.25">
      <c r="A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</row>
    <row r="3" spans="1:17" ht="15.75" customHeight="1" x14ac:dyDescent="0.25">
      <c r="A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</row>
    <row r="4" spans="1:17" ht="15.75" customHeight="1" x14ac:dyDescent="0.25">
      <c r="A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</row>
    <row r="5" spans="1:17" ht="15.75" customHeight="1" x14ac:dyDescent="0.25">
      <c r="A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</row>
    <row r="6" spans="1:17" ht="15.75" customHeight="1" x14ac:dyDescent="0.25">
      <c r="A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</row>
    <row r="7" spans="1:17" ht="15.75" customHeight="1" x14ac:dyDescent="0.25">
      <c r="A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</row>
    <row r="8" spans="1:17" ht="15.75" customHeight="1" x14ac:dyDescent="0.25">
      <c r="A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</row>
    <row r="9" spans="1:17" ht="15.75" customHeight="1" x14ac:dyDescent="0.25">
      <c r="A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</row>
    <row r="10" spans="1:17" ht="15.75" customHeight="1" x14ac:dyDescent="0.25">
      <c r="A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</row>
    <row r="11" spans="1:17" ht="15.75" customHeight="1" x14ac:dyDescent="0.25">
      <c r="A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</row>
    <row r="12" spans="1:17" ht="15.75" customHeight="1" x14ac:dyDescent="0.25">
      <c r="A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</row>
    <row r="13" spans="1:17" ht="15.75" customHeight="1" x14ac:dyDescent="0.25">
      <c r="A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</row>
    <row r="14" spans="1:17" ht="15.75" customHeight="1" x14ac:dyDescent="0.25">
      <c r="A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</row>
    <row r="15" spans="1:17" ht="15.75" customHeight="1" x14ac:dyDescent="0.25">
      <c r="A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</row>
    <row r="16" spans="1:17" ht="15.75" customHeight="1" x14ac:dyDescent="0.25">
      <c r="A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</row>
    <row r="17" spans="1:17" ht="15.75" customHeight="1" x14ac:dyDescent="0.25">
      <c r="A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</row>
    <row r="18" spans="1:17" ht="15.75" customHeight="1" x14ac:dyDescent="0.25">
      <c r="A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</row>
    <row r="19" spans="1:17" ht="15.75" customHeight="1" x14ac:dyDescent="0.25">
      <c r="A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</row>
    <row r="20" spans="1:17" ht="15.75" customHeight="1" x14ac:dyDescent="0.25">
      <c r="A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</row>
    <row r="21" spans="1:17" ht="15.75" customHeight="1" x14ac:dyDescent="0.25">
      <c r="A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</row>
    <row r="22" spans="1:17" ht="15.75" customHeight="1" x14ac:dyDescent="0.25">
      <c r="A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</row>
    <row r="23" spans="1:17" ht="15.75" customHeight="1" x14ac:dyDescent="0.25">
      <c r="A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</row>
    <row r="24" spans="1:17" ht="15.75" customHeight="1" x14ac:dyDescent="0.25">
      <c r="A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</row>
    <row r="25" spans="1:17" ht="15.75" customHeight="1" x14ac:dyDescent="0.25">
      <c r="A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</row>
    <row r="26" spans="1:17" ht="15.75" customHeight="1" x14ac:dyDescent="0.25">
      <c r="A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</row>
    <row r="27" spans="1:17" ht="15.75" customHeight="1" x14ac:dyDescent="0.25">
      <c r="A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</row>
    <row r="28" spans="1:17" ht="15.75" customHeight="1" x14ac:dyDescent="0.25">
      <c r="A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</row>
    <row r="29" spans="1:17" ht="15.75" customHeight="1" x14ac:dyDescent="0.25">
      <c r="A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</row>
    <row r="30" spans="1:17" ht="15.75" customHeight="1" x14ac:dyDescent="0.25">
      <c r="A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</row>
    <row r="31" spans="1:17" ht="15.75" customHeight="1" x14ac:dyDescent="0.25">
      <c r="A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</row>
    <row r="32" spans="1:17" ht="15.75" customHeight="1" x14ac:dyDescent="0.25">
      <c r="A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</row>
    <row r="33" spans="1:17" ht="15.75" customHeight="1" x14ac:dyDescent="0.25">
      <c r="A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</row>
    <row r="34" spans="1:17" ht="15.75" customHeight="1" x14ac:dyDescent="0.25">
      <c r="A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</row>
    <row r="35" spans="1:17" ht="15.75" customHeight="1" x14ac:dyDescent="0.25">
      <c r="A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</row>
    <row r="36" spans="1:17" ht="15.75" customHeight="1" x14ac:dyDescent="0.25">
      <c r="A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</row>
    <row r="37" spans="1:17" ht="15.75" customHeight="1" x14ac:dyDescent="0.25">
      <c r="A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</row>
    <row r="38" spans="1:17" ht="15.75" customHeight="1" x14ac:dyDescent="0.25">
      <c r="A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</row>
    <row r="39" spans="1:17" ht="15.75" customHeight="1" x14ac:dyDescent="0.25">
      <c r="A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</row>
    <row r="40" spans="1:17" ht="15.75" customHeight="1" x14ac:dyDescent="0.25">
      <c r="A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</row>
    <row r="41" spans="1:17" ht="15.75" customHeight="1" x14ac:dyDescent="0.25">
      <c r="A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</row>
    <row r="42" spans="1:17" ht="15.75" customHeight="1" x14ac:dyDescent="0.25">
      <c r="A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</row>
    <row r="43" spans="1:17" ht="15.75" customHeight="1" x14ac:dyDescent="0.25">
      <c r="A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</row>
    <row r="44" spans="1:17" ht="15.75" customHeight="1" x14ac:dyDescent="0.25">
      <c r="A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</row>
    <row r="45" spans="1:17" ht="15.75" customHeight="1" x14ac:dyDescent="0.25">
      <c r="A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</row>
    <row r="46" spans="1:17" ht="15.75" customHeight="1" x14ac:dyDescent="0.25">
      <c r="A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</row>
    <row r="47" spans="1:17" ht="15.75" customHeight="1" x14ac:dyDescent="0.25">
      <c r="A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</row>
    <row r="48" spans="1:17" ht="15.75" customHeight="1" x14ac:dyDescent="0.25">
      <c r="A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</row>
    <row r="49" spans="1:17" ht="15.75" customHeight="1" x14ac:dyDescent="0.25">
      <c r="A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</row>
    <row r="50" spans="1:17" ht="15.75" customHeight="1" x14ac:dyDescent="0.25">
      <c r="A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</row>
    <row r="51" spans="1:17" ht="15.75" customHeight="1" x14ac:dyDescent="0.25">
      <c r="A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</row>
    <row r="52" spans="1:17" ht="15.75" customHeight="1" x14ac:dyDescent="0.25">
      <c r="A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</row>
    <row r="53" spans="1:17" ht="15.75" customHeight="1" x14ac:dyDescent="0.25">
      <c r="A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</row>
    <row r="54" spans="1:17" ht="15.75" customHeight="1" x14ac:dyDescent="0.25">
      <c r="A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</row>
    <row r="55" spans="1:17" ht="15.75" customHeight="1" x14ac:dyDescent="0.25">
      <c r="A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</row>
    <row r="56" spans="1:17" ht="15.75" customHeight="1" x14ac:dyDescent="0.25">
      <c r="A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</row>
    <row r="57" spans="1:17" ht="15.75" customHeight="1" x14ac:dyDescent="0.25">
      <c r="A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</row>
    <row r="58" spans="1:17" ht="15.75" customHeight="1" x14ac:dyDescent="0.25">
      <c r="A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</row>
    <row r="59" spans="1:17" ht="15.75" customHeight="1" x14ac:dyDescent="0.25">
      <c r="A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</row>
    <row r="60" spans="1:17" ht="15.75" customHeight="1" x14ac:dyDescent="0.25">
      <c r="A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</row>
    <row r="61" spans="1:17" ht="15.75" customHeight="1" x14ac:dyDescent="0.25">
      <c r="A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</row>
    <row r="62" spans="1:17" ht="15.75" customHeight="1" x14ac:dyDescent="0.25">
      <c r="A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</row>
    <row r="63" spans="1:17" ht="15.75" customHeight="1" x14ac:dyDescent="0.25">
      <c r="A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</row>
    <row r="64" spans="1:17" ht="15.75" customHeight="1" x14ac:dyDescent="0.25">
      <c r="A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</row>
    <row r="65" spans="1:17" ht="15.75" customHeight="1" x14ac:dyDescent="0.25">
      <c r="A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</row>
    <row r="66" spans="1:17" ht="15.75" customHeight="1" x14ac:dyDescent="0.25">
      <c r="A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</row>
    <row r="67" spans="1:17" ht="15.75" customHeight="1" x14ac:dyDescent="0.25">
      <c r="A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</row>
    <row r="68" spans="1:17" ht="15.75" customHeight="1" x14ac:dyDescent="0.25">
      <c r="A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</row>
    <row r="69" spans="1:17" ht="15.75" customHeight="1" x14ac:dyDescent="0.25">
      <c r="A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</row>
    <row r="70" spans="1:17" ht="15.75" customHeight="1" x14ac:dyDescent="0.25">
      <c r="A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</row>
    <row r="71" spans="1:17" ht="15.75" customHeight="1" x14ac:dyDescent="0.25">
      <c r="A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</row>
    <row r="72" spans="1:17" ht="15.75" customHeight="1" x14ac:dyDescent="0.25">
      <c r="A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</row>
    <row r="73" spans="1:17" ht="15.75" customHeight="1" x14ac:dyDescent="0.25">
      <c r="A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</row>
    <row r="74" spans="1:17" ht="15.75" customHeight="1" x14ac:dyDescent="0.25">
      <c r="A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</row>
    <row r="75" spans="1:17" ht="15.75" customHeight="1" x14ac:dyDescent="0.25">
      <c r="A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</row>
    <row r="76" spans="1:17" ht="15.75" customHeight="1" x14ac:dyDescent="0.25">
      <c r="A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</row>
    <row r="77" spans="1:17" ht="15.75" customHeight="1" x14ac:dyDescent="0.25">
      <c r="A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</row>
    <row r="78" spans="1:17" ht="15.75" customHeight="1" x14ac:dyDescent="0.25">
      <c r="A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</row>
    <row r="79" spans="1:17" ht="15.75" customHeight="1" x14ac:dyDescent="0.25">
      <c r="A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</row>
    <row r="80" spans="1:17" ht="15.75" customHeight="1" x14ac:dyDescent="0.25">
      <c r="A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</row>
    <row r="81" spans="1:17" ht="15.75" customHeight="1" x14ac:dyDescent="0.25">
      <c r="A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</row>
    <row r="82" spans="1:17" ht="15.75" customHeight="1" x14ac:dyDescent="0.25">
      <c r="A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</row>
    <row r="83" spans="1:17" ht="15.75" customHeight="1" x14ac:dyDescent="0.25">
      <c r="A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</row>
    <row r="84" spans="1:17" ht="15.75" customHeight="1" x14ac:dyDescent="0.25">
      <c r="A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</row>
    <row r="85" spans="1:17" ht="15.75" customHeight="1" x14ac:dyDescent="0.25">
      <c r="A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</row>
    <row r="86" spans="1:17" ht="15.75" customHeight="1" x14ac:dyDescent="0.25">
      <c r="A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</row>
    <row r="87" spans="1:17" ht="15.75" customHeight="1" x14ac:dyDescent="0.25">
      <c r="A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</row>
    <row r="88" spans="1:17" ht="15.75" customHeight="1" x14ac:dyDescent="0.25">
      <c r="A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</row>
    <row r="89" spans="1:17" ht="15.75" customHeight="1" x14ac:dyDescent="0.25">
      <c r="A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</row>
    <row r="90" spans="1:17" ht="15.75" customHeight="1" x14ac:dyDescent="0.25">
      <c r="A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</row>
    <row r="91" spans="1:17" ht="15.75" customHeight="1" x14ac:dyDescent="0.25">
      <c r="A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</row>
    <row r="92" spans="1:17" ht="15.75" customHeight="1" x14ac:dyDescent="0.25">
      <c r="A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</row>
    <row r="93" spans="1:17" ht="15.75" customHeight="1" x14ac:dyDescent="0.25">
      <c r="A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</row>
    <row r="94" spans="1:17" ht="15.75" customHeight="1" x14ac:dyDescent="0.25">
      <c r="A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</row>
    <row r="95" spans="1:17" ht="15.75" customHeight="1" x14ac:dyDescent="0.25">
      <c r="A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</row>
    <row r="96" spans="1:17" ht="15.75" customHeight="1" x14ac:dyDescent="0.25">
      <c r="A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</row>
    <row r="97" spans="1:17" ht="15.75" customHeight="1" x14ac:dyDescent="0.25">
      <c r="A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</row>
    <row r="98" spans="1:17" ht="15.75" customHeight="1" x14ac:dyDescent="0.25">
      <c r="A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</row>
    <row r="99" spans="1:17" ht="15.75" customHeight="1" x14ac:dyDescent="0.25">
      <c r="A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</row>
    <row r="100" spans="1:17" ht="15.75" customHeight="1" x14ac:dyDescent="0.25">
      <c r="A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</row>
    <row r="101" spans="1:17" ht="15.75" customHeight="1" x14ac:dyDescent="0.25">
      <c r="A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</row>
    <row r="102" spans="1:17" ht="15.75" customHeight="1" x14ac:dyDescent="0.25">
      <c r="A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</row>
    <row r="103" spans="1:17" ht="15.75" customHeight="1" x14ac:dyDescent="0.25">
      <c r="A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</row>
    <row r="104" spans="1:17" ht="15.75" customHeight="1" x14ac:dyDescent="0.25">
      <c r="A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</row>
    <row r="105" spans="1:17" ht="15.75" customHeight="1" x14ac:dyDescent="0.25">
      <c r="A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</row>
    <row r="106" spans="1:17" ht="15.75" customHeight="1" x14ac:dyDescent="0.25">
      <c r="A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</row>
    <row r="107" spans="1:17" ht="15.75" customHeight="1" x14ac:dyDescent="0.25">
      <c r="A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</row>
    <row r="108" spans="1:17" ht="15.75" customHeight="1" x14ac:dyDescent="0.25">
      <c r="A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</row>
    <row r="109" spans="1:17" ht="15.75" customHeight="1" x14ac:dyDescent="0.25">
      <c r="A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</row>
    <row r="110" spans="1:17" ht="15.75" customHeight="1" x14ac:dyDescent="0.25">
      <c r="A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</row>
    <row r="111" spans="1:17" ht="15.75" customHeight="1" x14ac:dyDescent="0.25">
      <c r="A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</row>
    <row r="112" spans="1:17" ht="15.75" customHeight="1" x14ac:dyDescent="0.25">
      <c r="A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</row>
    <row r="113" spans="1:17" ht="15.75" customHeight="1" x14ac:dyDescent="0.25">
      <c r="A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</row>
    <row r="114" spans="1:17" ht="15.75" customHeight="1" x14ac:dyDescent="0.25">
      <c r="A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</row>
    <row r="115" spans="1:17" ht="15.75" customHeight="1" x14ac:dyDescent="0.25">
      <c r="A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</row>
    <row r="116" spans="1:17" ht="15.75" customHeight="1" x14ac:dyDescent="0.25">
      <c r="A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</row>
    <row r="117" spans="1:17" ht="15.75" customHeight="1" x14ac:dyDescent="0.25">
      <c r="A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</row>
    <row r="118" spans="1:17" ht="15.75" customHeight="1" x14ac:dyDescent="0.25">
      <c r="A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</row>
    <row r="119" spans="1:17" ht="15.75" customHeight="1" x14ac:dyDescent="0.25">
      <c r="A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</row>
    <row r="120" spans="1:17" ht="15.75" customHeight="1" x14ac:dyDescent="0.25">
      <c r="A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</row>
    <row r="121" spans="1:17" ht="15.75" customHeight="1" x14ac:dyDescent="0.25">
      <c r="A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</row>
    <row r="122" spans="1:17" ht="15.75" customHeight="1" x14ac:dyDescent="0.25">
      <c r="A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</row>
    <row r="123" spans="1:17" ht="15.75" customHeight="1" x14ac:dyDescent="0.25">
      <c r="A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</row>
    <row r="124" spans="1:17" ht="15.75" customHeight="1" x14ac:dyDescent="0.25">
      <c r="A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</row>
    <row r="125" spans="1:17" ht="15.75" customHeight="1" x14ac:dyDescent="0.25">
      <c r="A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</row>
    <row r="126" spans="1:17" ht="15.75" customHeight="1" x14ac:dyDescent="0.25">
      <c r="A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</row>
    <row r="127" spans="1:17" ht="15.75" customHeight="1" x14ac:dyDescent="0.25">
      <c r="A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</row>
    <row r="128" spans="1:17" ht="15.75" customHeight="1" x14ac:dyDescent="0.25">
      <c r="A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</row>
    <row r="129" spans="1:17" ht="15.75" customHeight="1" x14ac:dyDescent="0.25">
      <c r="A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</row>
    <row r="130" spans="1:17" ht="15.75" customHeight="1" x14ac:dyDescent="0.25">
      <c r="A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</row>
    <row r="131" spans="1:17" ht="15.75" customHeight="1" x14ac:dyDescent="0.25">
      <c r="A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</row>
    <row r="132" spans="1:17" ht="15.75" customHeight="1" x14ac:dyDescent="0.25">
      <c r="A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</row>
    <row r="133" spans="1:17" ht="15.75" customHeight="1" x14ac:dyDescent="0.25">
      <c r="A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</row>
    <row r="134" spans="1:17" ht="15.75" customHeight="1" x14ac:dyDescent="0.25">
      <c r="A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</row>
    <row r="135" spans="1:17" ht="15.75" customHeight="1" x14ac:dyDescent="0.25">
      <c r="A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</row>
    <row r="136" spans="1:17" ht="15.75" customHeight="1" x14ac:dyDescent="0.25">
      <c r="A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</row>
    <row r="137" spans="1:17" ht="15.75" customHeight="1" x14ac:dyDescent="0.25">
      <c r="A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</row>
    <row r="138" spans="1:17" ht="15.75" customHeight="1" x14ac:dyDescent="0.25">
      <c r="A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</row>
    <row r="139" spans="1:17" ht="15.75" customHeight="1" x14ac:dyDescent="0.25">
      <c r="A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</row>
    <row r="140" spans="1:17" ht="15.75" customHeight="1" x14ac:dyDescent="0.25">
      <c r="A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</row>
    <row r="141" spans="1:17" ht="15.75" customHeight="1" x14ac:dyDescent="0.25">
      <c r="A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</row>
    <row r="142" spans="1:17" ht="15.75" customHeight="1" x14ac:dyDescent="0.25">
      <c r="A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</row>
    <row r="143" spans="1:17" ht="15.75" customHeight="1" x14ac:dyDescent="0.25">
      <c r="A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</row>
    <row r="144" spans="1:17" ht="15.75" customHeight="1" x14ac:dyDescent="0.25">
      <c r="A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</row>
    <row r="145" spans="1:17" ht="15.75" customHeight="1" x14ac:dyDescent="0.25">
      <c r="A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</row>
    <row r="146" spans="1:17" ht="15.75" customHeight="1" x14ac:dyDescent="0.25">
      <c r="A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</row>
    <row r="147" spans="1:17" ht="15.75" customHeight="1" x14ac:dyDescent="0.25">
      <c r="A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</row>
    <row r="148" spans="1:17" ht="15.75" customHeight="1" x14ac:dyDescent="0.25">
      <c r="A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</row>
    <row r="149" spans="1:17" ht="15.75" customHeight="1" x14ac:dyDescent="0.25">
      <c r="A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</row>
    <row r="150" spans="1:17" ht="15.75" customHeight="1" x14ac:dyDescent="0.25">
      <c r="A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</row>
    <row r="151" spans="1:17" ht="15.75" customHeight="1" x14ac:dyDescent="0.25">
      <c r="A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</row>
    <row r="152" spans="1:17" ht="15.75" customHeight="1" x14ac:dyDescent="0.25">
      <c r="A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</row>
    <row r="153" spans="1:17" ht="15.75" customHeight="1" x14ac:dyDescent="0.25">
      <c r="A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</row>
    <row r="154" spans="1:17" ht="15.75" customHeight="1" x14ac:dyDescent="0.25">
      <c r="A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</row>
    <row r="155" spans="1:17" ht="15.75" customHeight="1" x14ac:dyDescent="0.25">
      <c r="A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</row>
    <row r="156" spans="1:17" ht="15.75" customHeight="1" x14ac:dyDescent="0.25">
      <c r="A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</row>
    <row r="157" spans="1:17" ht="15.75" customHeight="1" x14ac:dyDescent="0.25">
      <c r="A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</row>
    <row r="158" spans="1:17" ht="15.75" customHeight="1" x14ac:dyDescent="0.25">
      <c r="A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</row>
    <row r="159" spans="1:17" ht="15.75" customHeight="1" x14ac:dyDescent="0.25">
      <c r="A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</row>
    <row r="160" spans="1:17" ht="15.75" customHeight="1" x14ac:dyDescent="0.25">
      <c r="A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</row>
    <row r="161" spans="1:17" ht="15.75" customHeight="1" x14ac:dyDescent="0.25">
      <c r="A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</row>
    <row r="162" spans="1:17" ht="15.75" customHeight="1" x14ac:dyDescent="0.25">
      <c r="A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</row>
    <row r="163" spans="1:17" ht="15.75" customHeight="1" x14ac:dyDescent="0.25">
      <c r="A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</row>
    <row r="164" spans="1:17" ht="15.75" customHeight="1" x14ac:dyDescent="0.25">
      <c r="A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</row>
    <row r="165" spans="1:17" ht="15.75" customHeight="1" x14ac:dyDescent="0.25">
      <c r="A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</row>
    <row r="166" spans="1:17" ht="15.75" customHeight="1" x14ac:dyDescent="0.25">
      <c r="A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</row>
    <row r="167" spans="1:17" ht="15.75" customHeight="1" x14ac:dyDescent="0.25">
      <c r="A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</row>
    <row r="168" spans="1:17" ht="15.75" customHeight="1" x14ac:dyDescent="0.25">
      <c r="A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</row>
    <row r="169" spans="1:17" ht="15.75" customHeight="1" x14ac:dyDescent="0.25">
      <c r="A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</row>
    <row r="170" spans="1:17" ht="15.75" customHeight="1" x14ac:dyDescent="0.25">
      <c r="A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</row>
    <row r="171" spans="1:17" ht="15.75" customHeight="1" x14ac:dyDescent="0.25">
      <c r="A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</row>
    <row r="172" spans="1:17" ht="15.75" customHeight="1" x14ac:dyDescent="0.25">
      <c r="A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</row>
    <row r="173" spans="1:17" ht="15.75" customHeight="1" x14ac:dyDescent="0.25">
      <c r="A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</row>
    <row r="174" spans="1:17" ht="15.75" customHeight="1" x14ac:dyDescent="0.25">
      <c r="A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</row>
    <row r="175" spans="1:17" ht="15.75" customHeight="1" x14ac:dyDescent="0.25">
      <c r="A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</row>
    <row r="176" spans="1:17" ht="15.75" customHeight="1" x14ac:dyDescent="0.25">
      <c r="A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</row>
    <row r="177" spans="1:17" ht="15.75" customHeight="1" x14ac:dyDescent="0.25">
      <c r="A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</row>
    <row r="178" spans="1:17" ht="15.75" customHeight="1" x14ac:dyDescent="0.25">
      <c r="A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</row>
    <row r="179" spans="1:17" ht="15.75" customHeight="1" x14ac:dyDescent="0.25">
      <c r="A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</row>
    <row r="180" spans="1:17" ht="15.75" customHeight="1" x14ac:dyDescent="0.25">
      <c r="A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</row>
    <row r="181" spans="1:17" ht="15.75" customHeight="1" x14ac:dyDescent="0.25">
      <c r="A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</row>
    <row r="182" spans="1:17" ht="15.75" customHeight="1" x14ac:dyDescent="0.25">
      <c r="A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</row>
    <row r="183" spans="1:17" ht="15.75" customHeight="1" x14ac:dyDescent="0.25">
      <c r="A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</row>
    <row r="184" spans="1:17" ht="15.75" customHeight="1" x14ac:dyDescent="0.25">
      <c r="A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</row>
    <row r="185" spans="1:17" ht="15.75" customHeight="1" x14ac:dyDescent="0.25">
      <c r="A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</row>
    <row r="186" spans="1:17" ht="15.75" customHeight="1" x14ac:dyDescent="0.25">
      <c r="A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</row>
    <row r="187" spans="1:17" ht="15.75" customHeight="1" x14ac:dyDescent="0.25">
      <c r="A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</row>
    <row r="188" spans="1:17" ht="15.75" customHeight="1" x14ac:dyDescent="0.25">
      <c r="A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</row>
    <row r="189" spans="1:17" ht="15.75" customHeight="1" x14ac:dyDescent="0.25">
      <c r="A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</row>
    <row r="190" spans="1:17" ht="15.75" customHeight="1" x14ac:dyDescent="0.25">
      <c r="A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</row>
    <row r="191" spans="1:17" ht="15.75" customHeight="1" x14ac:dyDescent="0.25">
      <c r="A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</row>
    <row r="192" spans="1:17" ht="15.75" customHeight="1" x14ac:dyDescent="0.25">
      <c r="A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</row>
    <row r="193" spans="1:17" ht="15.75" customHeight="1" x14ac:dyDescent="0.25">
      <c r="A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</row>
    <row r="194" spans="1:17" ht="15.75" customHeight="1" x14ac:dyDescent="0.25">
      <c r="A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</row>
    <row r="195" spans="1:17" ht="15.75" customHeight="1" x14ac:dyDescent="0.25">
      <c r="A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</row>
    <row r="196" spans="1:17" ht="15.75" customHeight="1" x14ac:dyDescent="0.25">
      <c r="A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</row>
    <row r="197" spans="1:17" ht="15.75" customHeight="1" x14ac:dyDescent="0.25">
      <c r="A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</row>
    <row r="198" spans="1:17" ht="15.75" customHeight="1" x14ac:dyDescent="0.25">
      <c r="A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</row>
    <row r="199" spans="1:17" ht="15.75" customHeight="1" x14ac:dyDescent="0.25">
      <c r="A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</row>
    <row r="200" spans="1:17" ht="15.75" customHeight="1" x14ac:dyDescent="0.25">
      <c r="A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</row>
    <row r="201" spans="1:17" ht="15.75" customHeight="1" x14ac:dyDescent="0.25">
      <c r="A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</row>
    <row r="202" spans="1:17" ht="15.75" customHeight="1" x14ac:dyDescent="0.25">
      <c r="A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</row>
    <row r="203" spans="1:17" ht="15.75" customHeight="1" x14ac:dyDescent="0.25">
      <c r="A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</row>
    <row r="204" spans="1:17" ht="15.75" customHeight="1" x14ac:dyDescent="0.25">
      <c r="A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</row>
    <row r="205" spans="1:17" ht="15.75" customHeight="1" x14ac:dyDescent="0.25">
      <c r="A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</row>
    <row r="206" spans="1:17" ht="15.75" customHeight="1" x14ac:dyDescent="0.25">
      <c r="A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</row>
    <row r="207" spans="1:17" ht="15.75" customHeight="1" x14ac:dyDescent="0.25">
      <c r="A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</row>
    <row r="208" spans="1:17" ht="15.75" customHeight="1" x14ac:dyDescent="0.25">
      <c r="A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</row>
    <row r="209" spans="1:17" ht="15.75" customHeight="1" x14ac:dyDescent="0.25">
      <c r="A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</row>
    <row r="210" spans="1:17" ht="15.75" customHeight="1" x14ac:dyDescent="0.25">
      <c r="A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</row>
    <row r="211" spans="1:17" ht="15.75" customHeight="1" x14ac:dyDescent="0.25">
      <c r="A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</row>
    <row r="212" spans="1:17" ht="15.75" customHeight="1" x14ac:dyDescent="0.25">
      <c r="A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</row>
    <row r="213" spans="1:17" ht="15.75" customHeight="1" x14ac:dyDescent="0.25">
      <c r="A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</row>
    <row r="214" spans="1:17" ht="15.75" customHeight="1" x14ac:dyDescent="0.25">
      <c r="A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</row>
    <row r="215" spans="1:17" ht="15.75" customHeight="1" x14ac:dyDescent="0.25">
      <c r="A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</row>
    <row r="216" spans="1:17" ht="15.75" customHeight="1" x14ac:dyDescent="0.25">
      <c r="A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</row>
    <row r="217" spans="1:17" ht="15.75" customHeight="1" x14ac:dyDescent="0.25">
      <c r="A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</row>
    <row r="218" spans="1:17" ht="15.75" customHeight="1" x14ac:dyDescent="0.25">
      <c r="A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</row>
    <row r="219" spans="1:17" ht="15.75" customHeight="1" x14ac:dyDescent="0.25">
      <c r="A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</row>
    <row r="220" spans="1:17" ht="15.75" customHeight="1" x14ac:dyDescent="0.25">
      <c r="A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</row>
    <row r="221" spans="1:17" ht="15.75" customHeight="1" x14ac:dyDescent="0.25"/>
    <row r="222" spans="1:17" ht="15.75" customHeight="1" x14ac:dyDescent="0.25"/>
    <row r="223" spans="1:17" ht="15.75" customHeight="1" x14ac:dyDescent="0.25"/>
    <row r="224" spans="1:17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BQ2000"/>
  <sheetViews>
    <sheetView workbookViewId="0"/>
  </sheetViews>
  <sheetFormatPr defaultColWidth="12.6328125" defaultRowHeight="15" customHeight="1" x14ac:dyDescent="0.25"/>
  <cols>
    <col min="1" max="6" width="12.6328125" customWidth="1"/>
  </cols>
  <sheetData>
    <row r="1" spans="1:69" ht="15.75" customHeight="1" x14ac:dyDescent="0.25">
      <c r="A1" s="2" t="str">
        <f>B1 &amp; " " &amp; C1 &amp; " " &amp; D1</f>
        <v>First Name Middle Name Last Name</v>
      </c>
      <c r="B1" s="31" t="s">
        <v>53</v>
      </c>
      <c r="C1" s="2" t="s">
        <v>54</v>
      </c>
      <c r="D1" s="2" t="s">
        <v>55</v>
      </c>
      <c r="E1" s="2" t="s">
        <v>56</v>
      </c>
      <c r="P1" s="2" t="s">
        <v>20</v>
      </c>
      <c r="T1" s="2" t="s">
        <v>57</v>
      </c>
      <c r="V1" s="2" t="s">
        <v>58</v>
      </c>
      <c r="Z1" s="2" t="s">
        <v>59</v>
      </c>
      <c r="AD1" s="2" t="s">
        <v>60</v>
      </c>
      <c r="AE1" s="2" t="s">
        <v>61</v>
      </c>
      <c r="AF1" s="2" t="s">
        <v>62</v>
      </c>
      <c r="AN1" s="2" t="s">
        <v>21</v>
      </c>
      <c r="AP1" s="2" t="s">
        <v>63</v>
      </c>
      <c r="AR1" s="2" t="s">
        <v>9</v>
      </c>
      <c r="AZ1" s="2" t="s">
        <v>18</v>
      </c>
      <c r="BD1" s="2" t="s">
        <v>64</v>
      </c>
      <c r="BE1" s="2" t="s">
        <v>65</v>
      </c>
      <c r="BF1" s="2" t="s">
        <v>66</v>
      </c>
      <c r="BK1" s="2" t="s">
        <v>67</v>
      </c>
      <c r="BO1" s="2" t="s">
        <v>68</v>
      </c>
      <c r="BP1" s="2" t="s">
        <v>69</v>
      </c>
      <c r="BQ1" s="2" t="s">
        <v>70</v>
      </c>
    </row>
    <row r="2" spans="1:69" ht="15.75" customHeight="1" x14ac:dyDescent="0.25"/>
    <row r="3" spans="1:69" ht="15.75" customHeight="1" x14ac:dyDescent="0.25"/>
    <row r="4" spans="1:69" ht="15.75" customHeight="1" x14ac:dyDescent="0.25"/>
    <row r="5" spans="1:69" ht="15.75" customHeight="1" x14ac:dyDescent="0.25"/>
    <row r="6" spans="1:69" ht="15.75" customHeight="1" x14ac:dyDescent="0.25"/>
    <row r="7" spans="1:69" ht="15.75" customHeight="1" x14ac:dyDescent="0.25"/>
    <row r="8" spans="1:69" ht="15.75" customHeight="1" x14ac:dyDescent="0.25"/>
    <row r="9" spans="1:69" ht="15.75" customHeight="1" x14ac:dyDescent="0.25"/>
    <row r="10" spans="1:69" ht="15.75" customHeight="1" x14ac:dyDescent="0.25"/>
    <row r="11" spans="1:69" ht="15.75" customHeight="1" x14ac:dyDescent="0.25"/>
    <row r="12" spans="1:69" ht="15.75" customHeight="1" x14ac:dyDescent="0.25"/>
    <row r="13" spans="1:69" ht="15.75" customHeight="1" x14ac:dyDescent="0.25"/>
    <row r="14" spans="1:69" ht="15.75" customHeight="1" x14ac:dyDescent="0.25"/>
    <row r="15" spans="1:69" ht="15.75" customHeight="1" x14ac:dyDescent="0.25"/>
    <row r="16" spans="1:6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  <row r="1037" ht="15.75" customHeight="1" x14ac:dyDescent="0.25"/>
    <row r="1038" ht="15.75" customHeight="1" x14ac:dyDescent="0.25"/>
    <row r="1039" ht="15.75" customHeight="1" x14ac:dyDescent="0.25"/>
    <row r="1040" ht="15.75" customHeight="1" x14ac:dyDescent="0.25"/>
    <row r="1041" ht="15.75" customHeight="1" x14ac:dyDescent="0.25"/>
    <row r="1042" ht="15.75" customHeight="1" x14ac:dyDescent="0.25"/>
    <row r="1043" ht="15.75" customHeight="1" x14ac:dyDescent="0.25"/>
    <row r="1044" ht="15.75" customHeight="1" x14ac:dyDescent="0.25"/>
    <row r="1045" ht="15.75" customHeight="1" x14ac:dyDescent="0.25"/>
    <row r="1046" ht="15.75" customHeight="1" x14ac:dyDescent="0.25"/>
    <row r="1047" ht="15.75" customHeight="1" x14ac:dyDescent="0.25"/>
    <row r="1048" ht="15.75" customHeight="1" x14ac:dyDescent="0.25"/>
    <row r="1049" ht="15.75" customHeight="1" x14ac:dyDescent="0.25"/>
    <row r="1050" ht="15.75" customHeight="1" x14ac:dyDescent="0.25"/>
    <row r="1051" ht="15.75" customHeight="1" x14ac:dyDescent="0.25"/>
    <row r="1052" ht="15.75" customHeight="1" x14ac:dyDescent="0.25"/>
    <row r="1053" ht="15.75" customHeight="1" x14ac:dyDescent="0.25"/>
    <row r="1054" ht="15.75" customHeight="1" x14ac:dyDescent="0.25"/>
    <row r="1055" ht="15.75" customHeight="1" x14ac:dyDescent="0.25"/>
    <row r="1056" ht="15.75" customHeight="1" x14ac:dyDescent="0.25"/>
    <row r="1057" ht="15.75" customHeight="1" x14ac:dyDescent="0.25"/>
    <row r="1058" ht="15.75" customHeight="1" x14ac:dyDescent="0.25"/>
    <row r="1059" ht="15.75" customHeight="1" x14ac:dyDescent="0.25"/>
    <row r="1060" ht="15.75" customHeight="1" x14ac:dyDescent="0.25"/>
    <row r="1061" ht="15.75" customHeight="1" x14ac:dyDescent="0.25"/>
    <row r="1062" ht="15.75" customHeight="1" x14ac:dyDescent="0.25"/>
    <row r="1063" ht="15.75" customHeight="1" x14ac:dyDescent="0.25"/>
    <row r="1064" ht="15.75" customHeight="1" x14ac:dyDescent="0.25"/>
    <row r="1065" ht="15.75" customHeight="1" x14ac:dyDescent="0.25"/>
    <row r="1066" ht="15.75" customHeight="1" x14ac:dyDescent="0.25"/>
    <row r="1067" ht="15.75" customHeight="1" x14ac:dyDescent="0.25"/>
    <row r="1068" ht="15.75" customHeight="1" x14ac:dyDescent="0.25"/>
    <row r="1069" ht="15.75" customHeight="1" x14ac:dyDescent="0.25"/>
    <row r="1070" ht="15.75" customHeight="1" x14ac:dyDescent="0.25"/>
    <row r="1071" ht="15.75" customHeight="1" x14ac:dyDescent="0.25"/>
    <row r="1072" ht="15.75" customHeight="1" x14ac:dyDescent="0.25"/>
    <row r="1073" ht="15.75" customHeight="1" x14ac:dyDescent="0.25"/>
    <row r="1074" ht="15.75" customHeight="1" x14ac:dyDescent="0.25"/>
    <row r="1075" ht="15.75" customHeight="1" x14ac:dyDescent="0.25"/>
    <row r="1076" ht="15.75" customHeight="1" x14ac:dyDescent="0.25"/>
    <row r="1077" ht="15.75" customHeight="1" x14ac:dyDescent="0.25"/>
    <row r="1078" ht="15.75" customHeight="1" x14ac:dyDescent="0.25"/>
    <row r="1079" ht="15.75" customHeight="1" x14ac:dyDescent="0.25"/>
    <row r="1080" ht="15.75" customHeight="1" x14ac:dyDescent="0.25"/>
    <row r="1081" ht="15.75" customHeight="1" x14ac:dyDescent="0.25"/>
    <row r="1082" ht="15.75" customHeight="1" x14ac:dyDescent="0.25"/>
    <row r="1083" ht="15.75" customHeight="1" x14ac:dyDescent="0.25"/>
    <row r="1084" ht="15.75" customHeight="1" x14ac:dyDescent="0.25"/>
    <row r="1085" ht="15.75" customHeight="1" x14ac:dyDescent="0.25"/>
    <row r="1086" ht="15.75" customHeight="1" x14ac:dyDescent="0.25"/>
    <row r="1087" ht="15.75" customHeight="1" x14ac:dyDescent="0.25"/>
    <row r="1088" ht="15.75" customHeight="1" x14ac:dyDescent="0.25"/>
    <row r="1089" ht="15.75" customHeight="1" x14ac:dyDescent="0.25"/>
    <row r="1090" ht="15.75" customHeight="1" x14ac:dyDescent="0.25"/>
    <row r="1091" ht="15.75" customHeight="1" x14ac:dyDescent="0.25"/>
    <row r="1092" ht="15.75" customHeight="1" x14ac:dyDescent="0.25"/>
    <row r="1093" ht="15.75" customHeight="1" x14ac:dyDescent="0.25"/>
    <row r="1094" ht="15.75" customHeight="1" x14ac:dyDescent="0.25"/>
    <row r="1095" ht="15.75" customHeight="1" x14ac:dyDescent="0.25"/>
    <row r="1096" ht="15.75" customHeight="1" x14ac:dyDescent="0.25"/>
    <row r="1097" ht="15.75" customHeight="1" x14ac:dyDescent="0.25"/>
    <row r="1098" ht="15.75" customHeight="1" x14ac:dyDescent="0.25"/>
    <row r="1099" ht="15.75" customHeight="1" x14ac:dyDescent="0.25"/>
    <row r="1100" ht="15.75" customHeight="1" x14ac:dyDescent="0.25"/>
    <row r="1101" ht="15.75" customHeight="1" x14ac:dyDescent="0.25"/>
    <row r="1102" ht="15.75" customHeight="1" x14ac:dyDescent="0.25"/>
    <row r="1103" ht="15.75" customHeight="1" x14ac:dyDescent="0.25"/>
    <row r="1104" ht="15.75" customHeight="1" x14ac:dyDescent="0.25"/>
    <row r="1105" ht="15.75" customHeight="1" x14ac:dyDescent="0.25"/>
    <row r="1106" ht="15.75" customHeight="1" x14ac:dyDescent="0.25"/>
    <row r="1107" ht="15.75" customHeight="1" x14ac:dyDescent="0.25"/>
    <row r="1108" ht="15.75" customHeight="1" x14ac:dyDescent="0.25"/>
    <row r="1109" ht="15.75" customHeight="1" x14ac:dyDescent="0.25"/>
    <row r="1110" ht="15.75" customHeight="1" x14ac:dyDescent="0.25"/>
    <row r="1111" ht="15.75" customHeight="1" x14ac:dyDescent="0.25"/>
    <row r="1112" ht="15.75" customHeight="1" x14ac:dyDescent="0.25"/>
    <row r="1113" ht="15.75" customHeight="1" x14ac:dyDescent="0.25"/>
    <row r="1114" ht="15.75" customHeight="1" x14ac:dyDescent="0.25"/>
    <row r="1115" ht="15.75" customHeight="1" x14ac:dyDescent="0.25"/>
    <row r="1116" ht="15.75" customHeight="1" x14ac:dyDescent="0.25"/>
    <row r="1117" ht="15.75" customHeight="1" x14ac:dyDescent="0.25"/>
    <row r="1118" ht="15.75" customHeight="1" x14ac:dyDescent="0.25"/>
    <row r="1119" ht="15.75" customHeight="1" x14ac:dyDescent="0.25"/>
    <row r="1120" ht="15.75" customHeight="1" x14ac:dyDescent="0.25"/>
    <row r="1121" ht="15.75" customHeight="1" x14ac:dyDescent="0.25"/>
    <row r="1122" ht="15.75" customHeight="1" x14ac:dyDescent="0.25"/>
    <row r="1123" ht="15.75" customHeight="1" x14ac:dyDescent="0.25"/>
    <row r="1124" ht="15.75" customHeight="1" x14ac:dyDescent="0.25"/>
    <row r="1125" ht="15.75" customHeight="1" x14ac:dyDescent="0.25"/>
    <row r="1126" ht="15.75" customHeight="1" x14ac:dyDescent="0.25"/>
    <row r="1127" ht="15.75" customHeight="1" x14ac:dyDescent="0.25"/>
    <row r="1128" ht="15.75" customHeight="1" x14ac:dyDescent="0.25"/>
    <row r="1129" ht="15.75" customHeight="1" x14ac:dyDescent="0.25"/>
    <row r="1130" ht="15.75" customHeight="1" x14ac:dyDescent="0.25"/>
    <row r="1131" ht="15.75" customHeight="1" x14ac:dyDescent="0.25"/>
    <row r="1132" ht="15.75" customHeight="1" x14ac:dyDescent="0.25"/>
    <row r="1133" ht="15.75" customHeight="1" x14ac:dyDescent="0.25"/>
    <row r="1134" ht="15.75" customHeight="1" x14ac:dyDescent="0.25"/>
    <row r="1135" ht="15.75" customHeight="1" x14ac:dyDescent="0.25"/>
    <row r="1136" ht="15.75" customHeight="1" x14ac:dyDescent="0.25"/>
    <row r="1137" ht="15.75" customHeight="1" x14ac:dyDescent="0.25"/>
    <row r="1138" ht="15.75" customHeight="1" x14ac:dyDescent="0.25"/>
    <row r="1139" ht="15.75" customHeight="1" x14ac:dyDescent="0.25"/>
    <row r="1140" ht="15.75" customHeight="1" x14ac:dyDescent="0.25"/>
    <row r="1141" ht="15.75" customHeight="1" x14ac:dyDescent="0.25"/>
    <row r="1142" ht="15.75" customHeight="1" x14ac:dyDescent="0.25"/>
    <row r="1143" ht="15.75" customHeight="1" x14ac:dyDescent="0.25"/>
    <row r="1144" ht="15.75" customHeight="1" x14ac:dyDescent="0.25"/>
    <row r="1145" ht="15.75" customHeight="1" x14ac:dyDescent="0.25"/>
    <row r="1146" ht="15.75" customHeight="1" x14ac:dyDescent="0.25"/>
    <row r="1147" ht="15.75" customHeight="1" x14ac:dyDescent="0.25"/>
    <row r="1148" ht="15.75" customHeight="1" x14ac:dyDescent="0.25"/>
    <row r="1149" ht="15.75" customHeight="1" x14ac:dyDescent="0.25"/>
    <row r="1150" ht="15.75" customHeight="1" x14ac:dyDescent="0.25"/>
    <row r="1151" ht="15.75" customHeight="1" x14ac:dyDescent="0.25"/>
    <row r="1152" ht="15.75" customHeight="1" x14ac:dyDescent="0.25"/>
    <row r="1153" ht="15.75" customHeight="1" x14ac:dyDescent="0.25"/>
    <row r="1154" ht="15.75" customHeight="1" x14ac:dyDescent="0.25"/>
    <row r="1155" ht="15.75" customHeight="1" x14ac:dyDescent="0.25"/>
    <row r="1156" ht="15.75" customHeight="1" x14ac:dyDescent="0.25"/>
    <row r="1157" ht="15.75" customHeight="1" x14ac:dyDescent="0.25"/>
    <row r="1158" ht="15.75" customHeight="1" x14ac:dyDescent="0.25"/>
    <row r="1159" ht="15.75" customHeight="1" x14ac:dyDescent="0.25"/>
    <row r="1160" ht="15.75" customHeight="1" x14ac:dyDescent="0.25"/>
    <row r="1161" ht="15.75" customHeight="1" x14ac:dyDescent="0.25"/>
    <row r="1162" ht="15.75" customHeight="1" x14ac:dyDescent="0.25"/>
    <row r="1163" ht="15.75" customHeight="1" x14ac:dyDescent="0.25"/>
    <row r="1164" ht="15.75" customHeight="1" x14ac:dyDescent="0.25"/>
    <row r="1165" ht="15.75" customHeight="1" x14ac:dyDescent="0.25"/>
    <row r="1166" ht="15.75" customHeight="1" x14ac:dyDescent="0.25"/>
    <row r="1167" ht="15.75" customHeight="1" x14ac:dyDescent="0.25"/>
    <row r="1168" ht="15.75" customHeight="1" x14ac:dyDescent="0.25"/>
    <row r="1169" ht="15.75" customHeight="1" x14ac:dyDescent="0.25"/>
    <row r="1170" ht="15.75" customHeight="1" x14ac:dyDescent="0.25"/>
    <row r="1171" ht="15.75" customHeight="1" x14ac:dyDescent="0.25"/>
    <row r="1172" ht="15.75" customHeight="1" x14ac:dyDescent="0.25"/>
    <row r="1173" ht="15.75" customHeight="1" x14ac:dyDescent="0.25"/>
    <row r="1174" ht="15.75" customHeight="1" x14ac:dyDescent="0.25"/>
    <row r="1175" ht="15.75" customHeight="1" x14ac:dyDescent="0.25"/>
    <row r="1176" ht="15.75" customHeight="1" x14ac:dyDescent="0.25"/>
    <row r="1177" ht="15.75" customHeight="1" x14ac:dyDescent="0.25"/>
    <row r="1178" ht="15.75" customHeight="1" x14ac:dyDescent="0.25"/>
    <row r="1179" ht="15.75" customHeight="1" x14ac:dyDescent="0.25"/>
    <row r="1180" ht="15.75" customHeight="1" x14ac:dyDescent="0.25"/>
    <row r="1181" ht="15.75" customHeight="1" x14ac:dyDescent="0.25"/>
    <row r="1182" ht="15.75" customHeight="1" x14ac:dyDescent="0.25"/>
    <row r="1183" ht="15.75" customHeight="1" x14ac:dyDescent="0.25"/>
    <row r="1184" ht="15.75" customHeight="1" x14ac:dyDescent="0.25"/>
    <row r="1185" ht="15.75" customHeight="1" x14ac:dyDescent="0.25"/>
    <row r="1186" ht="15.75" customHeight="1" x14ac:dyDescent="0.25"/>
    <row r="1187" ht="15.75" customHeight="1" x14ac:dyDescent="0.25"/>
    <row r="1188" ht="15.75" customHeight="1" x14ac:dyDescent="0.25"/>
    <row r="1189" ht="15.75" customHeight="1" x14ac:dyDescent="0.25"/>
    <row r="1190" ht="15.75" customHeight="1" x14ac:dyDescent="0.25"/>
    <row r="1191" ht="15.75" customHeight="1" x14ac:dyDescent="0.25"/>
    <row r="1192" ht="15.75" customHeight="1" x14ac:dyDescent="0.25"/>
    <row r="1193" ht="15.75" customHeight="1" x14ac:dyDescent="0.25"/>
    <row r="1194" ht="15.75" customHeight="1" x14ac:dyDescent="0.25"/>
    <row r="1195" ht="15.75" customHeight="1" x14ac:dyDescent="0.25"/>
    <row r="1196" ht="15.75" customHeight="1" x14ac:dyDescent="0.25"/>
    <row r="1197" ht="15.75" customHeight="1" x14ac:dyDescent="0.25"/>
    <row r="1198" ht="15.75" customHeight="1" x14ac:dyDescent="0.25"/>
    <row r="1199" ht="15.75" customHeight="1" x14ac:dyDescent="0.25"/>
    <row r="1200" ht="15.75" customHeight="1" x14ac:dyDescent="0.25"/>
    <row r="1201" ht="15.75" customHeight="1" x14ac:dyDescent="0.25"/>
    <row r="1202" ht="15.75" customHeight="1" x14ac:dyDescent="0.25"/>
    <row r="1203" ht="15.75" customHeight="1" x14ac:dyDescent="0.25"/>
    <row r="1204" ht="15.75" customHeight="1" x14ac:dyDescent="0.25"/>
    <row r="1205" ht="15.75" customHeight="1" x14ac:dyDescent="0.25"/>
    <row r="1206" ht="15.75" customHeight="1" x14ac:dyDescent="0.25"/>
    <row r="1207" ht="15.75" customHeight="1" x14ac:dyDescent="0.25"/>
    <row r="1208" ht="15.75" customHeight="1" x14ac:dyDescent="0.25"/>
    <row r="1209" ht="15.75" customHeight="1" x14ac:dyDescent="0.25"/>
    <row r="1210" ht="15.75" customHeight="1" x14ac:dyDescent="0.25"/>
    <row r="1211" ht="15.75" customHeight="1" x14ac:dyDescent="0.25"/>
    <row r="1212" ht="15.75" customHeight="1" x14ac:dyDescent="0.25"/>
    <row r="1213" ht="15.75" customHeight="1" x14ac:dyDescent="0.25"/>
    <row r="1214" ht="15.75" customHeight="1" x14ac:dyDescent="0.25"/>
    <row r="1215" ht="15.75" customHeight="1" x14ac:dyDescent="0.25"/>
    <row r="1216" ht="15.75" customHeight="1" x14ac:dyDescent="0.25"/>
    <row r="1217" ht="15.75" customHeight="1" x14ac:dyDescent="0.25"/>
    <row r="1218" ht="15.75" customHeight="1" x14ac:dyDescent="0.25"/>
    <row r="1219" ht="15.75" customHeight="1" x14ac:dyDescent="0.25"/>
    <row r="1220" ht="15.75" customHeight="1" x14ac:dyDescent="0.25"/>
    <row r="1221" ht="15.75" customHeight="1" x14ac:dyDescent="0.25"/>
    <row r="1222" ht="15.75" customHeight="1" x14ac:dyDescent="0.25"/>
    <row r="1223" ht="15.75" customHeight="1" x14ac:dyDescent="0.25"/>
    <row r="1224" ht="15.75" customHeight="1" x14ac:dyDescent="0.25"/>
    <row r="1225" ht="15.75" customHeight="1" x14ac:dyDescent="0.25"/>
    <row r="1226" ht="15.75" customHeight="1" x14ac:dyDescent="0.25"/>
    <row r="1227" ht="15.75" customHeight="1" x14ac:dyDescent="0.25"/>
    <row r="1228" ht="15.75" customHeight="1" x14ac:dyDescent="0.25"/>
    <row r="1229" ht="15.75" customHeight="1" x14ac:dyDescent="0.25"/>
    <row r="1230" ht="15.75" customHeight="1" x14ac:dyDescent="0.25"/>
    <row r="1231" ht="15.75" customHeight="1" x14ac:dyDescent="0.25"/>
    <row r="1232" ht="15.75" customHeight="1" x14ac:dyDescent="0.25"/>
    <row r="1233" ht="15.75" customHeight="1" x14ac:dyDescent="0.25"/>
    <row r="1234" ht="15.75" customHeight="1" x14ac:dyDescent="0.25"/>
    <row r="1235" ht="15.75" customHeight="1" x14ac:dyDescent="0.25"/>
    <row r="1236" ht="15.75" customHeight="1" x14ac:dyDescent="0.25"/>
    <row r="1237" ht="15.75" customHeight="1" x14ac:dyDescent="0.25"/>
    <row r="1238" ht="15.75" customHeight="1" x14ac:dyDescent="0.25"/>
    <row r="1239" ht="15.75" customHeight="1" x14ac:dyDescent="0.25"/>
    <row r="1240" ht="15.75" customHeight="1" x14ac:dyDescent="0.25"/>
    <row r="1241" ht="15.75" customHeight="1" x14ac:dyDescent="0.25"/>
    <row r="1242" ht="15.75" customHeight="1" x14ac:dyDescent="0.25"/>
    <row r="1243" ht="15.75" customHeight="1" x14ac:dyDescent="0.25"/>
    <row r="1244" ht="15.75" customHeight="1" x14ac:dyDescent="0.25"/>
    <row r="1245" ht="15.75" customHeight="1" x14ac:dyDescent="0.25"/>
    <row r="1246" ht="15.75" customHeight="1" x14ac:dyDescent="0.25"/>
    <row r="1247" ht="15.75" customHeight="1" x14ac:dyDescent="0.25"/>
    <row r="1248" ht="15.75" customHeight="1" x14ac:dyDescent="0.25"/>
    <row r="1249" ht="15.75" customHeight="1" x14ac:dyDescent="0.25"/>
    <row r="1250" ht="15.75" customHeight="1" x14ac:dyDescent="0.25"/>
    <row r="1251" ht="15.75" customHeight="1" x14ac:dyDescent="0.25"/>
    <row r="1252" ht="15.75" customHeight="1" x14ac:dyDescent="0.25"/>
    <row r="1253" ht="15.75" customHeight="1" x14ac:dyDescent="0.25"/>
    <row r="1254" ht="15.75" customHeight="1" x14ac:dyDescent="0.25"/>
    <row r="1255" ht="15.75" customHeight="1" x14ac:dyDescent="0.25"/>
    <row r="1256" ht="15.75" customHeight="1" x14ac:dyDescent="0.25"/>
    <row r="1257" ht="15.75" customHeight="1" x14ac:dyDescent="0.25"/>
    <row r="1258" ht="15.75" customHeight="1" x14ac:dyDescent="0.25"/>
    <row r="1259" ht="15.75" customHeight="1" x14ac:dyDescent="0.25"/>
    <row r="1260" ht="15.75" customHeight="1" x14ac:dyDescent="0.25"/>
    <row r="1261" ht="15.75" customHeight="1" x14ac:dyDescent="0.25"/>
    <row r="1262" ht="15.75" customHeight="1" x14ac:dyDescent="0.25"/>
    <row r="1263" ht="15.75" customHeight="1" x14ac:dyDescent="0.25"/>
    <row r="1264" ht="15.75" customHeight="1" x14ac:dyDescent="0.25"/>
    <row r="1265" ht="15.75" customHeight="1" x14ac:dyDescent="0.25"/>
    <row r="1266" ht="15.75" customHeight="1" x14ac:dyDescent="0.25"/>
    <row r="1267" ht="15.75" customHeight="1" x14ac:dyDescent="0.25"/>
    <row r="1268" ht="15.75" customHeight="1" x14ac:dyDescent="0.25"/>
    <row r="1269" ht="15.75" customHeight="1" x14ac:dyDescent="0.25"/>
    <row r="1270" ht="15.75" customHeight="1" x14ac:dyDescent="0.25"/>
    <row r="1271" ht="15.75" customHeight="1" x14ac:dyDescent="0.25"/>
    <row r="1272" ht="15.75" customHeight="1" x14ac:dyDescent="0.25"/>
    <row r="1273" ht="15.75" customHeight="1" x14ac:dyDescent="0.25"/>
    <row r="1274" ht="15.75" customHeight="1" x14ac:dyDescent="0.25"/>
    <row r="1275" ht="15.75" customHeight="1" x14ac:dyDescent="0.25"/>
    <row r="1276" ht="15.75" customHeight="1" x14ac:dyDescent="0.25"/>
    <row r="1277" ht="15.75" customHeight="1" x14ac:dyDescent="0.25"/>
    <row r="1278" ht="15.75" customHeight="1" x14ac:dyDescent="0.25"/>
    <row r="1279" ht="15.75" customHeight="1" x14ac:dyDescent="0.25"/>
    <row r="1280" ht="15.75" customHeight="1" x14ac:dyDescent="0.25"/>
    <row r="1281" ht="15.75" customHeight="1" x14ac:dyDescent="0.25"/>
    <row r="1282" ht="15.75" customHeight="1" x14ac:dyDescent="0.25"/>
    <row r="1283" ht="15.75" customHeight="1" x14ac:dyDescent="0.25"/>
    <row r="1284" ht="15.75" customHeight="1" x14ac:dyDescent="0.25"/>
    <row r="1285" ht="15.75" customHeight="1" x14ac:dyDescent="0.25"/>
    <row r="1286" ht="15.75" customHeight="1" x14ac:dyDescent="0.25"/>
    <row r="1287" ht="15.75" customHeight="1" x14ac:dyDescent="0.25"/>
    <row r="1288" ht="15.75" customHeight="1" x14ac:dyDescent="0.25"/>
    <row r="1289" ht="15.75" customHeight="1" x14ac:dyDescent="0.25"/>
    <row r="1290" ht="15.75" customHeight="1" x14ac:dyDescent="0.25"/>
    <row r="1291" ht="15.75" customHeight="1" x14ac:dyDescent="0.25"/>
    <row r="1292" ht="15.75" customHeight="1" x14ac:dyDescent="0.25"/>
    <row r="1293" ht="15.75" customHeight="1" x14ac:dyDescent="0.25"/>
    <row r="1294" ht="15.75" customHeight="1" x14ac:dyDescent="0.25"/>
    <row r="1295" ht="15.75" customHeight="1" x14ac:dyDescent="0.25"/>
    <row r="1296" ht="15.75" customHeight="1" x14ac:dyDescent="0.25"/>
    <row r="1297" ht="15.75" customHeight="1" x14ac:dyDescent="0.25"/>
    <row r="1298" ht="15.75" customHeight="1" x14ac:dyDescent="0.25"/>
    <row r="1299" ht="15.75" customHeight="1" x14ac:dyDescent="0.25"/>
    <row r="1300" ht="15.75" customHeight="1" x14ac:dyDescent="0.25"/>
    <row r="1301" ht="15.75" customHeight="1" x14ac:dyDescent="0.25"/>
    <row r="1302" ht="15.75" customHeight="1" x14ac:dyDescent="0.25"/>
    <row r="1303" ht="15.75" customHeight="1" x14ac:dyDescent="0.25"/>
    <row r="1304" ht="15.75" customHeight="1" x14ac:dyDescent="0.25"/>
    <row r="1305" ht="15.75" customHeight="1" x14ac:dyDescent="0.25"/>
    <row r="1306" ht="15.75" customHeight="1" x14ac:dyDescent="0.25"/>
    <row r="1307" ht="15.75" customHeight="1" x14ac:dyDescent="0.25"/>
    <row r="1308" ht="15.75" customHeight="1" x14ac:dyDescent="0.25"/>
    <row r="1309" ht="15.75" customHeight="1" x14ac:dyDescent="0.25"/>
    <row r="1310" ht="15.75" customHeight="1" x14ac:dyDescent="0.25"/>
    <row r="1311" ht="15.75" customHeight="1" x14ac:dyDescent="0.25"/>
    <row r="1312" ht="15.75" customHeight="1" x14ac:dyDescent="0.25"/>
    <row r="1313" ht="15.75" customHeight="1" x14ac:dyDescent="0.25"/>
    <row r="1314" ht="15.75" customHeight="1" x14ac:dyDescent="0.25"/>
    <row r="1315" ht="15.75" customHeight="1" x14ac:dyDescent="0.25"/>
    <row r="1316" ht="15.75" customHeight="1" x14ac:dyDescent="0.25"/>
    <row r="1317" ht="15.75" customHeight="1" x14ac:dyDescent="0.25"/>
    <row r="1318" ht="15.75" customHeight="1" x14ac:dyDescent="0.25"/>
    <row r="1319" ht="15.75" customHeight="1" x14ac:dyDescent="0.25"/>
    <row r="1320" ht="15.75" customHeight="1" x14ac:dyDescent="0.25"/>
    <row r="1321" ht="15.75" customHeight="1" x14ac:dyDescent="0.25"/>
    <row r="1322" ht="15.75" customHeight="1" x14ac:dyDescent="0.25"/>
    <row r="1323" ht="15.75" customHeight="1" x14ac:dyDescent="0.25"/>
    <row r="1324" ht="15.75" customHeight="1" x14ac:dyDescent="0.25"/>
    <row r="1325" ht="15.75" customHeight="1" x14ac:dyDescent="0.25"/>
    <row r="1326" ht="15.75" customHeight="1" x14ac:dyDescent="0.25"/>
    <row r="1327" ht="15.75" customHeight="1" x14ac:dyDescent="0.25"/>
    <row r="1328" ht="15.75" customHeight="1" x14ac:dyDescent="0.25"/>
    <row r="1329" ht="15.75" customHeight="1" x14ac:dyDescent="0.25"/>
    <row r="1330" ht="15.75" customHeight="1" x14ac:dyDescent="0.25"/>
    <row r="1331" ht="15.75" customHeight="1" x14ac:dyDescent="0.25"/>
    <row r="1332" ht="15.75" customHeight="1" x14ac:dyDescent="0.25"/>
    <row r="1333" ht="15.75" customHeight="1" x14ac:dyDescent="0.25"/>
    <row r="1334" ht="15.75" customHeight="1" x14ac:dyDescent="0.25"/>
    <row r="1335" ht="15.75" customHeight="1" x14ac:dyDescent="0.25"/>
    <row r="1336" ht="15.75" customHeight="1" x14ac:dyDescent="0.25"/>
    <row r="1337" ht="15.75" customHeight="1" x14ac:dyDescent="0.25"/>
    <row r="1338" ht="15.75" customHeight="1" x14ac:dyDescent="0.25"/>
    <row r="1339" ht="15.75" customHeight="1" x14ac:dyDescent="0.25"/>
    <row r="1340" ht="15.75" customHeight="1" x14ac:dyDescent="0.25"/>
    <row r="1341" ht="15.75" customHeight="1" x14ac:dyDescent="0.25"/>
    <row r="1342" ht="15.75" customHeight="1" x14ac:dyDescent="0.25"/>
    <row r="1343" ht="15.75" customHeight="1" x14ac:dyDescent="0.25"/>
    <row r="1344" ht="15.75" customHeight="1" x14ac:dyDescent="0.25"/>
    <row r="1345" ht="15.75" customHeight="1" x14ac:dyDescent="0.25"/>
    <row r="1346" ht="15.75" customHeight="1" x14ac:dyDescent="0.25"/>
    <row r="1347" ht="15.75" customHeight="1" x14ac:dyDescent="0.25"/>
    <row r="1348" ht="15.75" customHeight="1" x14ac:dyDescent="0.25"/>
    <row r="1349" ht="15.75" customHeight="1" x14ac:dyDescent="0.25"/>
    <row r="1350" ht="15.75" customHeight="1" x14ac:dyDescent="0.25"/>
    <row r="1351" ht="15.75" customHeight="1" x14ac:dyDescent="0.25"/>
    <row r="1352" ht="15.75" customHeight="1" x14ac:dyDescent="0.25"/>
    <row r="1353" ht="15.75" customHeight="1" x14ac:dyDescent="0.25"/>
    <row r="1354" ht="15.75" customHeight="1" x14ac:dyDescent="0.25"/>
    <row r="1355" ht="15.75" customHeight="1" x14ac:dyDescent="0.25"/>
    <row r="1356" ht="15.75" customHeight="1" x14ac:dyDescent="0.25"/>
    <row r="1357" ht="15.75" customHeight="1" x14ac:dyDescent="0.25"/>
    <row r="1358" ht="15.75" customHeight="1" x14ac:dyDescent="0.25"/>
    <row r="1359" ht="15.75" customHeight="1" x14ac:dyDescent="0.25"/>
    <row r="1360" ht="15.75" customHeight="1" x14ac:dyDescent="0.25"/>
    <row r="1361" ht="15.75" customHeight="1" x14ac:dyDescent="0.25"/>
    <row r="1362" ht="15.75" customHeight="1" x14ac:dyDescent="0.25"/>
    <row r="1363" ht="15.75" customHeight="1" x14ac:dyDescent="0.25"/>
    <row r="1364" ht="15.75" customHeight="1" x14ac:dyDescent="0.25"/>
    <row r="1365" ht="15.75" customHeight="1" x14ac:dyDescent="0.25"/>
    <row r="1366" ht="15.75" customHeight="1" x14ac:dyDescent="0.25"/>
    <row r="1367" ht="15.75" customHeight="1" x14ac:dyDescent="0.25"/>
    <row r="1368" ht="15.75" customHeight="1" x14ac:dyDescent="0.25"/>
    <row r="1369" ht="15.75" customHeight="1" x14ac:dyDescent="0.25"/>
    <row r="1370" ht="15.75" customHeight="1" x14ac:dyDescent="0.25"/>
    <row r="1371" ht="15.75" customHeight="1" x14ac:dyDescent="0.25"/>
    <row r="1372" ht="15.75" customHeight="1" x14ac:dyDescent="0.25"/>
    <row r="1373" ht="15.75" customHeight="1" x14ac:dyDescent="0.25"/>
    <row r="1374" ht="15.75" customHeight="1" x14ac:dyDescent="0.25"/>
    <row r="1375" ht="15.75" customHeight="1" x14ac:dyDescent="0.25"/>
    <row r="1376" ht="15.75" customHeight="1" x14ac:dyDescent="0.25"/>
    <row r="1377" ht="15.75" customHeight="1" x14ac:dyDescent="0.25"/>
    <row r="1378" ht="15.75" customHeight="1" x14ac:dyDescent="0.25"/>
    <row r="1379" ht="15.75" customHeight="1" x14ac:dyDescent="0.25"/>
    <row r="1380" ht="15.75" customHeight="1" x14ac:dyDescent="0.25"/>
    <row r="1381" ht="15.75" customHeight="1" x14ac:dyDescent="0.25"/>
    <row r="1382" ht="15.75" customHeight="1" x14ac:dyDescent="0.25"/>
    <row r="1383" ht="15.75" customHeight="1" x14ac:dyDescent="0.25"/>
    <row r="1384" ht="15.75" customHeight="1" x14ac:dyDescent="0.25"/>
    <row r="1385" ht="15.75" customHeight="1" x14ac:dyDescent="0.25"/>
    <row r="1386" ht="15.75" customHeight="1" x14ac:dyDescent="0.25"/>
    <row r="1387" ht="15.75" customHeight="1" x14ac:dyDescent="0.25"/>
    <row r="1388" ht="15.75" customHeight="1" x14ac:dyDescent="0.25"/>
    <row r="1389" ht="15.75" customHeight="1" x14ac:dyDescent="0.25"/>
    <row r="1390" ht="15.75" customHeight="1" x14ac:dyDescent="0.25"/>
    <row r="1391" ht="15.75" customHeight="1" x14ac:dyDescent="0.25"/>
    <row r="1392" ht="15.75" customHeight="1" x14ac:dyDescent="0.25"/>
    <row r="1393" ht="15.75" customHeight="1" x14ac:dyDescent="0.25"/>
    <row r="1394" ht="15.75" customHeight="1" x14ac:dyDescent="0.25"/>
    <row r="1395" ht="15.75" customHeight="1" x14ac:dyDescent="0.25"/>
    <row r="1396" ht="15.75" customHeight="1" x14ac:dyDescent="0.25"/>
    <row r="1397" ht="15.75" customHeight="1" x14ac:dyDescent="0.25"/>
    <row r="1398" ht="15.75" customHeight="1" x14ac:dyDescent="0.25"/>
    <row r="1399" ht="15.75" customHeight="1" x14ac:dyDescent="0.25"/>
    <row r="1400" ht="15.75" customHeight="1" x14ac:dyDescent="0.25"/>
    <row r="1401" ht="15.75" customHeight="1" x14ac:dyDescent="0.25"/>
    <row r="1402" ht="15.75" customHeight="1" x14ac:dyDescent="0.25"/>
    <row r="1403" ht="15.75" customHeight="1" x14ac:dyDescent="0.25"/>
    <row r="1404" ht="15.75" customHeight="1" x14ac:dyDescent="0.25"/>
    <row r="1405" ht="15.75" customHeight="1" x14ac:dyDescent="0.25"/>
    <row r="1406" ht="15.75" customHeight="1" x14ac:dyDescent="0.25"/>
    <row r="1407" ht="15.75" customHeight="1" x14ac:dyDescent="0.25"/>
    <row r="1408" ht="15.75" customHeight="1" x14ac:dyDescent="0.25"/>
    <row r="1409" ht="15.75" customHeight="1" x14ac:dyDescent="0.25"/>
    <row r="1410" ht="15.75" customHeight="1" x14ac:dyDescent="0.25"/>
    <row r="1411" ht="15.75" customHeight="1" x14ac:dyDescent="0.25"/>
    <row r="1412" ht="15.75" customHeight="1" x14ac:dyDescent="0.25"/>
    <row r="1413" ht="15.75" customHeight="1" x14ac:dyDescent="0.25"/>
    <row r="1414" ht="15.75" customHeight="1" x14ac:dyDescent="0.25"/>
    <row r="1415" ht="15.75" customHeight="1" x14ac:dyDescent="0.25"/>
    <row r="1416" ht="15.75" customHeight="1" x14ac:dyDescent="0.25"/>
    <row r="1417" ht="15.75" customHeight="1" x14ac:dyDescent="0.25"/>
    <row r="1418" ht="15.75" customHeight="1" x14ac:dyDescent="0.25"/>
    <row r="1419" ht="15.75" customHeight="1" x14ac:dyDescent="0.25"/>
    <row r="1420" ht="15.75" customHeight="1" x14ac:dyDescent="0.25"/>
    <row r="1421" ht="15.75" customHeight="1" x14ac:dyDescent="0.25"/>
    <row r="1422" ht="15.75" customHeight="1" x14ac:dyDescent="0.25"/>
    <row r="1423" ht="15.75" customHeight="1" x14ac:dyDescent="0.25"/>
    <row r="1424" ht="15.75" customHeight="1" x14ac:dyDescent="0.25"/>
    <row r="1425" ht="15.75" customHeight="1" x14ac:dyDescent="0.25"/>
    <row r="1426" ht="15.75" customHeight="1" x14ac:dyDescent="0.25"/>
    <row r="1427" ht="15.75" customHeight="1" x14ac:dyDescent="0.25"/>
    <row r="1428" ht="15.75" customHeight="1" x14ac:dyDescent="0.25"/>
    <row r="1429" ht="15.75" customHeight="1" x14ac:dyDescent="0.25"/>
    <row r="1430" ht="15.75" customHeight="1" x14ac:dyDescent="0.25"/>
    <row r="1431" ht="15.75" customHeight="1" x14ac:dyDescent="0.25"/>
    <row r="1432" ht="15.75" customHeight="1" x14ac:dyDescent="0.25"/>
    <row r="1433" ht="15.75" customHeight="1" x14ac:dyDescent="0.25"/>
    <row r="1434" ht="15.75" customHeight="1" x14ac:dyDescent="0.25"/>
    <row r="1435" ht="15.75" customHeight="1" x14ac:dyDescent="0.25"/>
    <row r="1436" ht="15.75" customHeight="1" x14ac:dyDescent="0.25"/>
    <row r="1437" ht="15.75" customHeight="1" x14ac:dyDescent="0.25"/>
    <row r="1438" ht="15.75" customHeight="1" x14ac:dyDescent="0.25"/>
    <row r="1439" ht="15.75" customHeight="1" x14ac:dyDescent="0.25"/>
    <row r="1440" ht="15.75" customHeight="1" x14ac:dyDescent="0.25"/>
    <row r="1441" ht="15.75" customHeight="1" x14ac:dyDescent="0.25"/>
    <row r="1442" ht="15.75" customHeight="1" x14ac:dyDescent="0.25"/>
    <row r="1443" ht="15.75" customHeight="1" x14ac:dyDescent="0.25"/>
    <row r="1444" ht="15.75" customHeight="1" x14ac:dyDescent="0.25"/>
    <row r="1445" ht="15.75" customHeight="1" x14ac:dyDescent="0.25"/>
    <row r="1446" ht="15.75" customHeight="1" x14ac:dyDescent="0.25"/>
    <row r="1447" ht="15.75" customHeight="1" x14ac:dyDescent="0.25"/>
    <row r="1448" ht="15.75" customHeight="1" x14ac:dyDescent="0.25"/>
    <row r="1449" ht="15.75" customHeight="1" x14ac:dyDescent="0.25"/>
    <row r="1450" ht="15.75" customHeight="1" x14ac:dyDescent="0.25"/>
    <row r="1451" ht="15.75" customHeight="1" x14ac:dyDescent="0.25"/>
    <row r="1452" ht="15.75" customHeight="1" x14ac:dyDescent="0.25"/>
    <row r="1453" ht="15.75" customHeight="1" x14ac:dyDescent="0.25"/>
    <row r="1454" ht="15.75" customHeight="1" x14ac:dyDescent="0.25"/>
    <row r="1455" ht="15.75" customHeight="1" x14ac:dyDescent="0.25"/>
    <row r="1456" ht="15.75" customHeight="1" x14ac:dyDescent="0.25"/>
    <row r="1457" ht="15.75" customHeight="1" x14ac:dyDescent="0.25"/>
    <row r="1458" ht="15.75" customHeight="1" x14ac:dyDescent="0.25"/>
    <row r="1459" ht="15.75" customHeight="1" x14ac:dyDescent="0.25"/>
    <row r="1460" ht="15.75" customHeight="1" x14ac:dyDescent="0.25"/>
    <row r="1461" ht="15.75" customHeight="1" x14ac:dyDescent="0.25"/>
    <row r="1462" ht="15.75" customHeight="1" x14ac:dyDescent="0.25"/>
    <row r="1463" ht="15.75" customHeight="1" x14ac:dyDescent="0.25"/>
    <row r="1464" ht="15.75" customHeight="1" x14ac:dyDescent="0.25"/>
    <row r="1465" ht="15.75" customHeight="1" x14ac:dyDescent="0.25"/>
    <row r="1466" ht="15.75" customHeight="1" x14ac:dyDescent="0.25"/>
    <row r="1467" ht="15.75" customHeight="1" x14ac:dyDescent="0.25"/>
    <row r="1468" ht="15.75" customHeight="1" x14ac:dyDescent="0.25"/>
    <row r="1469" ht="15.75" customHeight="1" x14ac:dyDescent="0.25"/>
    <row r="1470" ht="15.75" customHeight="1" x14ac:dyDescent="0.25"/>
    <row r="1471" ht="15.75" customHeight="1" x14ac:dyDescent="0.25"/>
    <row r="1472" ht="15.75" customHeight="1" x14ac:dyDescent="0.25"/>
    <row r="1473" ht="15.75" customHeight="1" x14ac:dyDescent="0.25"/>
    <row r="1474" ht="15.75" customHeight="1" x14ac:dyDescent="0.25"/>
    <row r="1475" ht="15.75" customHeight="1" x14ac:dyDescent="0.25"/>
    <row r="1476" ht="15.75" customHeight="1" x14ac:dyDescent="0.25"/>
    <row r="1477" ht="15.75" customHeight="1" x14ac:dyDescent="0.25"/>
    <row r="1478" ht="15.75" customHeight="1" x14ac:dyDescent="0.25"/>
    <row r="1479" ht="15.75" customHeight="1" x14ac:dyDescent="0.25"/>
    <row r="1480" ht="15.75" customHeight="1" x14ac:dyDescent="0.25"/>
    <row r="1481" ht="15.75" customHeight="1" x14ac:dyDescent="0.25"/>
    <row r="1482" ht="15.75" customHeight="1" x14ac:dyDescent="0.25"/>
    <row r="1483" ht="15.75" customHeight="1" x14ac:dyDescent="0.25"/>
    <row r="1484" ht="15.75" customHeight="1" x14ac:dyDescent="0.25"/>
    <row r="1485" ht="15.75" customHeight="1" x14ac:dyDescent="0.25"/>
    <row r="1486" ht="15.75" customHeight="1" x14ac:dyDescent="0.25"/>
    <row r="1487" ht="15.75" customHeight="1" x14ac:dyDescent="0.25"/>
    <row r="1488" ht="15.75" customHeight="1" x14ac:dyDescent="0.25"/>
    <row r="1489" ht="15.75" customHeight="1" x14ac:dyDescent="0.25"/>
    <row r="1490" ht="15.75" customHeight="1" x14ac:dyDescent="0.25"/>
    <row r="1491" ht="15.75" customHeight="1" x14ac:dyDescent="0.25"/>
    <row r="1492" ht="15.75" customHeight="1" x14ac:dyDescent="0.25"/>
    <row r="1493" ht="15.75" customHeight="1" x14ac:dyDescent="0.25"/>
    <row r="1494" ht="15.75" customHeight="1" x14ac:dyDescent="0.25"/>
    <row r="1495" ht="15.75" customHeight="1" x14ac:dyDescent="0.25"/>
    <row r="1496" ht="15.75" customHeight="1" x14ac:dyDescent="0.25"/>
    <row r="1497" ht="15.75" customHeight="1" x14ac:dyDescent="0.25"/>
    <row r="1498" ht="15.75" customHeight="1" x14ac:dyDescent="0.25"/>
    <row r="1499" ht="15.75" customHeight="1" x14ac:dyDescent="0.25"/>
    <row r="1500" ht="15.75" customHeight="1" x14ac:dyDescent="0.25"/>
    <row r="1501" ht="15.75" customHeight="1" x14ac:dyDescent="0.25"/>
    <row r="1502" ht="15.75" customHeight="1" x14ac:dyDescent="0.25"/>
    <row r="1503" ht="15.75" customHeight="1" x14ac:dyDescent="0.25"/>
    <row r="1504" ht="15.75" customHeight="1" x14ac:dyDescent="0.25"/>
    <row r="1505" ht="15.75" customHeight="1" x14ac:dyDescent="0.25"/>
    <row r="1506" ht="15.75" customHeight="1" x14ac:dyDescent="0.25"/>
    <row r="1507" ht="15.75" customHeight="1" x14ac:dyDescent="0.25"/>
    <row r="1508" ht="15.75" customHeight="1" x14ac:dyDescent="0.25"/>
    <row r="1509" ht="15.75" customHeight="1" x14ac:dyDescent="0.25"/>
    <row r="1510" ht="15.75" customHeight="1" x14ac:dyDescent="0.25"/>
    <row r="1511" ht="15.75" customHeight="1" x14ac:dyDescent="0.25"/>
    <row r="1512" ht="15.75" customHeight="1" x14ac:dyDescent="0.25"/>
    <row r="1513" ht="15.75" customHeight="1" x14ac:dyDescent="0.25"/>
    <row r="1514" ht="15.75" customHeight="1" x14ac:dyDescent="0.25"/>
    <row r="1515" ht="15.75" customHeight="1" x14ac:dyDescent="0.25"/>
    <row r="1516" ht="15.75" customHeight="1" x14ac:dyDescent="0.25"/>
    <row r="1517" ht="15.75" customHeight="1" x14ac:dyDescent="0.25"/>
    <row r="1518" ht="15.75" customHeight="1" x14ac:dyDescent="0.25"/>
    <row r="1519" ht="15.75" customHeight="1" x14ac:dyDescent="0.25"/>
    <row r="1520" ht="15.75" customHeight="1" x14ac:dyDescent="0.25"/>
    <row r="1521" ht="15.75" customHeight="1" x14ac:dyDescent="0.25"/>
    <row r="1522" ht="15.75" customHeight="1" x14ac:dyDescent="0.25"/>
    <row r="1523" ht="15.75" customHeight="1" x14ac:dyDescent="0.25"/>
    <row r="1524" ht="15.75" customHeight="1" x14ac:dyDescent="0.25"/>
    <row r="1525" ht="15.75" customHeight="1" x14ac:dyDescent="0.25"/>
    <row r="1526" ht="15.75" customHeight="1" x14ac:dyDescent="0.25"/>
    <row r="1527" ht="15.75" customHeight="1" x14ac:dyDescent="0.25"/>
    <row r="1528" ht="15.75" customHeight="1" x14ac:dyDescent="0.25"/>
    <row r="1529" ht="15.75" customHeight="1" x14ac:dyDescent="0.25"/>
    <row r="1530" ht="15.75" customHeight="1" x14ac:dyDescent="0.25"/>
    <row r="1531" ht="15.75" customHeight="1" x14ac:dyDescent="0.25"/>
    <row r="1532" ht="15.75" customHeight="1" x14ac:dyDescent="0.25"/>
    <row r="1533" ht="15.75" customHeight="1" x14ac:dyDescent="0.25"/>
    <row r="1534" ht="15.75" customHeight="1" x14ac:dyDescent="0.25"/>
    <row r="1535" ht="15.75" customHeight="1" x14ac:dyDescent="0.25"/>
    <row r="1536" ht="15.75" customHeight="1" x14ac:dyDescent="0.25"/>
    <row r="1537" ht="15.75" customHeight="1" x14ac:dyDescent="0.25"/>
    <row r="1538" ht="15.75" customHeight="1" x14ac:dyDescent="0.25"/>
    <row r="1539" ht="15.75" customHeight="1" x14ac:dyDescent="0.25"/>
    <row r="1540" ht="15.75" customHeight="1" x14ac:dyDescent="0.25"/>
    <row r="1541" ht="15.75" customHeight="1" x14ac:dyDescent="0.25"/>
    <row r="1542" ht="15.75" customHeight="1" x14ac:dyDescent="0.25"/>
    <row r="1543" ht="15.75" customHeight="1" x14ac:dyDescent="0.25"/>
    <row r="1544" ht="15.75" customHeight="1" x14ac:dyDescent="0.25"/>
    <row r="1545" ht="15.75" customHeight="1" x14ac:dyDescent="0.25"/>
    <row r="1546" ht="15.75" customHeight="1" x14ac:dyDescent="0.25"/>
    <row r="1547" ht="15.75" customHeight="1" x14ac:dyDescent="0.25"/>
    <row r="1548" ht="15.75" customHeight="1" x14ac:dyDescent="0.25"/>
    <row r="1549" ht="15.75" customHeight="1" x14ac:dyDescent="0.25"/>
    <row r="1550" ht="15.75" customHeight="1" x14ac:dyDescent="0.25"/>
    <row r="1551" ht="15.75" customHeight="1" x14ac:dyDescent="0.25"/>
    <row r="1552" ht="15.75" customHeight="1" x14ac:dyDescent="0.25"/>
    <row r="1553" ht="15.75" customHeight="1" x14ac:dyDescent="0.25"/>
    <row r="1554" ht="15.75" customHeight="1" x14ac:dyDescent="0.25"/>
    <row r="1555" ht="15.75" customHeight="1" x14ac:dyDescent="0.25"/>
    <row r="1556" ht="15.75" customHeight="1" x14ac:dyDescent="0.25"/>
    <row r="1557" ht="15.75" customHeight="1" x14ac:dyDescent="0.25"/>
    <row r="1558" ht="15.75" customHeight="1" x14ac:dyDescent="0.25"/>
    <row r="1559" ht="15.75" customHeight="1" x14ac:dyDescent="0.25"/>
    <row r="1560" ht="15.75" customHeight="1" x14ac:dyDescent="0.25"/>
    <row r="1561" ht="15.75" customHeight="1" x14ac:dyDescent="0.25"/>
    <row r="1562" ht="15.75" customHeight="1" x14ac:dyDescent="0.25"/>
    <row r="1563" ht="15.75" customHeight="1" x14ac:dyDescent="0.25"/>
    <row r="1564" ht="15.75" customHeight="1" x14ac:dyDescent="0.25"/>
    <row r="1565" ht="15.75" customHeight="1" x14ac:dyDescent="0.25"/>
    <row r="1566" ht="15.75" customHeight="1" x14ac:dyDescent="0.25"/>
    <row r="1567" ht="15.75" customHeight="1" x14ac:dyDescent="0.25"/>
    <row r="1568" ht="15.75" customHeight="1" x14ac:dyDescent="0.25"/>
    <row r="1569" ht="15.75" customHeight="1" x14ac:dyDescent="0.25"/>
    <row r="1570" ht="15.75" customHeight="1" x14ac:dyDescent="0.25"/>
    <row r="1571" ht="15.75" customHeight="1" x14ac:dyDescent="0.25"/>
    <row r="1572" ht="15.75" customHeight="1" x14ac:dyDescent="0.25"/>
    <row r="1573" ht="15.75" customHeight="1" x14ac:dyDescent="0.25"/>
    <row r="1574" ht="15.75" customHeight="1" x14ac:dyDescent="0.25"/>
    <row r="1575" ht="15.75" customHeight="1" x14ac:dyDescent="0.25"/>
    <row r="1576" ht="15.75" customHeight="1" x14ac:dyDescent="0.25"/>
    <row r="1577" ht="15.75" customHeight="1" x14ac:dyDescent="0.25"/>
    <row r="1578" ht="15.75" customHeight="1" x14ac:dyDescent="0.25"/>
    <row r="1579" ht="15.75" customHeight="1" x14ac:dyDescent="0.25"/>
    <row r="1580" ht="15.75" customHeight="1" x14ac:dyDescent="0.25"/>
    <row r="1581" ht="15.75" customHeight="1" x14ac:dyDescent="0.25"/>
    <row r="1582" ht="15.75" customHeight="1" x14ac:dyDescent="0.25"/>
    <row r="1583" ht="15.75" customHeight="1" x14ac:dyDescent="0.25"/>
    <row r="1584" ht="15.75" customHeight="1" x14ac:dyDescent="0.25"/>
    <row r="1585" ht="15.75" customHeight="1" x14ac:dyDescent="0.25"/>
    <row r="1586" ht="15.75" customHeight="1" x14ac:dyDescent="0.25"/>
    <row r="1587" ht="15.75" customHeight="1" x14ac:dyDescent="0.25"/>
    <row r="1588" ht="15.75" customHeight="1" x14ac:dyDescent="0.25"/>
    <row r="1589" ht="15.75" customHeight="1" x14ac:dyDescent="0.25"/>
    <row r="1590" ht="15.75" customHeight="1" x14ac:dyDescent="0.25"/>
    <row r="1591" ht="15.75" customHeight="1" x14ac:dyDescent="0.25"/>
    <row r="1592" ht="15.75" customHeight="1" x14ac:dyDescent="0.25"/>
    <row r="1593" ht="15.75" customHeight="1" x14ac:dyDescent="0.25"/>
    <row r="1594" ht="15.75" customHeight="1" x14ac:dyDescent="0.25"/>
    <row r="1595" ht="15.75" customHeight="1" x14ac:dyDescent="0.25"/>
    <row r="1596" ht="15.75" customHeight="1" x14ac:dyDescent="0.25"/>
    <row r="1597" ht="15.75" customHeight="1" x14ac:dyDescent="0.25"/>
    <row r="1598" ht="15.75" customHeight="1" x14ac:dyDescent="0.25"/>
    <row r="1599" ht="15.75" customHeight="1" x14ac:dyDescent="0.25"/>
    <row r="1600" ht="15.75" customHeight="1" x14ac:dyDescent="0.25"/>
    <row r="1601" ht="15.75" customHeight="1" x14ac:dyDescent="0.25"/>
    <row r="1602" ht="15.75" customHeight="1" x14ac:dyDescent="0.25"/>
    <row r="1603" ht="15.75" customHeight="1" x14ac:dyDescent="0.25"/>
    <row r="1604" ht="15.75" customHeight="1" x14ac:dyDescent="0.25"/>
    <row r="1605" ht="15.75" customHeight="1" x14ac:dyDescent="0.25"/>
    <row r="1606" ht="15.75" customHeight="1" x14ac:dyDescent="0.25"/>
    <row r="1607" ht="15.75" customHeight="1" x14ac:dyDescent="0.25"/>
    <row r="1608" ht="15.75" customHeight="1" x14ac:dyDescent="0.25"/>
    <row r="1609" ht="15.75" customHeight="1" x14ac:dyDescent="0.25"/>
    <row r="1610" ht="15.75" customHeight="1" x14ac:dyDescent="0.25"/>
    <row r="1611" ht="15.75" customHeight="1" x14ac:dyDescent="0.25"/>
    <row r="1612" ht="15.75" customHeight="1" x14ac:dyDescent="0.25"/>
    <row r="1613" ht="15.75" customHeight="1" x14ac:dyDescent="0.25"/>
    <row r="1614" ht="15.75" customHeight="1" x14ac:dyDescent="0.25"/>
    <row r="1615" ht="15.75" customHeight="1" x14ac:dyDescent="0.25"/>
    <row r="1616" ht="15.75" customHeight="1" x14ac:dyDescent="0.25"/>
    <row r="1617" ht="15.75" customHeight="1" x14ac:dyDescent="0.25"/>
    <row r="1618" ht="15.75" customHeight="1" x14ac:dyDescent="0.25"/>
    <row r="1619" ht="15.75" customHeight="1" x14ac:dyDescent="0.25"/>
    <row r="1620" ht="15.75" customHeight="1" x14ac:dyDescent="0.25"/>
    <row r="1621" ht="15.75" customHeight="1" x14ac:dyDescent="0.25"/>
    <row r="1622" ht="15.75" customHeight="1" x14ac:dyDescent="0.25"/>
    <row r="1623" ht="15.75" customHeight="1" x14ac:dyDescent="0.25"/>
    <row r="1624" ht="15.75" customHeight="1" x14ac:dyDescent="0.25"/>
    <row r="1625" ht="15.75" customHeight="1" x14ac:dyDescent="0.25"/>
    <row r="1626" ht="15.75" customHeight="1" x14ac:dyDescent="0.25"/>
    <row r="1627" ht="15.75" customHeight="1" x14ac:dyDescent="0.25"/>
    <row r="1628" ht="15.75" customHeight="1" x14ac:dyDescent="0.25"/>
    <row r="1629" ht="15.75" customHeight="1" x14ac:dyDescent="0.25"/>
    <row r="1630" ht="15.75" customHeight="1" x14ac:dyDescent="0.25"/>
    <row r="1631" ht="15.75" customHeight="1" x14ac:dyDescent="0.25"/>
    <row r="1632" ht="15.75" customHeight="1" x14ac:dyDescent="0.25"/>
    <row r="1633" ht="15.75" customHeight="1" x14ac:dyDescent="0.25"/>
    <row r="1634" ht="15.75" customHeight="1" x14ac:dyDescent="0.25"/>
    <row r="1635" ht="15.75" customHeight="1" x14ac:dyDescent="0.25"/>
    <row r="1636" ht="15.75" customHeight="1" x14ac:dyDescent="0.25"/>
    <row r="1637" ht="15.75" customHeight="1" x14ac:dyDescent="0.25"/>
    <row r="1638" ht="15.75" customHeight="1" x14ac:dyDescent="0.25"/>
    <row r="1639" ht="15.75" customHeight="1" x14ac:dyDescent="0.25"/>
    <row r="1640" ht="15.75" customHeight="1" x14ac:dyDescent="0.25"/>
    <row r="1641" ht="15.75" customHeight="1" x14ac:dyDescent="0.25"/>
    <row r="1642" ht="15.75" customHeight="1" x14ac:dyDescent="0.25"/>
    <row r="1643" ht="15.75" customHeight="1" x14ac:dyDescent="0.25"/>
    <row r="1644" ht="15.75" customHeight="1" x14ac:dyDescent="0.25"/>
    <row r="1645" ht="15.75" customHeight="1" x14ac:dyDescent="0.25"/>
    <row r="1646" ht="15.75" customHeight="1" x14ac:dyDescent="0.25"/>
    <row r="1647" ht="15.75" customHeight="1" x14ac:dyDescent="0.25"/>
    <row r="1648" ht="15.75" customHeight="1" x14ac:dyDescent="0.25"/>
    <row r="1649" ht="15.75" customHeight="1" x14ac:dyDescent="0.25"/>
    <row r="1650" ht="15.75" customHeight="1" x14ac:dyDescent="0.25"/>
    <row r="1651" ht="15.75" customHeight="1" x14ac:dyDescent="0.25"/>
    <row r="1652" ht="15.75" customHeight="1" x14ac:dyDescent="0.25"/>
    <row r="1653" ht="15.75" customHeight="1" x14ac:dyDescent="0.25"/>
    <row r="1654" ht="15.75" customHeight="1" x14ac:dyDescent="0.25"/>
    <row r="1655" ht="15.75" customHeight="1" x14ac:dyDescent="0.25"/>
    <row r="1656" ht="15.75" customHeight="1" x14ac:dyDescent="0.25"/>
    <row r="1657" ht="15.75" customHeight="1" x14ac:dyDescent="0.25"/>
    <row r="1658" ht="15.75" customHeight="1" x14ac:dyDescent="0.25"/>
    <row r="1659" ht="15.75" customHeight="1" x14ac:dyDescent="0.25"/>
    <row r="1660" ht="15.75" customHeight="1" x14ac:dyDescent="0.25"/>
    <row r="1661" ht="15.75" customHeight="1" x14ac:dyDescent="0.25"/>
    <row r="1662" ht="15.75" customHeight="1" x14ac:dyDescent="0.25"/>
    <row r="1663" ht="15.75" customHeight="1" x14ac:dyDescent="0.25"/>
    <row r="1664" ht="15.75" customHeight="1" x14ac:dyDescent="0.25"/>
    <row r="1665" ht="15.75" customHeight="1" x14ac:dyDescent="0.25"/>
    <row r="1666" ht="15.75" customHeight="1" x14ac:dyDescent="0.25"/>
    <row r="1667" ht="15.75" customHeight="1" x14ac:dyDescent="0.25"/>
    <row r="1668" ht="15.75" customHeight="1" x14ac:dyDescent="0.25"/>
    <row r="1669" ht="15.75" customHeight="1" x14ac:dyDescent="0.25"/>
    <row r="1670" ht="15.75" customHeight="1" x14ac:dyDescent="0.25"/>
    <row r="1671" ht="15.75" customHeight="1" x14ac:dyDescent="0.25"/>
    <row r="1672" ht="15.75" customHeight="1" x14ac:dyDescent="0.25"/>
    <row r="1673" ht="15.75" customHeight="1" x14ac:dyDescent="0.25"/>
    <row r="1674" ht="15.75" customHeight="1" x14ac:dyDescent="0.25"/>
    <row r="1675" ht="15.75" customHeight="1" x14ac:dyDescent="0.25"/>
    <row r="1676" ht="15.75" customHeight="1" x14ac:dyDescent="0.25"/>
    <row r="1677" ht="15.75" customHeight="1" x14ac:dyDescent="0.25"/>
    <row r="1678" ht="15.75" customHeight="1" x14ac:dyDescent="0.25"/>
    <row r="1679" ht="15.75" customHeight="1" x14ac:dyDescent="0.25"/>
    <row r="1680" ht="15.75" customHeight="1" x14ac:dyDescent="0.25"/>
    <row r="1681" ht="15.75" customHeight="1" x14ac:dyDescent="0.25"/>
    <row r="1682" ht="15.75" customHeight="1" x14ac:dyDescent="0.25"/>
    <row r="1683" ht="15.75" customHeight="1" x14ac:dyDescent="0.25"/>
    <row r="1684" ht="15.75" customHeight="1" x14ac:dyDescent="0.25"/>
    <row r="1685" ht="15.75" customHeight="1" x14ac:dyDescent="0.25"/>
    <row r="1686" ht="15.75" customHeight="1" x14ac:dyDescent="0.25"/>
    <row r="1687" ht="15.75" customHeight="1" x14ac:dyDescent="0.25"/>
    <row r="1688" ht="15.75" customHeight="1" x14ac:dyDescent="0.25"/>
    <row r="1689" ht="15.75" customHeight="1" x14ac:dyDescent="0.25"/>
    <row r="1690" ht="15.75" customHeight="1" x14ac:dyDescent="0.25"/>
    <row r="1691" ht="15.75" customHeight="1" x14ac:dyDescent="0.25"/>
    <row r="1692" ht="15.75" customHeight="1" x14ac:dyDescent="0.25"/>
    <row r="1693" ht="15.75" customHeight="1" x14ac:dyDescent="0.25"/>
    <row r="1694" ht="15.75" customHeight="1" x14ac:dyDescent="0.25"/>
    <row r="1695" ht="15.75" customHeight="1" x14ac:dyDescent="0.25"/>
    <row r="1696" ht="15.75" customHeight="1" x14ac:dyDescent="0.25"/>
    <row r="1697" ht="15.75" customHeight="1" x14ac:dyDescent="0.25"/>
    <row r="1698" ht="15.75" customHeight="1" x14ac:dyDescent="0.25"/>
    <row r="1699" ht="15.75" customHeight="1" x14ac:dyDescent="0.25"/>
    <row r="1700" ht="15.75" customHeight="1" x14ac:dyDescent="0.25"/>
    <row r="1701" ht="15.75" customHeight="1" x14ac:dyDescent="0.25"/>
    <row r="1702" ht="15.75" customHeight="1" x14ac:dyDescent="0.25"/>
    <row r="1703" ht="15.75" customHeight="1" x14ac:dyDescent="0.25"/>
    <row r="1704" ht="15.75" customHeight="1" x14ac:dyDescent="0.25"/>
    <row r="1705" ht="15.75" customHeight="1" x14ac:dyDescent="0.25"/>
    <row r="1706" ht="15.75" customHeight="1" x14ac:dyDescent="0.25"/>
    <row r="1707" ht="15.75" customHeight="1" x14ac:dyDescent="0.25"/>
    <row r="1708" ht="15.75" customHeight="1" x14ac:dyDescent="0.25"/>
    <row r="1709" ht="15.75" customHeight="1" x14ac:dyDescent="0.25"/>
    <row r="1710" ht="15.75" customHeight="1" x14ac:dyDescent="0.25"/>
    <row r="1711" ht="15.75" customHeight="1" x14ac:dyDescent="0.25"/>
    <row r="1712" ht="15.75" customHeight="1" x14ac:dyDescent="0.25"/>
    <row r="1713" ht="15.75" customHeight="1" x14ac:dyDescent="0.25"/>
    <row r="1714" ht="15.75" customHeight="1" x14ac:dyDescent="0.25"/>
    <row r="1715" ht="15.75" customHeight="1" x14ac:dyDescent="0.25"/>
    <row r="1716" ht="15.75" customHeight="1" x14ac:dyDescent="0.25"/>
    <row r="1717" ht="15.75" customHeight="1" x14ac:dyDescent="0.25"/>
    <row r="1718" ht="15.75" customHeight="1" x14ac:dyDescent="0.25"/>
    <row r="1719" ht="15.75" customHeight="1" x14ac:dyDescent="0.25"/>
    <row r="1720" ht="15.75" customHeight="1" x14ac:dyDescent="0.25"/>
    <row r="1721" ht="15.75" customHeight="1" x14ac:dyDescent="0.25"/>
    <row r="1722" ht="15.75" customHeight="1" x14ac:dyDescent="0.25"/>
    <row r="1723" ht="15.75" customHeight="1" x14ac:dyDescent="0.25"/>
    <row r="1724" ht="15.75" customHeight="1" x14ac:dyDescent="0.25"/>
    <row r="1725" ht="15.75" customHeight="1" x14ac:dyDescent="0.25"/>
    <row r="1726" ht="15.75" customHeight="1" x14ac:dyDescent="0.25"/>
    <row r="1727" ht="15.75" customHeight="1" x14ac:dyDescent="0.25"/>
    <row r="1728" ht="15.75" customHeight="1" x14ac:dyDescent="0.25"/>
    <row r="1729" ht="15.75" customHeight="1" x14ac:dyDescent="0.25"/>
    <row r="1730" ht="15.75" customHeight="1" x14ac:dyDescent="0.25"/>
    <row r="1731" ht="15.75" customHeight="1" x14ac:dyDescent="0.25"/>
    <row r="1732" ht="15.75" customHeight="1" x14ac:dyDescent="0.25"/>
    <row r="1733" ht="15.75" customHeight="1" x14ac:dyDescent="0.25"/>
    <row r="1734" ht="15.75" customHeight="1" x14ac:dyDescent="0.25"/>
    <row r="1735" ht="15.75" customHeight="1" x14ac:dyDescent="0.25"/>
    <row r="1736" ht="15.75" customHeight="1" x14ac:dyDescent="0.25"/>
    <row r="1737" ht="15.75" customHeight="1" x14ac:dyDescent="0.25"/>
    <row r="1738" ht="15.75" customHeight="1" x14ac:dyDescent="0.25"/>
    <row r="1739" ht="15.75" customHeight="1" x14ac:dyDescent="0.25"/>
    <row r="1740" ht="15.75" customHeight="1" x14ac:dyDescent="0.25"/>
    <row r="1741" ht="15.75" customHeight="1" x14ac:dyDescent="0.25"/>
    <row r="1742" ht="15.75" customHeight="1" x14ac:dyDescent="0.25"/>
    <row r="1743" ht="15.75" customHeight="1" x14ac:dyDescent="0.25"/>
    <row r="1744" ht="15.75" customHeight="1" x14ac:dyDescent="0.25"/>
    <row r="1745" ht="15.75" customHeight="1" x14ac:dyDescent="0.25"/>
    <row r="1746" ht="15.75" customHeight="1" x14ac:dyDescent="0.25"/>
    <row r="1747" ht="15.75" customHeight="1" x14ac:dyDescent="0.25"/>
    <row r="1748" ht="15.75" customHeight="1" x14ac:dyDescent="0.25"/>
    <row r="1749" ht="15.75" customHeight="1" x14ac:dyDescent="0.25"/>
    <row r="1750" ht="15.75" customHeight="1" x14ac:dyDescent="0.25"/>
    <row r="1751" ht="15.75" customHeight="1" x14ac:dyDescent="0.25"/>
    <row r="1752" ht="15.75" customHeight="1" x14ac:dyDescent="0.25"/>
    <row r="1753" ht="15.75" customHeight="1" x14ac:dyDescent="0.25"/>
    <row r="1754" ht="15.75" customHeight="1" x14ac:dyDescent="0.25"/>
    <row r="1755" ht="15.75" customHeight="1" x14ac:dyDescent="0.25"/>
    <row r="1756" ht="15.75" customHeight="1" x14ac:dyDescent="0.25"/>
    <row r="1757" ht="15.75" customHeight="1" x14ac:dyDescent="0.25"/>
    <row r="1758" ht="15.75" customHeight="1" x14ac:dyDescent="0.25"/>
    <row r="1759" ht="15.75" customHeight="1" x14ac:dyDescent="0.25"/>
    <row r="1760" ht="15.75" customHeight="1" x14ac:dyDescent="0.25"/>
    <row r="1761" ht="15.75" customHeight="1" x14ac:dyDescent="0.25"/>
    <row r="1762" ht="15.75" customHeight="1" x14ac:dyDescent="0.25"/>
    <row r="1763" ht="15.75" customHeight="1" x14ac:dyDescent="0.25"/>
    <row r="1764" ht="15.75" customHeight="1" x14ac:dyDescent="0.25"/>
    <row r="1765" ht="15.75" customHeight="1" x14ac:dyDescent="0.25"/>
    <row r="1766" ht="15.75" customHeight="1" x14ac:dyDescent="0.25"/>
    <row r="1767" ht="15.75" customHeight="1" x14ac:dyDescent="0.25"/>
    <row r="1768" ht="15.75" customHeight="1" x14ac:dyDescent="0.25"/>
    <row r="1769" ht="15.75" customHeight="1" x14ac:dyDescent="0.25"/>
    <row r="1770" ht="15.75" customHeight="1" x14ac:dyDescent="0.25"/>
    <row r="1771" ht="15.75" customHeight="1" x14ac:dyDescent="0.25"/>
    <row r="1772" ht="15.75" customHeight="1" x14ac:dyDescent="0.25"/>
    <row r="1773" ht="15.75" customHeight="1" x14ac:dyDescent="0.25"/>
    <row r="1774" ht="15.75" customHeight="1" x14ac:dyDescent="0.25"/>
    <row r="1775" ht="15.75" customHeight="1" x14ac:dyDescent="0.25"/>
    <row r="1776" ht="15.75" customHeight="1" x14ac:dyDescent="0.25"/>
    <row r="1777" ht="15.75" customHeight="1" x14ac:dyDescent="0.25"/>
    <row r="1778" ht="15.75" customHeight="1" x14ac:dyDescent="0.25"/>
    <row r="1779" ht="15.75" customHeight="1" x14ac:dyDescent="0.25"/>
    <row r="1780" ht="15.75" customHeight="1" x14ac:dyDescent="0.25"/>
    <row r="1781" ht="15.75" customHeight="1" x14ac:dyDescent="0.25"/>
    <row r="1782" ht="15.75" customHeight="1" x14ac:dyDescent="0.25"/>
    <row r="1783" ht="15.75" customHeight="1" x14ac:dyDescent="0.25"/>
    <row r="1784" ht="15.75" customHeight="1" x14ac:dyDescent="0.25"/>
    <row r="1785" ht="15.75" customHeight="1" x14ac:dyDescent="0.25"/>
    <row r="1786" ht="15.75" customHeight="1" x14ac:dyDescent="0.25"/>
    <row r="1787" ht="15.75" customHeight="1" x14ac:dyDescent="0.25"/>
    <row r="1788" ht="15.75" customHeight="1" x14ac:dyDescent="0.25"/>
    <row r="1789" ht="15.75" customHeight="1" x14ac:dyDescent="0.25"/>
    <row r="1790" ht="15.75" customHeight="1" x14ac:dyDescent="0.25"/>
    <row r="1791" ht="15.75" customHeight="1" x14ac:dyDescent="0.25"/>
    <row r="1792" ht="15.75" customHeight="1" x14ac:dyDescent="0.25"/>
    <row r="1793" ht="15.75" customHeight="1" x14ac:dyDescent="0.25"/>
    <row r="1794" ht="15.75" customHeight="1" x14ac:dyDescent="0.25"/>
    <row r="1795" ht="15.75" customHeight="1" x14ac:dyDescent="0.25"/>
    <row r="1796" ht="15.75" customHeight="1" x14ac:dyDescent="0.25"/>
    <row r="1797" ht="15.75" customHeight="1" x14ac:dyDescent="0.25"/>
    <row r="1798" ht="15.75" customHeight="1" x14ac:dyDescent="0.25"/>
    <row r="1799" ht="15.75" customHeight="1" x14ac:dyDescent="0.25"/>
    <row r="1800" ht="15.75" customHeight="1" x14ac:dyDescent="0.25"/>
    <row r="1801" ht="15.75" customHeight="1" x14ac:dyDescent="0.25"/>
    <row r="1802" ht="15.75" customHeight="1" x14ac:dyDescent="0.25"/>
    <row r="1803" ht="15.75" customHeight="1" x14ac:dyDescent="0.25"/>
    <row r="1804" ht="15.75" customHeight="1" x14ac:dyDescent="0.25"/>
    <row r="1805" ht="15.75" customHeight="1" x14ac:dyDescent="0.25"/>
    <row r="1806" ht="15.75" customHeight="1" x14ac:dyDescent="0.25"/>
    <row r="1807" ht="15.75" customHeight="1" x14ac:dyDescent="0.25"/>
    <row r="1808" ht="15.75" customHeight="1" x14ac:dyDescent="0.25"/>
    <row r="1809" ht="15.75" customHeight="1" x14ac:dyDescent="0.25"/>
    <row r="1810" ht="15.75" customHeight="1" x14ac:dyDescent="0.25"/>
    <row r="1811" ht="15.75" customHeight="1" x14ac:dyDescent="0.25"/>
    <row r="1812" ht="15.75" customHeight="1" x14ac:dyDescent="0.25"/>
    <row r="1813" ht="15.75" customHeight="1" x14ac:dyDescent="0.25"/>
    <row r="1814" ht="15.75" customHeight="1" x14ac:dyDescent="0.25"/>
    <row r="1815" ht="15.75" customHeight="1" x14ac:dyDescent="0.25"/>
    <row r="1816" ht="15.75" customHeight="1" x14ac:dyDescent="0.25"/>
    <row r="1817" ht="15.75" customHeight="1" x14ac:dyDescent="0.25"/>
    <row r="1818" ht="15.75" customHeight="1" x14ac:dyDescent="0.25"/>
    <row r="1819" ht="15.75" customHeight="1" x14ac:dyDescent="0.25"/>
    <row r="1820" ht="15.75" customHeight="1" x14ac:dyDescent="0.25"/>
    <row r="1821" ht="15.75" customHeight="1" x14ac:dyDescent="0.25"/>
    <row r="1822" ht="15.75" customHeight="1" x14ac:dyDescent="0.25"/>
    <row r="1823" ht="15.75" customHeight="1" x14ac:dyDescent="0.25"/>
    <row r="1824" ht="15.75" customHeight="1" x14ac:dyDescent="0.25"/>
    <row r="1825" ht="15.75" customHeight="1" x14ac:dyDescent="0.25"/>
    <row r="1826" ht="15.75" customHeight="1" x14ac:dyDescent="0.25"/>
    <row r="1827" ht="15.75" customHeight="1" x14ac:dyDescent="0.25"/>
    <row r="1828" ht="15.75" customHeight="1" x14ac:dyDescent="0.25"/>
    <row r="1829" ht="15.75" customHeight="1" x14ac:dyDescent="0.25"/>
    <row r="1830" ht="15.75" customHeight="1" x14ac:dyDescent="0.25"/>
    <row r="1831" ht="15.75" customHeight="1" x14ac:dyDescent="0.25"/>
    <row r="1832" ht="15.75" customHeight="1" x14ac:dyDescent="0.25"/>
    <row r="1833" ht="15.75" customHeight="1" x14ac:dyDescent="0.25"/>
    <row r="1834" ht="15.75" customHeight="1" x14ac:dyDescent="0.25"/>
    <row r="1835" ht="15.75" customHeight="1" x14ac:dyDescent="0.25"/>
    <row r="1836" ht="15.75" customHeight="1" x14ac:dyDescent="0.25"/>
    <row r="1837" ht="15.75" customHeight="1" x14ac:dyDescent="0.25"/>
    <row r="1838" ht="15.75" customHeight="1" x14ac:dyDescent="0.25"/>
    <row r="1839" ht="15.75" customHeight="1" x14ac:dyDescent="0.25"/>
    <row r="1840" ht="15.75" customHeight="1" x14ac:dyDescent="0.25"/>
    <row r="1841" ht="15.75" customHeight="1" x14ac:dyDescent="0.25"/>
    <row r="1842" ht="15.75" customHeight="1" x14ac:dyDescent="0.25"/>
    <row r="1843" ht="15.75" customHeight="1" x14ac:dyDescent="0.25"/>
    <row r="1844" ht="15.75" customHeight="1" x14ac:dyDescent="0.25"/>
    <row r="1845" ht="15.75" customHeight="1" x14ac:dyDescent="0.25"/>
    <row r="1846" ht="15.75" customHeight="1" x14ac:dyDescent="0.25"/>
    <row r="1847" ht="15.75" customHeight="1" x14ac:dyDescent="0.25"/>
    <row r="1848" ht="15.75" customHeight="1" x14ac:dyDescent="0.25"/>
    <row r="1849" ht="15.75" customHeight="1" x14ac:dyDescent="0.25"/>
    <row r="1850" ht="15.75" customHeight="1" x14ac:dyDescent="0.25"/>
    <row r="1851" ht="15.75" customHeight="1" x14ac:dyDescent="0.25"/>
    <row r="1852" ht="15.75" customHeight="1" x14ac:dyDescent="0.25"/>
    <row r="1853" ht="15.75" customHeight="1" x14ac:dyDescent="0.25"/>
    <row r="1854" ht="15.75" customHeight="1" x14ac:dyDescent="0.25"/>
    <row r="1855" ht="15.75" customHeight="1" x14ac:dyDescent="0.25"/>
    <row r="1856" ht="15.75" customHeight="1" x14ac:dyDescent="0.25"/>
    <row r="1857" ht="15.75" customHeight="1" x14ac:dyDescent="0.25"/>
    <row r="1858" ht="15.75" customHeight="1" x14ac:dyDescent="0.25"/>
    <row r="1859" ht="15.75" customHeight="1" x14ac:dyDescent="0.25"/>
    <row r="1860" ht="15.75" customHeight="1" x14ac:dyDescent="0.25"/>
    <row r="1861" ht="15.75" customHeight="1" x14ac:dyDescent="0.25"/>
    <row r="1862" ht="15.75" customHeight="1" x14ac:dyDescent="0.25"/>
    <row r="1863" ht="15.75" customHeight="1" x14ac:dyDescent="0.25"/>
    <row r="1864" ht="15.75" customHeight="1" x14ac:dyDescent="0.25"/>
    <row r="1865" ht="15.75" customHeight="1" x14ac:dyDescent="0.25"/>
    <row r="1866" ht="15.75" customHeight="1" x14ac:dyDescent="0.25"/>
    <row r="1867" ht="15.75" customHeight="1" x14ac:dyDescent="0.25"/>
    <row r="1868" ht="15.75" customHeight="1" x14ac:dyDescent="0.25"/>
    <row r="1869" ht="15.75" customHeight="1" x14ac:dyDescent="0.25"/>
    <row r="1870" ht="15.75" customHeight="1" x14ac:dyDescent="0.25"/>
    <row r="1871" ht="15.75" customHeight="1" x14ac:dyDescent="0.25"/>
    <row r="1872" ht="15.75" customHeight="1" x14ac:dyDescent="0.25"/>
    <row r="1873" ht="15.75" customHeight="1" x14ac:dyDescent="0.25"/>
    <row r="1874" ht="15.75" customHeight="1" x14ac:dyDescent="0.25"/>
    <row r="1875" ht="15.75" customHeight="1" x14ac:dyDescent="0.25"/>
    <row r="1876" ht="15.75" customHeight="1" x14ac:dyDescent="0.25"/>
    <row r="1877" ht="15.75" customHeight="1" x14ac:dyDescent="0.25"/>
    <row r="1878" ht="15.75" customHeight="1" x14ac:dyDescent="0.25"/>
    <row r="1879" ht="15.75" customHeight="1" x14ac:dyDescent="0.25"/>
    <row r="1880" ht="15.75" customHeight="1" x14ac:dyDescent="0.25"/>
    <row r="1881" ht="15.75" customHeight="1" x14ac:dyDescent="0.25"/>
    <row r="1882" ht="15.75" customHeight="1" x14ac:dyDescent="0.25"/>
    <row r="1883" ht="15.75" customHeight="1" x14ac:dyDescent="0.25"/>
    <row r="1884" ht="15.75" customHeight="1" x14ac:dyDescent="0.25"/>
    <row r="1885" ht="15.75" customHeight="1" x14ac:dyDescent="0.25"/>
    <row r="1886" ht="15.75" customHeight="1" x14ac:dyDescent="0.25"/>
    <row r="1887" ht="15.75" customHeight="1" x14ac:dyDescent="0.25"/>
    <row r="1888" ht="15.75" customHeight="1" x14ac:dyDescent="0.25"/>
    <row r="1889" ht="15.75" customHeight="1" x14ac:dyDescent="0.25"/>
    <row r="1890" ht="15.75" customHeight="1" x14ac:dyDescent="0.25"/>
    <row r="1891" ht="15.75" customHeight="1" x14ac:dyDescent="0.25"/>
    <row r="1892" ht="15.75" customHeight="1" x14ac:dyDescent="0.25"/>
    <row r="1893" ht="15.75" customHeight="1" x14ac:dyDescent="0.25"/>
    <row r="1894" ht="15.75" customHeight="1" x14ac:dyDescent="0.25"/>
    <row r="1895" ht="15.75" customHeight="1" x14ac:dyDescent="0.25"/>
    <row r="1896" ht="15.75" customHeight="1" x14ac:dyDescent="0.25"/>
    <row r="1897" ht="15.75" customHeight="1" x14ac:dyDescent="0.25"/>
    <row r="1898" ht="15.75" customHeight="1" x14ac:dyDescent="0.25"/>
    <row r="1899" ht="15.75" customHeight="1" x14ac:dyDescent="0.25"/>
    <row r="1900" ht="15.75" customHeight="1" x14ac:dyDescent="0.25"/>
    <row r="1901" ht="15.75" customHeight="1" x14ac:dyDescent="0.25"/>
    <row r="1902" ht="15.75" customHeight="1" x14ac:dyDescent="0.25"/>
    <row r="1903" ht="15.75" customHeight="1" x14ac:dyDescent="0.25"/>
    <row r="1904" ht="15.75" customHeight="1" x14ac:dyDescent="0.25"/>
    <row r="1905" ht="15.75" customHeight="1" x14ac:dyDescent="0.25"/>
    <row r="1906" ht="15.75" customHeight="1" x14ac:dyDescent="0.25"/>
    <row r="1907" ht="15.75" customHeight="1" x14ac:dyDescent="0.25"/>
    <row r="1908" ht="15.75" customHeight="1" x14ac:dyDescent="0.25"/>
    <row r="1909" ht="15.75" customHeight="1" x14ac:dyDescent="0.25"/>
    <row r="1910" ht="15.75" customHeight="1" x14ac:dyDescent="0.25"/>
    <row r="1911" ht="15.75" customHeight="1" x14ac:dyDescent="0.25"/>
    <row r="1912" ht="15.75" customHeight="1" x14ac:dyDescent="0.25"/>
    <row r="1913" ht="15.75" customHeight="1" x14ac:dyDescent="0.25"/>
    <row r="1914" ht="15.75" customHeight="1" x14ac:dyDescent="0.25"/>
    <row r="1915" ht="15.75" customHeight="1" x14ac:dyDescent="0.25"/>
    <row r="1916" ht="15.75" customHeight="1" x14ac:dyDescent="0.25"/>
    <row r="1917" ht="15.75" customHeight="1" x14ac:dyDescent="0.25"/>
    <row r="1918" ht="15.75" customHeight="1" x14ac:dyDescent="0.25"/>
    <row r="1919" ht="15.75" customHeight="1" x14ac:dyDescent="0.25"/>
    <row r="1920" ht="15.75" customHeight="1" x14ac:dyDescent="0.25"/>
    <row r="1921" ht="15.75" customHeight="1" x14ac:dyDescent="0.25"/>
    <row r="1922" ht="15.75" customHeight="1" x14ac:dyDescent="0.25"/>
    <row r="1923" ht="15.75" customHeight="1" x14ac:dyDescent="0.25"/>
    <row r="1924" ht="15.75" customHeight="1" x14ac:dyDescent="0.25"/>
    <row r="1925" ht="15.75" customHeight="1" x14ac:dyDescent="0.25"/>
    <row r="1926" ht="15.75" customHeight="1" x14ac:dyDescent="0.25"/>
    <row r="1927" ht="15.75" customHeight="1" x14ac:dyDescent="0.25"/>
    <row r="1928" ht="15.75" customHeight="1" x14ac:dyDescent="0.25"/>
    <row r="1929" ht="15.75" customHeight="1" x14ac:dyDescent="0.25"/>
    <row r="1930" ht="15.75" customHeight="1" x14ac:dyDescent="0.25"/>
    <row r="1931" ht="15.75" customHeight="1" x14ac:dyDescent="0.25"/>
    <row r="1932" ht="15.75" customHeight="1" x14ac:dyDescent="0.25"/>
    <row r="1933" ht="15.75" customHeight="1" x14ac:dyDescent="0.25"/>
    <row r="1934" ht="15.75" customHeight="1" x14ac:dyDescent="0.25"/>
    <row r="1935" ht="15.75" customHeight="1" x14ac:dyDescent="0.25"/>
    <row r="1936" ht="15.75" customHeight="1" x14ac:dyDescent="0.25"/>
    <row r="1937" ht="15.75" customHeight="1" x14ac:dyDescent="0.25"/>
    <row r="1938" ht="15.75" customHeight="1" x14ac:dyDescent="0.25"/>
    <row r="1939" ht="15.75" customHeight="1" x14ac:dyDescent="0.25"/>
    <row r="1940" ht="15.75" customHeight="1" x14ac:dyDescent="0.25"/>
    <row r="1941" ht="15.75" customHeight="1" x14ac:dyDescent="0.25"/>
    <row r="1942" ht="15.75" customHeight="1" x14ac:dyDescent="0.25"/>
    <row r="1943" ht="15.75" customHeight="1" x14ac:dyDescent="0.25"/>
    <row r="1944" ht="15.75" customHeight="1" x14ac:dyDescent="0.25"/>
    <row r="1945" ht="15.75" customHeight="1" x14ac:dyDescent="0.25"/>
    <row r="1946" ht="15.75" customHeight="1" x14ac:dyDescent="0.25"/>
    <row r="1947" ht="15.75" customHeight="1" x14ac:dyDescent="0.25"/>
    <row r="1948" ht="15.75" customHeight="1" x14ac:dyDescent="0.25"/>
    <row r="1949" ht="15.75" customHeight="1" x14ac:dyDescent="0.25"/>
    <row r="1950" ht="15.75" customHeight="1" x14ac:dyDescent="0.25"/>
    <row r="1951" ht="15.75" customHeight="1" x14ac:dyDescent="0.25"/>
    <row r="1952" ht="15.75" customHeight="1" x14ac:dyDescent="0.25"/>
    <row r="1953" ht="15.75" customHeight="1" x14ac:dyDescent="0.25"/>
    <row r="1954" ht="15.75" customHeight="1" x14ac:dyDescent="0.25"/>
    <row r="1955" ht="15.75" customHeight="1" x14ac:dyDescent="0.25"/>
    <row r="1956" ht="15.75" customHeight="1" x14ac:dyDescent="0.25"/>
    <row r="1957" ht="15.75" customHeight="1" x14ac:dyDescent="0.25"/>
    <row r="1958" ht="15.75" customHeight="1" x14ac:dyDescent="0.25"/>
    <row r="1959" ht="15.75" customHeight="1" x14ac:dyDescent="0.25"/>
    <row r="1960" ht="15.75" customHeight="1" x14ac:dyDescent="0.25"/>
    <row r="1961" ht="15.75" customHeight="1" x14ac:dyDescent="0.25"/>
    <row r="1962" ht="15.75" customHeight="1" x14ac:dyDescent="0.25"/>
    <row r="1963" ht="15.75" customHeight="1" x14ac:dyDescent="0.25"/>
    <row r="1964" ht="15.75" customHeight="1" x14ac:dyDescent="0.25"/>
    <row r="1965" ht="15.75" customHeight="1" x14ac:dyDescent="0.25"/>
    <row r="1966" ht="15.75" customHeight="1" x14ac:dyDescent="0.25"/>
    <row r="1967" ht="15.75" customHeight="1" x14ac:dyDescent="0.25"/>
    <row r="1968" ht="15.75" customHeight="1" x14ac:dyDescent="0.25"/>
    <row r="1969" ht="15.75" customHeight="1" x14ac:dyDescent="0.25"/>
    <row r="1970" ht="15.75" customHeight="1" x14ac:dyDescent="0.25"/>
    <row r="1971" ht="15.75" customHeight="1" x14ac:dyDescent="0.25"/>
    <row r="1972" ht="15.75" customHeight="1" x14ac:dyDescent="0.25"/>
    <row r="1973" ht="15.75" customHeight="1" x14ac:dyDescent="0.25"/>
    <row r="1974" ht="15.75" customHeight="1" x14ac:dyDescent="0.25"/>
    <row r="1975" ht="15.75" customHeight="1" x14ac:dyDescent="0.25"/>
    <row r="1976" ht="15.75" customHeight="1" x14ac:dyDescent="0.25"/>
    <row r="1977" ht="15.75" customHeight="1" x14ac:dyDescent="0.25"/>
    <row r="1978" ht="15.75" customHeight="1" x14ac:dyDescent="0.25"/>
    <row r="1979" ht="15.75" customHeight="1" x14ac:dyDescent="0.25"/>
    <row r="1980" ht="15.75" customHeight="1" x14ac:dyDescent="0.25"/>
    <row r="1981" ht="15.75" customHeight="1" x14ac:dyDescent="0.25"/>
    <row r="1982" ht="15.75" customHeight="1" x14ac:dyDescent="0.25"/>
    <row r="1983" ht="15.75" customHeight="1" x14ac:dyDescent="0.25"/>
    <row r="1984" ht="15.75" customHeight="1" x14ac:dyDescent="0.25"/>
    <row r="1985" ht="15.75" customHeight="1" x14ac:dyDescent="0.25"/>
    <row r="1986" ht="15.75" customHeight="1" x14ac:dyDescent="0.25"/>
    <row r="1987" ht="15.75" customHeight="1" x14ac:dyDescent="0.25"/>
    <row r="1988" ht="15.75" customHeight="1" x14ac:dyDescent="0.25"/>
    <row r="1989" ht="15.75" customHeight="1" x14ac:dyDescent="0.25"/>
    <row r="1990" ht="15.75" customHeight="1" x14ac:dyDescent="0.25"/>
    <row r="1991" ht="15.75" customHeight="1" x14ac:dyDescent="0.25"/>
    <row r="1992" ht="15.75" customHeight="1" x14ac:dyDescent="0.25"/>
    <row r="1993" ht="15.75" customHeight="1" x14ac:dyDescent="0.25"/>
    <row r="1994" ht="15.75" customHeight="1" x14ac:dyDescent="0.25"/>
    <row r="1995" ht="15.75" customHeight="1" x14ac:dyDescent="0.25"/>
    <row r="1996" ht="15.75" customHeight="1" x14ac:dyDescent="0.25"/>
    <row r="1997" ht="15.75" customHeight="1" x14ac:dyDescent="0.25"/>
    <row r="1998" ht="15.75" customHeight="1" x14ac:dyDescent="0.25"/>
    <row r="1999" ht="15.75" customHeight="1" x14ac:dyDescent="0.25"/>
    <row r="2000" ht="15.75" customHeight="1" x14ac:dyDescent="0.25"/>
  </sheetData>
  <autoFilter ref="A1:CL2000" xr:uid="{00000000-0009-0000-0000-000008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Inventory</vt:lpstr>
      <vt:lpstr>Sheet1</vt:lpstr>
      <vt:lpstr>Input</vt:lpstr>
      <vt:lpstr>View_Print</vt:lpstr>
      <vt:lpstr>Log</vt:lpstr>
      <vt:lpstr>Receipt</vt:lpstr>
      <vt:lpstr>Packing Slip</vt:lpstr>
      <vt:lpstr>Update</vt:lpstr>
      <vt:lpstr>contacts</vt:lpstr>
      <vt:lpstr>Address</vt:lpstr>
      <vt:lpstr>NewContact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Northway</dc:creator>
  <cp:lastModifiedBy>Dan Northway</cp:lastModifiedBy>
  <dcterms:created xsi:type="dcterms:W3CDTF">2025-03-02T22:31:02Z</dcterms:created>
  <dcterms:modified xsi:type="dcterms:W3CDTF">2025-03-02T22:31:02Z</dcterms:modified>
</cp:coreProperties>
</file>