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ntacts" sheetId="2" r:id="rId5"/>
    <sheet state="visible" name="Address" sheetId="3" r:id="rId6"/>
    <sheet state="visible" name="Input" sheetId="4" r:id="rId7"/>
    <sheet state="visible" name="View_Print" sheetId="5" r:id="rId8"/>
    <sheet state="visible" name="Log" sheetId="6" r:id="rId9"/>
    <sheet state="visible" name="Update" sheetId="7" r:id="rId10"/>
    <sheet state="visible" name="Data" sheetId="8" r:id="rId11"/>
    <sheet state="visible" name="NewContact" sheetId="9" r:id="rId12"/>
  </sheets>
  <definedNames>
    <definedName hidden="1" localSheetId="1" name="_xlnm._FilterDatabase">contacts!$A$1:$CL$2000</definedName>
    <definedName hidden="1" localSheetId="5" name="_xlnm._FilterDatabase">Log!$A$9:$O$10</definedName>
  </definedNames>
  <calcPr/>
</workbook>
</file>

<file path=xl/sharedStrings.xml><?xml version="1.0" encoding="utf-8"?>
<sst xmlns="http://schemas.openxmlformats.org/spreadsheetml/2006/main" count="137" uniqueCount="80">
  <si>
    <t>Your Company Name</t>
  </si>
  <si>
    <t>Address</t>
  </si>
  <si>
    <t>City, State Zip</t>
  </si>
  <si>
    <t>PURCHASE ORDER NUMBER:</t>
  </si>
  <si>
    <t>JOB/PHASE NUMBER:</t>
  </si>
  <si>
    <t>To:</t>
  </si>
  <si>
    <t>Company</t>
  </si>
  <si>
    <t>Ship To:</t>
  </si>
  <si>
    <t>Attn:</t>
  </si>
  <si>
    <t>Delivery-Site Phone:</t>
  </si>
  <si>
    <t>555-5555</t>
  </si>
  <si>
    <t>Site Contact:</t>
  </si>
  <si>
    <t>Joe Blow</t>
  </si>
  <si>
    <t>Phone:</t>
  </si>
  <si>
    <t>Fax:</t>
  </si>
  <si>
    <t>Email:</t>
  </si>
  <si>
    <t>Ship VIA:</t>
  </si>
  <si>
    <t>Best Route</t>
  </si>
  <si>
    <t>Send Invoices To:</t>
  </si>
  <si>
    <t>Delivery Required By:</t>
  </si>
  <si>
    <t>F.O.B.:</t>
  </si>
  <si>
    <t>Delivery Site</t>
  </si>
  <si>
    <t>SALES TAX EXEMPT:</t>
  </si>
  <si>
    <t>YES</t>
  </si>
  <si>
    <t>DESCRIPTION OF MATERIALS</t>
  </si>
  <si>
    <t>Unit Price</t>
  </si>
  <si>
    <t>Quantity</t>
  </si>
  <si>
    <t>Amount</t>
  </si>
  <si>
    <t>PROJECT:</t>
  </si>
  <si>
    <t>Project Name</t>
  </si>
  <si>
    <t>Fabricate and furnish the following materials per the plans and specifications prepared by</t>
  </si>
  <si>
    <t>A/E Name</t>
  </si>
  <si>
    <t>dated --/--/---- and all applicable addenda and correspondence</t>
  </si>
  <si>
    <t>Subtotal</t>
  </si>
  <si>
    <t>EXCLUSIONS:</t>
  </si>
  <si>
    <t>none</t>
  </si>
  <si>
    <t>GRAND TOTAL:</t>
  </si>
  <si>
    <t>Purchase Order Number must appear on all invoices, shipments, and correspondence</t>
  </si>
  <si>
    <t>See attached sheet for additional terms and conditions of this offer</t>
  </si>
  <si>
    <t>Attachment Link:</t>
  </si>
  <si>
    <t>Payment Terms: Reference contract between the owner and</t>
  </si>
  <si>
    <t>Vendor is to supply a minimum of 24 hours advance notice of shipment of material</t>
  </si>
  <si>
    <t>Acknowledged By:</t>
  </si>
  <si>
    <t>Originated By:</t>
  </si>
  <si>
    <t>Vendor:</t>
  </si>
  <si>
    <t>Date Signed:</t>
  </si>
  <si>
    <t>Date of Order</t>
  </si>
  <si>
    <t>IMPORTANT: THIS OFFER DOES NOT BECOME AN ORDER UNTIL ALL COPIES ARE SIGNED AND BOTH COPIES ARE RETURNED TO THIS OFFICE.</t>
  </si>
  <si>
    <t>First Name</t>
  </si>
  <si>
    <t>Middle Name</t>
  </si>
  <si>
    <t>Last Name</t>
  </si>
  <si>
    <t>Title</t>
  </si>
  <si>
    <t>E-mail Address</t>
  </si>
  <si>
    <t>Home Phone</t>
  </si>
  <si>
    <t>Mobile Phone</t>
  </si>
  <si>
    <t>Home Street</t>
  </si>
  <si>
    <t>Home City</t>
  </si>
  <si>
    <t>Home State</t>
  </si>
  <si>
    <t>Home Postal Code</t>
  </si>
  <si>
    <t>Business Phone</t>
  </si>
  <si>
    <t>Business Fax</t>
  </si>
  <si>
    <t>Business Street</t>
  </si>
  <si>
    <t>Business City</t>
  </si>
  <si>
    <t>Business State</t>
  </si>
  <si>
    <t>Business Postal Code</t>
  </si>
  <si>
    <t>Other Street</t>
  </si>
  <si>
    <t>Other City</t>
  </si>
  <si>
    <t>Other State</t>
  </si>
  <si>
    <t>Other Postal Code</t>
  </si>
  <si>
    <t>Target Cell on Sheet1</t>
  </si>
  <si>
    <t>Vlookup by Name</t>
  </si>
  <si>
    <t>Xlookup by Company</t>
  </si>
  <si>
    <t>Log 9</t>
  </si>
  <si>
    <t>Log 10</t>
  </si>
  <si>
    <t>Log 11</t>
  </si>
  <si>
    <t>Log 12</t>
  </si>
  <si>
    <t>Update 3</t>
  </si>
  <si>
    <t>Purchase Order Log</t>
  </si>
  <si>
    <t>Date</t>
  </si>
  <si>
    <t>Enter information and select New Contact.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</si>
</sst>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20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b/>
      <color rgb="FFFF0000"/>
      <name val="Arial"/>
      <scheme val="minor"/>
    </font>
    <font>
      <b/>
      <u/>
      <sz val="16.0"/>
      <color rgb="FFFF0000"/>
    </font>
    <font>
      <b/>
      <sz val="14.0"/>
      <color theme="1"/>
      <name val="Arial"/>
      <scheme val="minor"/>
    </font>
    <font>
      <b/>
      <u/>
      <sz val="14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A4C2F4"/>
        <bgColor rgb="FFA4C2F4"/>
      </patternFill>
    </fill>
    <fill>
      <patternFill patternType="solid">
        <fgColor rgb="FFF3F3F3"/>
        <bgColor rgb="FFF3F3F3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5" fillId="0" fontId="2" numFmtId="0" xfId="0" applyBorder="1" applyFont="1"/>
    <xf borderId="6" fillId="2" fontId="4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4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4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readingOrder="0"/>
    </xf>
    <xf borderId="9" fillId="0" fontId="4" numFmtId="0" xfId="0" applyBorder="1" applyFont="1"/>
    <xf borderId="10" fillId="0" fontId="5" numFmtId="0" xfId="0" applyBorder="1" applyFont="1"/>
    <xf borderId="10" fillId="0" fontId="2" numFmtId="0" xfId="0" applyBorder="1" applyFont="1"/>
    <xf borderId="11" fillId="0" fontId="4" numFmtId="0" xfId="0" applyBorder="1" applyFont="1"/>
    <xf borderId="0" fillId="0" fontId="4" numFmtId="14" xfId="0" applyFont="1" applyNumberFormat="1"/>
    <xf borderId="6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6" fillId="0" fontId="5" numFmtId="0" xfId="0" applyAlignment="1" applyBorder="1" applyFont="1">
      <alignment readingOrder="0"/>
    </xf>
    <xf borderId="12" fillId="0" fontId="5" numFmtId="0" xfId="0" applyAlignment="1" applyBorder="1" applyFont="1">
      <alignment readingOrder="0"/>
    </xf>
    <xf borderId="6" fillId="0" fontId="6" numFmtId="0" xfId="0" applyAlignment="1" applyBorder="1" applyFont="1">
      <alignment readingOrder="0"/>
    </xf>
    <xf borderId="13" fillId="0" fontId="4" numFmtId="0" xfId="0" applyBorder="1" applyFont="1"/>
    <xf borderId="14" fillId="0" fontId="4" numFmtId="0" xfId="0" applyBorder="1" applyFont="1"/>
    <xf borderId="6" fillId="0" fontId="5" numFmtId="0" xfId="0" applyBorder="1" applyFont="1"/>
    <xf borderId="12" fillId="0" fontId="4" numFmtId="0" xfId="0" applyBorder="1" applyFont="1"/>
    <xf borderId="14" fillId="0" fontId="5" numFmtId="0" xfId="0" applyBorder="1" applyFont="1"/>
    <xf borderId="15" fillId="0" fontId="4" numFmtId="0" xfId="0" applyBorder="1" applyFont="1"/>
    <xf borderId="5" fillId="0" fontId="5" numFmtId="0" xfId="0" applyBorder="1" applyFont="1"/>
    <xf borderId="0" fillId="0" fontId="4" numFmtId="0" xfId="0" applyFont="1"/>
    <xf borderId="6" fillId="0" fontId="4" numFmtId="0" xfId="0" applyBorder="1" applyFont="1"/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7" numFmtId="0" xfId="0" applyAlignment="1" applyFont="1">
      <alignment readingOrder="0"/>
    </xf>
    <xf borderId="12" fillId="4" fontId="4" numFmtId="0" xfId="0" applyAlignment="1" applyBorder="1" applyFill="1" applyFont="1">
      <alignment readingOrder="0"/>
    </xf>
    <xf borderId="0" fillId="4" fontId="8" numFmtId="0" xfId="0" applyAlignment="1" applyFont="1">
      <alignment horizontal="center" vertical="center"/>
    </xf>
    <xf borderId="12" fillId="0" fontId="4" numFmtId="14" xfId="0" applyBorder="1" applyFont="1" applyNumberFormat="1"/>
    <xf borderId="0" fillId="4" fontId="4" numFmtId="0" xfId="0" applyFont="1"/>
    <xf borderId="0" fillId="0" fontId="9" numFmtId="0" xfId="0" applyAlignment="1" applyFont="1">
      <alignment readingOrder="0"/>
    </xf>
    <xf borderId="10" fillId="5" fontId="4" numFmtId="0" xfId="0" applyBorder="1" applyFill="1" applyFont="1"/>
    <xf borderId="10" fillId="0" fontId="4" numFmtId="0" xfId="0" applyBorder="1" applyFont="1"/>
    <xf borderId="0" fillId="5" fontId="4" numFmtId="0" xfId="0" applyFont="1"/>
    <xf borderId="0" fillId="0" fontId="10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38"/>
    <col customWidth="1" min="6" max="6" width="16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</row>
    <row r="3">
      <c r="A3" s="2" t="s">
        <v>0</v>
      </c>
      <c r="B3" s="3"/>
      <c r="C3" s="3"/>
      <c r="D3" s="3"/>
      <c r="E3" s="3"/>
      <c r="F3" s="3"/>
      <c r="G3" s="3"/>
      <c r="H3" s="3"/>
      <c r="I3" s="3"/>
      <c r="J3" s="4"/>
    </row>
    <row r="4">
      <c r="A4" s="5" t="s">
        <v>1</v>
      </c>
      <c r="F4" s="6" t="s">
        <v>2</v>
      </c>
      <c r="J4" s="7"/>
    </row>
    <row r="5">
      <c r="A5" s="8"/>
      <c r="B5" s="9"/>
      <c r="C5" s="9"/>
      <c r="D5" s="9"/>
      <c r="E5" s="9"/>
      <c r="F5" s="9"/>
      <c r="G5" s="9"/>
      <c r="H5" s="9"/>
      <c r="I5" s="9"/>
      <c r="J5" s="10"/>
    </row>
    <row r="6">
      <c r="A6" s="11" t="s">
        <v>3</v>
      </c>
      <c r="F6" s="12" t="s">
        <v>4</v>
      </c>
      <c r="G6" s="3"/>
      <c r="H6" s="13"/>
      <c r="I6" s="13"/>
      <c r="J6" s="14"/>
    </row>
    <row r="7">
      <c r="A7" s="15"/>
      <c r="F7" s="15"/>
      <c r="J7" s="16"/>
    </row>
    <row r="8">
      <c r="A8" s="17" t="s">
        <v>5</v>
      </c>
      <c r="B8" s="18" t="s">
        <v>6</v>
      </c>
      <c r="F8" s="17" t="s">
        <v>7</v>
      </c>
      <c r="G8" s="18" t="s">
        <v>6</v>
      </c>
      <c r="J8" s="16"/>
    </row>
    <row r="9">
      <c r="A9" s="15"/>
      <c r="B9" s="19" t="str">
        <f t="array" ref="B9">IFERROR(INDEX(contacts!AZ:AZ, MATCH(B8, contacts!AR:AR, 0)), "Not Found")</f>
        <v>Business Street</v>
      </c>
      <c r="F9" s="15"/>
      <c r="G9" s="19" t="str">
        <f t="array" ref="G9">IFERROR(INDEX(contacts!AZ:AZ, MATCH(G8, contacts!AR:AR, 0)), "Not Found")</f>
        <v>Business Street</v>
      </c>
      <c r="J9" s="16"/>
    </row>
    <row r="10">
      <c r="A10" s="15"/>
      <c r="B10" s="19" t="str">
        <f t="array" ref="B10">IFERROR(INDEX(contacts!BD:BD, MATCH(B8, contacts!AR:AR, 0)), "") &amp; ", " &amp; IFERROR(INDEX(contacts!BE:BE, MATCH(B8, contacts!AR:AR, 0)), "") &amp; " " &amp; IFERROR(INDEX(contacts!BF:BF, MATCH(B8, contacts!AR:AR, 0)), "Not Found")</f>
        <v>Business City, Business State Business Postal Code</v>
      </c>
      <c r="F10" s="15"/>
      <c r="G10" s="19" t="str">
        <f t="array" ref="G10">IFERROR(INDEX(contacts!BD:BD, MATCH(G8, contacts!AR:AR, 0)), "") &amp; ", " &amp; IFERROR(INDEX(contacts!BE:BE, MATCH(G8, contacts!AR:AR, 0)), "") &amp; " " &amp; IFERROR(INDEX(contacts!BF:BF, MATCH(G8, contacts!AR:AR, 0)), "Not Found")</f>
        <v>Business City, Business State Business Postal Code</v>
      </c>
      <c r="J10" s="16"/>
    </row>
    <row r="11">
      <c r="A11" s="17" t="s">
        <v>8</v>
      </c>
      <c r="B11" s="19" t="str">
        <f t="array" ref="B11">IFERROR(INDEX(contacts!A:A, MATCH(B8, contacts!AR:AR, 0)), "Not Found")</f>
        <v>First Name Middle Name Last Name</v>
      </c>
      <c r="F11" s="15"/>
      <c r="J11" s="16"/>
    </row>
    <row r="12">
      <c r="A12" s="15"/>
      <c r="F12" s="17" t="s">
        <v>9</v>
      </c>
      <c r="G12" s="18" t="s">
        <v>10</v>
      </c>
      <c r="J12" s="16"/>
    </row>
    <row r="13">
      <c r="A13" s="15"/>
      <c r="F13" s="17" t="s">
        <v>11</v>
      </c>
      <c r="G13" s="18" t="s">
        <v>12</v>
      </c>
      <c r="J13" s="16"/>
    </row>
    <row r="14">
      <c r="A14" s="17" t="s">
        <v>13</v>
      </c>
      <c r="B14" s="19" t="str">
        <f t="array" ref="B14">IFERROR(INDEX(contacts!AN:AN, MATCH(B8, contacts!AR:AR, 0)), "Not Found")</f>
        <v>Business Phone</v>
      </c>
      <c r="F14" s="15"/>
      <c r="J14" s="16"/>
    </row>
    <row r="15">
      <c r="A15" s="17" t="s">
        <v>14</v>
      </c>
      <c r="B15" s="19" t="str">
        <f t="array" ref="B15">IFERROR(INDEX(contacts!AP:AP, MATCH(B8, contacts!AR:AR, 0)), "Not Found")</f>
        <v>Business Fax</v>
      </c>
      <c r="F15" s="15"/>
      <c r="J15" s="16"/>
    </row>
    <row r="16">
      <c r="A16" s="17" t="s">
        <v>15</v>
      </c>
      <c r="B16" s="19" t="str">
        <f t="array" ref="B16">IFERROR(INDEX(contacts!P:P, MATCH(B8, contacts!AR:AR, 0)), "Not Found")</f>
        <v>E-mail Address</v>
      </c>
      <c r="F16" s="15"/>
      <c r="J16" s="16"/>
    </row>
    <row r="17">
      <c r="A17" s="17" t="s">
        <v>16</v>
      </c>
      <c r="B17" s="20" t="s">
        <v>17</v>
      </c>
      <c r="F17" s="17" t="s">
        <v>18</v>
      </c>
      <c r="G17" s="18" t="s">
        <v>6</v>
      </c>
      <c r="J17" s="16"/>
    </row>
    <row r="18">
      <c r="A18" s="15"/>
      <c r="F18" s="15"/>
      <c r="G18" s="19" t="str">
        <f t="array" ref="G18">IFERROR(INDEX(contacts!AZ:AZ, MATCH(G17, contacts!AR:AR, 0)), "Not Found")</f>
        <v>Business Street</v>
      </c>
      <c r="J18" s="16"/>
    </row>
    <row r="19">
      <c r="A19" s="15"/>
      <c r="F19" s="21"/>
      <c r="G19" s="22" t="str">
        <f t="array" ref="G19">IFERROR(INDEX(contacts!BD:BD, MATCH(G17, contacts!AR:AR, 0)), "") &amp; ", " &amp; IFERROR(INDEX(contacts!BE:BE, MATCH(G17, contacts!AR:AR, 0)), "") &amp; " " &amp; IFERROR(INDEX(contacts!BF:BF, MATCH(G17, contacts!AR:AR, 0)), "Not Found")</f>
        <v>Business City, Business State Business Postal Code</v>
      </c>
      <c r="H19" s="23"/>
      <c r="I19" s="23"/>
      <c r="J19" s="24"/>
    </row>
    <row r="20">
      <c r="A20" s="17" t="s">
        <v>19</v>
      </c>
      <c r="B20" s="25">
        <f>TODAY()</f>
        <v>45747</v>
      </c>
      <c r="E20" s="20" t="s">
        <v>20</v>
      </c>
      <c r="F20" s="26" t="s">
        <v>21</v>
      </c>
      <c r="G20" s="10"/>
      <c r="H20" s="26" t="s">
        <v>22</v>
      </c>
      <c r="I20" s="10"/>
      <c r="J20" s="27" t="s">
        <v>23</v>
      </c>
    </row>
    <row r="2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>
      <c r="A22" s="28" t="s">
        <v>24</v>
      </c>
      <c r="B22" s="9"/>
      <c r="C22" s="9"/>
      <c r="D22" s="9"/>
      <c r="E22" s="9"/>
      <c r="F22" s="9"/>
      <c r="G22" s="10"/>
      <c r="H22" s="29" t="s">
        <v>25</v>
      </c>
      <c r="I22" s="29" t="s">
        <v>26</v>
      </c>
      <c r="J22" s="29" t="s">
        <v>27</v>
      </c>
    </row>
    <row r="23">
      <c r="A23" s="27" t="s">
        <v>28</v>
      </c>
      <c r="B23" s="30" t="s">
        <v>29</v>
      </c>
      <c r="C23" s="9"/>
      <c r="D23" s="9"/>
      <c r="E23" s="9"/>
      <c r="F23" s="9"/>
      <c r="G23" s="10"/>
      <c r="J23" s="31"/>
    </row>
    <row r="24">
      <c r="A24" s="26" t="s">
        <v>30</v>
      </c>
      <c r="B24" s="9"/>
      <c r="C24" s="9"/>
      <c r="D24" s="9"/>
      <c r="E24" s="9"/>
      <c r="F24" s="9"/>
      <c r="G24" s="10"/>
      <c r="J24" s="32"/>
    </row>
    <row r="25">
      <c r="A25" s="28" t="s">
        <v>31</v>
      </c>
      <c r="B25" s="9"/>
      <c r="C25" s="9"/>
      <c r="D25" s="9"/>
      <c r="E25" s="9"/>
      <c r="F25" s="9"/>
      <c r="G25" s="10"/>
      <c r="J25" s="32"/>
    </row>
    <row r="26">
      <c r="A26" s="30" t="s">
        <v>32</v>
      </c>
      <c r="B26" s="9"/>
      <c r="C26" s="9"/>
      <c r="D26" s="9"/>
      <c r="E26" s="9"/>
      <c r="F26" s="9"/>
      <c r="G26" s="10"/>
      <c r="J26" s="32"/>
    </row>
    <row r="27">
      <c r="A27" s="33"/>
      <c r="B27" s="9"/>
      <c r="C27" s="9"/>
      <c r="D27" s="9"/>
      <c r="E27" s="9"/>
      <c r="F27" s="9"/>
      <c r="G27" s="10"/>
      <c r="H27" s="34"/>
      <c r="I27" s="34"/>
      <c r="J27" s="32">
        <f t="shared" ref="J27:J33" si="1">H27*I27</f>
        <v>0</v>
      </c>
    </row>
    <row r="28">
      <c r="A28" s="33"/>
      <c r="B28" s="9"/>
      <c r="C28" s="9"/>
      <c r="D28" s="9"/>
      <c r="E28" s="9"/>
      <c r="F28" s="9"/>
      <c r="G28" s="10"/>
      <c r="H28" s="34"/>
      <c r="I28" s="34"/>
      <c r="J28" s="32">
        <f t="shared" si="1"/>
        <v>0</v>
      </c>
    </row>
    <row r="29">
      <c r="A29" s="33"/>
      <c r="B29" s="9"/>
      <c r="C29" s="9"/>
      <c r="D29" s="9"/>
      <c r="E29" s="9"/>
      <c r="F29" s="9"/>
      <c r="G29" s="10"/>
      <c r="H29" s="34"/>
      <c r="I29" s="34"/>
      <c r="J29" s="32">
        <f t="shared" si="1"/>
        <v>0</v>
      </c>
    </row>
    <row r="30">
      <c r="A30" s="33"/>
      <c r="B30" s="9"/>
      <c r="C30" s="9"/>
      <c r="D30" s="9"/>
      <c r="E30" s="9"/>
      <c r="F30" s="9"/>
      <c r="G30" s="10"/>
      <c r="H30" s="34"/>
      <c r="I30" s="34"/>
      <c r="J30" s="32">
        <f t="shared" si="1"/>
        <v>0</v>
      </c>
    </row>
    <row r="31">
      <c r="A31" s="33"/>
      <c r="B31" s="9"/>
      <c r="C31" s="9"/>
      <c r="D31" s="9"/>
      <c r="E31" s="9"/>
      <c r="F31" s="9"/>
      <c r="G31" s="10"/>
      <c r="H31" s="34"/>
      <c r="I31" s="34"/>
      <c r="J31" s="32">
        <f t="shared" si="1"/>
        <v>0</v>
      </c>
    </row>
    <row r="32">
      <c r="A32" s="33"/>
      <c r="B32" s="9"/>
      <c r="C32" s="9"/>
      <c r="D32" s="9"/>
      <c r="E32" s="9"/>
      <c r="F32" s="9"/>
      <c r="G32" s="10"/>
      <c r="H32" s="34"/>
      <c r="I32" s="34"/>
      <c r="J32" s="32">
        <f t="shared" si="1"/>
        <v>0</v>
      </c>
    </row>
    <row r="33">
      <c r="A33" s="33"/>
      <c r="B33" s="9"/>
      <c r="C33" s="9"/>
      <c r="D33" s="9"/>
      <c r="E33" s="9"/>
      <c r="F33" s="9"/>
      <c r="G33" s="10"/>
      <c r="H33" s="34"/>
      <c r="I33" s="34"/>
      <c r="J33" s="32">
        <f t="shared" si="1"/>
        <v>0</v>
      </c>
    </row>
    <row r="34">
      <c r="A34" s="15"/>
      <c r="G34" s="18" t="s">
        <v>33</v>
      </c>
      <c r="H34" s="31"/>
      <c r="I34" s="31"/>
      <c r="J34" s="35">
        <f>SUM(J27:J33)</f>
        <v>0</v>
      </c>
    </row>
    <row r="35">
      <c r="A35" s="17" t="s">
        <v>34</v>
      </c>
      <c r="H35" s="32"/>
      <c r="I35" s="32"/>
      <c r="J35" s="32"/>
    </row>
    <row r="36">
      <c r="A36" s="15"/>
      <c r="B36" s="20" t="s">
        <v>35</v>
      </c>
      <c r="H36" s="36"/>
      <c r="I36" s="36"/>
      <c r="J36" s="36"/>
    </row>
    <row r="37">
      <c r="A37" s="15"/>
      <c r="H37" s="18" t="s">
        <v>36</v>
      </c>
      <c r="J37" s="37">
        <f>SUM(J34)</f>
        <v>0</v>
      </c>
    </row>
    <row r="38">
      <c r="A38" s="26" t="s">
        <v>37</v>
      </c>
      <c r="B38" s="9"/>
      <c r="C38" s="9"/>
      <c r="D38" s="9"/>
      <c r="E38" s="9"/>
      <c r="F38" s="9"/>
      <c r="G38" s="9"/>
      <c r="H38" s="9"/>
      <c r="I38" s="9"/>
      <c r="J38" s="10"/>
    </row>
    <row r="39">
      <c r="A39" s="17" t="s">
        <v>38</v>
      </c>
      <c r="F39" s="20" t="s">
        <v>39</v>
      </c>
      <c r="G39" s="38"/>
      <c r="J39" s="7"/>
    </row>
    <row r="40">
      <c r="A40" s="17" t="s">
        <v>40</v>
      </c>
      <c r="F40" s="20" t="s">
        <v>0</v>
      </c>
      <c r="J40" s="7"/>
    </row>
    <row r="41">
      <c r="A41" s="39"/>
      <c r="B41" s="9"/>
      <c r="C41" s="9"/>
      <c r="D41" s="9"/>
      <c r="E41" s="9"/>
      <c r="F41" s="9"/>
      <c r="G41" s="9"/>
      <c r="H41" s="9"/>
      <c r="I41" s="9"/>
      <c r="J41" s="10"/>
    </row>
    <row r="42">
      <c r="A42" s="17" t="s">
        <v>41</v>
      </c>
      <c r="J42" s="7"/>
    </row>
    <row r="43">
      <c r="A43" s="15"/>
      <c r="J43" s="16"/>
    </row>
    <row r="44">
      <c r="A44" s="17" t="s">
        <v>42</v>
      </c>
      <c r="F44" s="20" t="s">
        <v>43</v>
      </c>
      <c r="G44" s="38"/>
      <c r="J44" s="7"/>
    </row>
    <row r="45">
      <c r="A45" s="17" t="s">
        <v>44</v>
      </c>
      <c r="B45" s="20" t="s">
        <v>6</v>
      </c>
      <c r="J45" s="16"/>
    </row>
    <row r="46">
      <c r="A46" s="15"/>
      <c r="J46" s="16"/>
    </row>
    <row r="47">
      <c r="A47" s="17" t="s">
        <v>45</v>
      </c>
      <c r="F47" s="20" t="s">
        <v>46</v>
      </c>
      <c r="J47" s="16"/>
    </row>
    <row r="48">
      <c r="A48" s="26" t="s">
        <v>47</v>
      </c>
      <c r="B48" s="9"/>
      <c r="C48" s="9"/>
      <c r="D48" s="9"/>
      <c r="E48" s="9"/>
      <c r="F48" s="9"/>
      <c r="G48" s="9"/>
      <c r="H48" s="9"/>
      <c r="I48" s="9"/>
      <c r="J48" s="10"/>
    </row>
  </sheetData>
  <mergeCells count="49">
    <mergeCell ref="B8:D8"/>
    <mergeCell ref="G17:I17"/>
    <mergeCell ref="A3:J3"/>
    <mergeCell ref="A4:E4"/>
    <mergeCell ref="F4:J4"/>
    <mergeCell ref="A5:J5"/>
    <mergeCell ref="G13:I13"/>
    <mergeCell ref="G18:I18"/>
    <mergeCell ref="G19:I19"/>
    <mergeCell ref="F20:G20"/>
    <mergeCell ref="H20:I20"/>
    <mergeCell ref="A21:J21"/>
    <mergeCell ref="A22:G22"/>
    <mergeCell ref="B23:G23"/>
    <mergeCell ref="A31:G31"/>
    <mergeCell ref="A32:G32"/>
    <mergeCell ref="A33:G33"/>
    <mergeCell ref="B36:F37"/>
    <mergeCell ref="A38:J38"/>
    <mergeCell ref="A39:E39"/>
    <mergeCell ref="G39:J39"/>
    <mergeCell ref="B45:E45"/>
    <mergeCell ref="A48:J48"/>
    <mergeCell ref="A40:E40"/>
    <mergeCell ref="F40:J40"/>
    <mergeCell ref="A41:J41"/>
    <mergeCell ref="A42:J42"/>
    <mergeCell ref="A44:B44"/>
    <mergeCell ref="C44:E44"/>
    <mergeCell ref="G44:J44"/>
    <mergeCell ref="A6:B6"/>
    <mergeCell ref="F6:G6"/>
    <mergeCell ref="B9:D9"/>
    <mergeCell ref="B10:D10"/>
    <mergeCell ref="G8:I8"/>
    <mergeCell ref="G9:I9"/>
    <mergeCell ref="G10:I10"/>
    <mergeCell ref="G12:I12"/>
    <mergeCell ref="B11:D11"/>
    <mergeCell ref="B14:D14"/>
    <mergeCell ref="B15:D15"/>
    <mergeCell ref="B16:D16"/>
    <mergeCell ref="A24:G24"/>
    <mergeCell ref="A25:G25"/>
    <mergeCell ref="A26:G26"/>
    <mergeCell ref="A27:G27"/>
    <mergeCell ref="A28:G28"/>
    <mergeCell ref="A29:G29"/>
    <mergeCell ref="A30:G30"/>
  </mergeCells>
  <dataValidations>
    <dataValidation type="list" allowBlank="1" sqref="B8 G8 G17">
      <formula1>contacts!$AR:$AR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tr">
        <f>B1 &amp; " " &amp; C1 &amp; " " &amp; D1</f>
        <v>First Name Middle Name Last Name</v>
      </c>
      <c r="B1" s="40" t="s">
        <v>48</v>
      </c>
      <c r="C1" s="20" t="s">
        <v>49</v>
      </c>
      <c r="D1" s="20" t="s">
        <v>50</v>
      </c>
      <c r="E1" s="20" t="s">
        <v>51</v>
      </c>
      <c r="P1" s="20" t="s">
        <v>52</v>
      </c>
      <c r="T1" s="20" t="s">
        <v>53</v>
      </c>
      <c r="V1" s="20" t="s">
        <v>54</v>
      </c>
      <c r="Z1" s="20" t="s">
        <v>55</v>
      </c>
      <c r="AD1" s="20" t="s">
        <v>56</v>
      </c>
      <c r="AE1" s="20" t="s">
        <v>57</v>
      </c>
      <c r="AF1" s="20" t="s">
        <v>58</v>
      </c>
      <c r="AN1" s="20" t="s">
        <v>59</v>
      </c>
      <c r="AP1" s="20" t="s">
        <v>60</v>
      </c>
      <c r="AR1" s="20" t="s">
        <v>6</v>
      </c>
      <c r="AZ1" s="20" t="s">
        <v>61</v>
      </c>
      <c r="BD1" s="20" t="s">
        <v>62</v>
      </c>
      <c r="BE1" s="20" t="s">
        <v>63</v>
      </c>
      <c r="BF1" s="20" t="s">
        <v>64</v>
      </c>
      <c r="BK1" s="20" t="s">
        <v>65</v>
      </c>
      <c r="BO1" s="20" t="s">
        <v>66</v>
      </c>
      <c r="BP1" s="20" t="s">
        <v>67</v>
      </c>
      <c r="BQ1" s="20" t="s">
        <v>68</v>
      </c>
    </row>
  </sheetData>
  <autoFilter ref="$A$1:$CL$20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5" max="7" width="25.13"/>
  </cols>
  <sheetData>
    <row r="1">
      <c r="A1" s="19" t="str">
        <f>contacts!A1</f>
        <v>First Name Middle Name Last Name</v>
      </c>
      <c r="B1" s="41"/>
      <c r="E1" s="42" t="s">
        <v>69</v>
      </c>
      <c r="F1" s="41"/>
    </row>
    <row r="2">
      <c r="A2" s="19" t="str">
        <f>contacts!AR1</f>
        <v>Company</v>
      </c>
      <c r="B2" s="38" t="str">
        <f>VLOOKUP(B1, contacts!A:CJ, 44, FALSE)</f>
        <v>#N/A</v>
      </c>
      <c r="E2" s="19" t="str">
        <f>contacts!AR1</f>
        <v>Company</v>
      </c>
    </row>
    <row r="3">
      <c r="A3" s="19" t="str">
        <f>contacts!AZ1</f>
        <v>Business Street</v>
      </c>
      <c r="B3" s="38" t="str">
        <f>VLOOKUP(B1, contacts!A:CJ, 52, FALSE)</f>
        <v>#N/A</v>
      </c>
      <c r="E3" s="19" t="str">
        <f>contacts!AZ1</f>
        <v>Business Street</v>
      </c>
    </row>
    <row r="4">
      <c r="A4" s="19" t="str">
        <f>contacts!BD1</f>
        <v>Business City</v>
      </c>
      <c r="B4" s="38" t="str">
        <f>VLOOKUP(B1, contacts!A:CJ, 56, FALSE) &amp; ", " &amp; VLOOKUP(B1, contacts!A:CJ, 57, FALSE) &amp; "   " &amp; VLOOKUP(B1, contacts!A:CJ, 58, FALSE)</f>
        <v>#N/A</v>
      </c>
      <c r="E4" s="19" t="str">
        <f>contacts!BD1</f>
        <v>Business City</v>
      </c>
    </row>
    <row r="5">
      <c r="A5" s="19" t="str">
        <f>contacts!P1</f>
        <v>E-mail Address</v>
      </c>
      <c r="B5" s="38" t="str">
        <f>HYPERLINK(VLOOKUP(B1, contacts!A:CJ, 16, FALSE))</f>
        <v>#N/A</v>
      </c>
      <c r="E5" s="19" t="str">
        <f>contacts!P1</f>
        <v>E-mail Address</v>
      </c>
    </row>
    <row r="6">
      <c r="A6" s="19" t="str">
        <f>contacts!AN1</f>
        <v>Business Phone</v>
      </c>
      <c r="B6" s="38" t="str">
        <f>VLOOKUP(B1, contacts!A:CJ, 40, FALSE)</f>
        <v>#N/A</v>
      </c>
      <c r="E6" s="19" t="str">
        <f>contacts!AN1</f>
        <v>Business Phone</v>
      </c>
    </row>
    <row r="7">
      <c r="A7" s="19" t="str">
        <f>contacts!AP1</f>
        <v>Business Fax</v>
      </c>
      <c r="B7" s="38" t="str">
        <f>VLOOKUP(B1, contacts!A:CJ, 42, FALSE)</f>
        <v>#N/A</v>
      </c>
      <c r="E7" s="19" t="str">
        <f>contacts!AP1</f>
        <v>Business Fax</v>
      </c>
    </row>
    <row r="8">
      <c r="A8" s="19" t="str">
        <f>contacts!Z1</f>
        <v>Home Street</v>
      </c>
      <c r="B8" s="38" t="str">
        <f>VLOOKUP(B1, contacts!A:CJ, 26, FALSE)</f>
        <v>#N/A</v>
      </c>
      <c r="E8" s="19" t="str">
        <f>contacts!Z1</f>
        <v>Home Street</v>
      </c>
    </row>
    <row r="9">
      <c r="A9" s="19" t="str">
        <f>contacts!AD1</f>
        <v>Home City</v>
      </c>
      <c r="B9" s="38" t="str">
        <f>VLOOKUP(B1, contacts!A:CJ, 30, FALSE) &amp; ", " &amp; VLOOKUP(B1, contacts!A:CJ, 31, FALSE) &amp; "   " &amp; VLOOKUP(B1, contacts!A:CJ, 32, FALSE)</f>
        <v>#N/A</v>
      </c>
      <c r="E9" s="19" t="str">
        <f>contacts!AD1</f>
        <v>Home City</v>
      </c>
    </row>
    <row r="10">
      <c r="A10" s="19" t="str">
        <f>contacts!BK1</f>
        <v>Other Street</v>
      </c>
      <c r="B10" s="38" t="str">
        <f>VLOOKUP(B1, contacts!A:CJ, 63, FALSE)</f>
        <v>#N/A</v>
      </c>
      <c r="E10" s="19" t="str">
        <f>contacts!BK1</f>
        <v>Other Street</v>
      </c>
    </row>
    <row r="11">
      <c r="A11" s="19" t="str">
        <f>contacts!BO1</f>
        <v>Other City</v>
      </c>
      <c r="B11" s="38" t="str">
        <f>VLOOKUP(B1, contacts!A:CJ, 67, FALSE) &amp; ", " &amp; VLOOKUP(B1, contacts!A:CJ, 68, FALSE) &amp; "   " &amp; VLOOKUP(B1, contacts!A:CJ, 69, FALSE)</f>
        <v>#N/A</v>
      </c>
      <c r="E11" s="19" t="str">
        <f>contacts!BO1</f>
        <v>Other City</v>
      </c>
    </row>
    <row r="12">
      <c r="A12" s="19" t="str">
        <f>contacts!E1</f>
        <v>Title</v>
      </c>
      <c r="B12" s="38" t="str">
        <f>VLOOKUP(B1, contacts!A:CJ, 5, FALSE)</f>
        <v>#N/A</v>
      </c>
      <c r="E12" s="19" t="str">
        <f>contacts!E1</f>
        <v>Title</v>
      </c>
    </row>
    <row r="13">
      <c r="A13" s="19" t="str">
        <f>contacts!T1</f>
        <v>Home Phone</v>
      </c>
      <c r="B13" s="38" t="str">
        <f>VLOOKUP(B1, contacts!A:CJ, 20, FALSE)</f>
        <v>#N/A</v>
      </c>
      <c r="E13" s="19" t="str">
        <f>contacts!T1</f>
        <v>Home Phone</v>
      </c>
    </row>
    <row r="14">
      <c r="A14" s="19" t="str">
        <f>contacts!V1</f>
        <v>Mobile Phone</v>
      </c>
      <c r="B14" s="38" t="str">
        <f>VLOOKUP(B1, contacts!A:CJ, 22, FALSE)</f>
        <v>#N/A</v>
      </c>
      <c r="E14" s="19" t="str">
        <f>contacts!V1</f>
        <v>Mobile Phone</v>
      </c>
    </row>
    <row r="15">
      <c r="F15" s="20" t="s">
        <v>70</v>
      </c>
      <c r="G15" s="20" t="s">
        <v>71</v>
      </c>
    </row>
  </sheetData>
  <mergeCells count="1">
    <mergeCell ref="B1:D1"/>
  </mergeCells>
  <dataValidations>
    <dataValidation type="list" allowBlank="1" showErrorMessage="1" sqref="B1">
      <formula1>contacts!$A:$A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5" width="12.63"/>
    <col customWidth="1" min="6" max="6" width="16.38"/>
    <col customWidth="1" min="7" max="10" width="12.63"/>
  </cols>
  <sheetData>
    <row r="1">
      <c r="A1" s="43" t="str">
        <f>A6</f>
        <v>PURCHASE ORDER NUMBER:</v>
      </c>
      <c r="B1" s="43" t="str">
        <f>F6</f>
        <v>JOB/PHASE NUMBER:</v>
      </c>
      <c r="C1" s="43" t="str">
        <f>A8</f>
        <v>To:</v>
      </c>
      <c r="D1" s="43" t="str">
        <f>A20</f>
        <v>Delivery Required By:</v>
      </c>
      <c r="E1" s="43" t="str">
        <f>F47</f>
        <v>Date of Order</v>
      </c>
      <c r="F1" s="43" t="str">
        <f>H37</f>
        <v>GRAND TOTAL:</v>
      </c>
      <c r="G1" s="43" t="str">
        <f>A23</f>
        <v>PROJECT:</v>
      </c>
      <c r="H1" s="43" t="str">
        <f>F39</f>
        <v>Attachment Link:</v>
      </c>
      <c r="I1" s="43" t="s">
        <v>72</v>
      </c>
      <c r="J1" s="43" t="s">
        <v>73</v>
      </c>
      <c r="K1" s="43" t="s">
        <v>74</v>
      </c>
      <c r="L1" s="43" t="s">
        <v>75</v>
      </c>
      <c r="M1" s="43" t="str">
        <f>A44</f>
        <v>Acknowledged By:</v>
      </c>
      <c r="N1" s="43" t="str">
        <f>A47</f>
        <v>Date Signed:</v>
      </c>
      <c r="O1" s="43" t="s">
        <v>76</v>
      </c>
      <c r="P1" s="44" t="str">
        <f>HYPERLINK("https://datamateapp.github.io/help.html", "Help")</f>
        <v>Help</v>
      </c>
    </row>
    <row r="2">
      <c r="A2" s="34" t="str">
        <f>C6</f>
        <v/>
      </c>
      <c r="B2" s="34" t="str">
        <f>H6</f>
        <v/>
      </c>
      <c r="C2" s="34" t="str">
        <f>B8</f>
        <v>Company</v>
      </c>
      <c r="D2" s="45">
        <f>B20</f>
        <v>45747</v>
      </c>
      <c r="E2" s="34" t="str">
        <f>G47</f>
        <v/>
      </c>
      <c r="F2" s="34">
        <f>J37</f>
        <v>0</v>
      </c>
      <c r="G2" s="34" t="str">
        <f>B23</f>
        <v>Project Name</v>
      </c>
      <c r="H2" s="34" t="str">
        <f>G39</f>
        <v/>
      </c>
      <c r="I2" s="34"/>
      <c r="J2" s="34"/>
      <c r="K2" s="34"/>
      <c r="L2" s="34"/>
      <c r="M2" s="34"/>
      <c r="N2" s="34"/>
      <c r="O2" s="34"/>
    </row>
    <row r="3">
      <c r="A3" s="2" t="s">
        <v>0</v>
      </c>
      <c r="B3" s="3"/>
      <c r="C3" s="3"/>
      <c r="D3" s="3"/>
      <c r="E3" s="3"/>
      <c r="F3" s="3"/>
      <c r="G3" s="3"/>
      <c r="H3" s="3"/>
      <c r="I3" s="3"/>
      <c r="J3" s="4"/>
    </row>
    <row r="4">
      <c r="A4" s="5" t="s">
        <v>1</v>
      </c>
      <c r="F4" s="6" t="s">
        <v>2</v>
      </c>
      <c r="J4" s="7"/>
    </row>
    <row r="5">
      <c r="A5" s="8"/>
      <c r="B5" s="9"/>
      <c r="C5" s="9"/>
      <c r="D5" s="9"/>
      <c r="E5" s="9"/>
      <c r="F5" s="9"/>
      <c r="G5" s="9"/>
      <c r="H5" s="9"/>
      <c r="I5" s="9"/>
      <c r="J5" s="10"/>
    </row>
    <row r="6">
      <c r="A6" s="11" t="s">
        <v>3</v>
      </c>
      <c r="F6" s="12" t="s">
        <v>4</v>
      </c>
      <c r="G6" s="3"/>
      <c r="H6" s="13"/>
      <c r="I6" s="13"/>
      <c r="J6" s="14"/>
    </row>
    <row r="7">
      <c r="A7" s="15"/>
      <c r="F7" s="15"/>
      <c r="J7" s="16"/>
    </row>
    <row r="8">
      <c r="A8" s="17" t="s">
        <v>5</v>
      </c>
      <c r="B8" s="18" t="s">
        <v>6</v>
      </c>
      <c r="F8" s="17" t="s">
        <v>7</v>
      </c>
      <c r="G8" s="18" t="s">
        <v>6</v>
      </c>
      <c r="J8" s="16"/>
    </row>
    <row r="9">
      <c r="A9" s="15"/>
      <c r="B9" s="19" t="str">
        <f t="array" ref="B9">IFERROR(INDEX(contacts!AZ:AZ, MATCH(B8, contacts!AR:AR, 0)), "Not Found")</f>
        <v>Business Street</v>
      </c>
      <c r="F9" s="15"/>
      <c r="G9" s="19" t="str">
        <f t="array" ref="G9">IFERROR(INDEX(contacts!AZ:AZ, MATCH(G8, contacts!AR:AR, 0)), "Not Found")</f>
        <v>Business Street</v>
      </c>
      <c r="J9" s="16"/>
    </row>
    <row r="10">
      <c r="A10" s="15"/>
      <c r="B10" s="19" t="str">
        <f t="array" ref="B10">IFERROR(INDEX(contacts!BD:BD, MATCH(B8, contacts!AR:AR, 0)), "") &amp; ", " &amp; IFERROR(INDEX(contacts!BE:BE, MATCH(B8, contacts!AR:AR, 0)), "") &amp; " " &amp; IFERROR(INDEX(contacts!BF:BF, MATCH(B8, contacts!AR:AR, 0)), "Not Found")</f>
        <v>Business City, Business State Business Postal Code</v>
      </c>
      <c r="F10" s="15"/>
      <c r="G10" s="19" t="str">
        <f t="array" ref="G10">IFERROR(INDEX(contacts!BD:BD, MATCH(G8, contacts!AR:AR, 0)), "") &amp; ", " &amp; IFERROR(INDEX(contacts!BE:BE, MATCH(G8, contacts!AR:AR, 0)), "") &amp; " " &amp; IFERROR(INDEX(contacts!BF:BF, MATCH(G8, contacts!AR:AR, 0)), "Not Found")</f>
        <v>Business City, Business State Business Postal Code</v>
      </c>
      <c r="J10" s="16"/>
    </row>
    <row r="11">
      <c r="A11" s="17" t="s">
        <v>8</v>
      </c>
      <c r="B11" s="19" t="str">
        <f t="array" ref="B11">IFERROR(INDEX(contacts!A:A, MATCH(B8, contacts!AR:AR, 0)), "Not Found")</f>
        <v>First Name Middle Name Last Name</v>
      </c>
      <c r="F11" s="15"/>
      <c r="J11" s="16"/>
    </row>
    <row r="12">
      <c r="A12" s="15"/>
      <c r="F12" s="17" t="s">
        <v>9</v>
      </c>
      <c r="G12" s="18" t="s">
        <v>10</v>
      </c>
      <c r="J12" s="16"/>
    </row>
    <row r="13">
      <c r="A13" s="15"/>
      <c r="F13" s="17" t="s">
        <v>11</v>
      </c>
      <c r="G13" s="18" t="s">
        <v>12</v>
      </c>
      <c r="J13" s="16"/>
    </row>
    <row r="14">
      <c r="A14" s="17" t="s">
        <v>13</v>
      </c>
      <c r="B14" s="19" t="str">
        <f t="array" ref="B14">IFERROR(INDEX(contacts!AN:AN, MATCH(B8, contacts!AR:AR, 0)), "Not Found")</f>
        <v>Business Phone</v>
      </c>
      <c r="F14" s="15"/>
      <c r="J14" s="16"/>
    </row>
    <row r="15">
      <c r="A15" s="17" t="s">
        <v>14</v>
      </c>
      <c r="B15" s="19" t="str">
        <f t="array" ref="B15">IFERROR(INDEX(contacts!AP:AP, MATCH(B8, contacts!AR:AR, 0)), "Not Found")</f>
        <v>Business Fax</v>
      </c>
      <c r="F15" s="15"/>
      <c r="J15" s="16"/>
    </row>
    <row r="16">
      <c r="A16" s="17" t="s">
        <v>15</v>
      </c>
      <c r="B16" s="19" t="str">
        <f t="array" ref="B16">IFERROR(INDEX(contacts!P:P, MATCH(B8, contacts!AR:AR, 0)), "Not Found")</f>
        <v>E-mail Address</v>
      </c>
      <c r="F16" s="15"/>
      <c r="J16" s="16"/>
    </row>
    <row r="17">
      <c r="A17" s="17" t="s">
        <v>16</v>
      </c>
      <c r="B17" s="20" t="s">
        <v>17</v>
      </c>
      <c r="F17" s="17" t="s">
        <v>18</v>
      </c>
      <c r="G17" s="18" t="s">
        <v>6</v>
      </c>
      <c r="J17" s="16"/>
    </row>
    <row r="18">
      <c r="A18" s="15"/>
      <c r="F18" s="15"/>
      <c r="G18" s="19" t="str">
        <f t="array" ref="G18">IFERROR(INDEX(contacts!AZ:AZ, MATCH(G17, contacts!AR:AR, 0)), "Not Found")</f>
        <v>Business Street</v>
      </c>
      <c r="J18" s="16"/>
    </row>
    <row r="19">
      <c r="A19" s="15"/>
      <c r="F19" s="21"/>
      <c r="G19" s="22" t="str">
        <f t="array" ref="G19">IFERROR(INDEX(contacts!BD:BD, MATCH(G17, contacts!AR:AR, 0)), "") &amp; ", " &amp; IFERROR(INDEX(contacts!BE:BE, MATCH(G17, contacts!AR:AR, 0)), "") &amp; " " &amp; IFERROR(INDEX(contacts!BF:BF, MATCH(G17, contacts!AR:AR, 0)), "Not Found")</f>
        <v>Business City, Business State Business Postal Code</v>
      </c>
      <c r="H19" s="23"/>
      <c r="I19" s="23"/>
      <c r="J19" s="24"/>
    </row>
    <row r="20">
      <c r="A20" s="17" t="s">
        <v>19</v>
      </c>
      <c r="B20" s="25">
        <f>TODAY()</f>
        <v>45747</v>
      </c>
      <c r="E20" s="20" t="s">
        <v>20</v>
      </c>
      <c r="F20" s="26" t="s">
        <v>21</v>
      </c>
      <c r="G20" s="10"/>
      <c r="H20" s="26" t="s">
        <v>22</v>
      </c>
      <c r="I20" s="10"/>
      <c r="J20" s="27" t="s">
        <v>23</v>
      </c>
    </row>
    <row r="2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>
      <c r="A22" s="28" t="s">
        <v>24</v>
      </c>
      <c r="B22" s="9"/>
      <c r="C22" s="9"/>
      <c r="D22" s="9"/>
      <c r="E22" s="9"/>
      <c r="F22" s="9"/>
      <c r="G22" s="10"/>
      <c r="H22" s="29" t="s">
        <v>25</v>
      </c>
      <c r="I22" s="29" t="s">
        <v>26</v>
      </c>
      <c r="J22" s="29" t="s">
        <v>27</v>
      </c>
    </row>
    <row r="23">
      <c r="A23" s="27" t="s">
        <v>28</v>
      </c>
      <c r="B23" s="30" t="s">
        <v>29</v>
      </c>
      <c r="C23" s="9"/>
      <c r="D23" s="9"/>
      <c r="E23" s="9"/>
      <c r="F23" s="9"/>
      <c r="G23" s="10"/>
      <c r="J23" s="31"/>
    </row>
    <row r="24">
      <c r="A24" s="26" t="s">
        <v>30</v>
      </c>
      <c r="B24" s="9"/>
      <c r="C24" s="9"/>
      <c r="D24" s="9"/>
      <c r="E24" s="9"/>
      <c r="F24" s="9"/>
      <c r="G24" s="10"/>
      <c r="J24" s="32"/>
    </row>
    <row r="25">
      <c r="A25" s="28" t="s">
        <v>31</v>
      </c>
      <c r="B25" s="9"/>
      <c r="C25" s="9"/>
      <c r="D25" s="9"/>
      <c r="E25" s="9"/>
      <c r="F25" s="9"/>
      <c r="G25" s="10"/>
      <c r="J25" s="32"/>
    </row>
    <row r="26">
      <c r="A26" s="30" t="s">
        <v>32</v>
      </c>
      <c r="B26" s="9"/>
      <c r="C26" s="9"/>
      <c r="D26" s="9"/>
      <c r="E26" s="9"/>
      <c r="F26" s="9"/>
      <c r="G26" s="10"/>
      <c r="J26" s="32"/>
    </row>
    <row r="27">
      <c r="A27" s="33"/>
      <c r="B27" s="9"/>
      <c r="C27" s="9"/>
      <c r="D27" s="9"/>
      <c r="E27" s="9"/>
      <c r="F27" s="9"/>
      <c r="G27" s="10"/>
      <c r="H27" s="34"/>
      <c r="I27" s="34"/>
      <c r="J27" s="32">
        <f t="shared" ref="J27:J33" si="1">H27*I27</f>
        <v>0</v>
      </c>
    </row>
    <row r="28">
      <c r="A28" s="33"/>
      <c r="B28" s="9"/>
      <c r="C28" s="9"/>
      <c r="D28" s="9"/>
      <c r="E28" s="9"/>
      <c r="F28" s="9"/>
      <c r="G28" s="10"/>
      <c r="H28" s="34"/>
      <c r="I28" s="34"/>
      <c r="J28" s="32">
        <f t="shared" si="1"/>
        <v>0</v>
      </c>
    </row>
    <row r="29">
      <c r="A29" s="33"/>
      <c r="B29" s="9"/>
      <c r="C29" s="9"/>
      <c r="D29" s="9"/>
      <c r="E29" s="9"/>
      <c r="F29" s="9"/>
      <c r="G29" s="10"/>
      <c r="H29" s="34"/>
      <c r="I29" s="34"/>
      <c r="J29" s="32">
        <f t="shared" si="1"/>
        <v>0</v>
      </c>
    </row>
    <row r="30">
      <c r="A30" s="33"/>
      <c r="B30" s="9"/>
      <c r="C30" s="9"/>
      <c r="D30" s="9"/>
      <c r="E30" s="9"/>
      <c r="F30" s="9"/>
      <c r="G30" s="10"/>
      <c r="H30" s="34"/>
      <c r="I30" s="34"/>
      <c r="J30" s="32">
        <f t="shared" si="1"/>
        <v>0</v>
      </c>
    </row>
    <row r="31">
      <c r="A31" s="33"/>
      <c r="B31" s="9"/>
      <c r="C31" s="9"/>
      <c r="D31" s="9"/>
      <c r="E31" s="9"/>
      <c r="F31" s="9"/>
      <c r="G31" s="10"/>
      <c r="H31" s="34"/>
      <c r="I31" s="34"/>
      <c r="J31" s="32">
        <f t="shared" si="1"/>
        <v>0</v>
      </c>
    </row>
    <row r="32">
      <c r="A32" s="33"/>
      <c r="B32" s="9"/>
      <c r="C32" s="9"/>
      <c r="D32" s="9"/>
      <c r="E32" s="9"/>
      <c r="F32" s="9"/>
      <c r="G32" s="10"/>
      <c r="H32" s="34"/>
      <c r="I32" s="34"/>
      <c r="J32" s="32">
        <f t="shared" si="1"/>
        <v>0</v>
      </c>
    </row>
    <row r="33">
      <c r="A33" s="33"/>
      <c r="B33" s="9"/>
      <c r="C33" s="9"/>
      <c r="D33" s="9"/>
      <c r="E33" s="9"/>
      <c r="F33" s="9"/>
      <c r="G33" s="10"/>
      <c r="H33" s="34"/>
      <c r="I33" s="34"/>
      <c r="J33" s="32">
        <f t="shared" si="1"/>
        <v>0</v>
      </c>
    </row>
    <row r="34">
      <c r="A34" s="15"/>
      <c r="G34" s="18" t="s">
        <v>33</v>
      </c>
      <c r="H34" s="31"/>
      <c r="I34" s="31"/>
      <c r="J34" s="35">
        <f>SUM(J27:J33)</f>
        <v>0</v>
      </c>
    </row>
    <row r="35">
      <c r="A35" s="17" t="s">
        <v>34</v>
      </c>
      <c r="H35" s="32"/>
      <c r="I35" s="32"/>
      <c r="J35" s="32"/>
    </row>
    <row r="36">
      <c r="A36" s="15"/>
      <c r="B36" s="20" t="s">
        <v>35</v>
      </c>
      <c r="H36" s="36"/>
      <c r="I36" s="36"/>
      <c r="J36" s="36"/>
    </row>
    <row r="37">
      <c r="A37" s="15"/>
      <c r="H37" s="18" t="s">
        <v>36</v>
      </c>
      <c r="J37" s="37">
        <f>SUM(J34)</f>
        <v>0</v>
      </c>
    </row>
    <row r="38">
      <c r="A38" s="26" t="s">
        <v>37</v>
      </c>
      <c r="B38" s="9"/>
      <c r="C38" s="9"/>
      <c r="D38" s="9"/>
      <c r="E38" s="9"/>
      <c r="F38" s="9"/>
      <c r="G38" s="9"/>
      <c r="H38" s="9"/>
      <c r="I38" s="9"/>
      <c r="J38" s="10"/>
    </row>
    <row r="39">
      <c r="A39" s="17" t="s">
        <v>38</v>
      </c>
      <c r="F39" s="20" t="s">
        <v>39</v>
      </c>
      <c r="G39" s="38"/>
      <c r="J39" s="7"/>
    </row>
    <row r="40">
      <c r="A40" s="17" t="s">
        <v>40</v>
      </c>
      <c r="F40" s="20" t="s">
        <v>0</v>
      </c>
      <c r="J40" s="7"/>
    </row>
    <row r="41">
      <c r="A41" s="39"/>
      <c r="B41" s="9"/>
      <c r="C41" s="9"/>
      <c r="D41" s="9"/>
      <c r="E41" s="9"/>
      <c r="F41" s="9"/>
      <c r="G41" s="9"/>
      <c r="H41" s="9"/>
      <c r="I41" s="9"/>
      <c r="J41" s="10"/>
    </row>
    <row r="42">
      <c r="A42" s="17" t="s">
        <v>41</v>
      </c>
      <c r="J42" s="7"/>
    </row>
    <row r="43">
      <c r="A43" s="15"/>
      <c r="J43" s="16"/>
    </row>
    <row r="44">
      <c r="A44" s="17" t="s">
        <v>42</v>
      </c>
      <c r="F44" s="20" t="s">
        <v>43</v>
      </c>
      <c r="G44" s="38"/>
      <c r="J44" s="7"/>
    </row>
    <row r="45">
      <c r="A45" s="17" t="s">
        <v>44</v>
      </c>
      <c r="B45" s="20" t="s">
        <v>6</v>
      </c>
      <c r="J45" s="16"/>
    </row>
    <row r="46">
      <c r="A46" s="15"/>
      <c r="J46" s="16"/>
    </row>
    <row r="47">
      <c r="A47" s="17" t="s">
        <v>45</v>
      </c>
      <c r="F47" s="20" t="s">
        <v>46</v>
      </c>
      <c r="J47" s="16"/>
    </row>
    <row r="48">
      <c r="A48" s="26" t="s">
        <v>47</v>
      </c>
      <c r="B48" s="9"/>
      <c r="C48" s="9"/>
      <c r="D48" s="9"/>
      <c r="E48" s="9"/>
      <c r="F48" s="9"/>
      <c r="G48" s="9"/>
      <c r="H48" s="9"/>
      <c r="I48" s="9"/>
      <c r="J48" s="10"/>
    </row>
  </sheetData>
  <mergeCells count="50">
    <mergeCell ref="A6:B6"/>
    <mergeCell ref="F6:G6"/>
    <mergeCell ref="P1:Q2"/>
    <mergeCell ref="B8:D8"/>
    <mergeCell ref="A3:J3"/>
    <mergeCell ref="A4:E4"/>
    <mergeCell ref="F4:J4"/>
    <mergeCell ref="A5:J5"/>
    <mergeCell ref="G10:I10"/>
    <mergeCell ref="A26:G26"/>
    <mergeCell ref="A27:G27"/>
    <mergeCell ref="A28:G28"/>
    <mergeCell ref="A29:G29"/>
    <mergeCell ref="B23:G23"/>
    <mergeCell ref="A31:G31"/>
    <mergeCell ref="A32:G32"/>
    <mergeCell ref="A33:G33"/>
    <mergeCell ref="B36:F37"/>
    <mergeCell ref="A38:J38"/>
    <mergeCell ref="G39:J39"/>
    <mergeCell ref="A30:G30"/>
    <mergeCell ref="G17:I17"/>
    <mergeCell ref="G18:I18"/>
    <mergeCell ref="G19:I19"/>
    <mergeCell ref="F20:G20"/>
    <mergeCell ref="H20:I20"/>
    <mergeCell ref="A21:J21"/>
    <mergeCell ref="A22:G22"/>
    <mergeCell ref="A44:B44"/>
    <mergeCell ref="C44:E44"/>
    <mergeCell ref="A39:E39"/>
    <mergeCell ref="B45:E45"/>
    <mergeCell ref="A48:J48"/>
    <mergeCell ref="A40:E40"/>
    <mergeCell ref="F40:J40"/>
    <mergeCell ref="A41:J41"/>
    <mergeCell ref="A42:J42"/>
    <mergeCell ref="G44:J44"/>
    <mergeCell ref="B9:D9"/>
    <mergeCell ref="B10:D10"/>
    <mergeCell ref="B11:D11"/>
    <mergeCell ref="B14:D14"/>
    <mergeCell ref="B15:D15"/>
    <mergeCell ref="B16:D16"/>
    <mergeCell ref="G8:I8"/>
    <mergeCell ref="G9:I9"/>
    <mergeCell ref="G13:I13"/>
    <mergeCell ref="G12:I12"/>
    <mergeCell ref="A24:G24"/>
    <mergeCell ref="A25:G25"/>
  </mergeCells>
  <dataValidations>
    <dataValidation type="list" allowBlank="1" sqref="B8 G8 G17">
      <formula1>contacts!$AR:$AR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38"/>
    <col customWidth="1" min="2" max="5" width="12.63"/>
    <col customWidth="1" min="6" max="6" width="16.38"/>
    <col customWidth="1" min="7" max="10" width="12.63"/>
  </cols>
  <sheetData>
    <row r="1">
      <c r="A1" s="46" t="str">
        <f>View_Print!B2</f>
        <v/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 t="str">
        <f>Input!M1</f>
        <v>Acknowledged By:</v>
      </c>
      <c r="N1" s="46" t="str">
        <f>Input!N1</f>
        <v>Date Signed:</v>
      </c>
      <c r="O1" s="46" t="str">
        <f>Input!O1</f>
        <v>Update 3</v>
      </c>
      <c r="P1" s="46"/>
      <c r="Q1" s="46"/>
    </row>
    <row r="2">
      <c r="A2" s="46"/>
      <c r="B2" s="41"/>
      <c r="M2" s="38" t="str">
        <f>VLOOKUP(A1,Update!$A$1:$P$10000,2,FALSE)</f>
        <v>#N/A</v>
      </c>
      <c r="N2" s="38" t="str">
        <f>VLOOKUP(A1,Update!$A$1:$P$10000,3,FALSE)</f>
        <v>#N/A</v>
      </c>
      <c r="O2" s="38" t="str">
        <f>VLOOKUP(A1,Update!$A$1:$P$10000,4,FALSE)</f>
        <v>#N/A</v>
      </c>
      <c r="P2" s="46"/>
      <c r="Q2" s="46"/>
    </row>
    <row r="3">
      <c r="A3" s="2" t="str">
        <f>VLOOKUP(A1,Data!$A$1:$DZU$10000,36,FALSE)</f>
        <v>#N/A</v>
      </c>
      <c r="B3" s="3"/>
      <c r="C3" s="3"/>
      <c r="D3" s="3"/>
      <c r="E3" s="3"/>
      <c r="F3" s="3"/>
      <c r="G3" s="3"/>
      <c r="H3" s="3"/>
      <c r="I3" s="3"/>
      <c r="J3" s="4"/>
      <c r="K3" s="38" t="str">
        <f>VLOOKUP(A1,Data!$A$1:$DZU$10000,46,FALSE)</f>
        <v>#N/A</v>
      </c>
      <c r="L3" s="38" t="str">
        <f>VLOOKUP(A1,Data!$A$1:$DZU$10000,47,FALSE)</f>
        <v>#N/A</v>
      </c>
      <c r="M3" s="38" t="str">
        <f>VLOOKUP(A1,Data!$A$1:$DZU$10000,48,FALSE)</f>
        <v>#N/A</v>
      </c>
      <c r="N3" s="38" t="str">
        <f>VLOOKUP(A1,Data!$A$1:$DZU$10000,49,FALSE)</f>
        <v>#N/A</v>
      </c>
      <c r="O3" s="38" t="str">
        <f>VLOOKUP(A1,Data!$A$1:$DZU$10000,50,FALSE)</f>
        <v>#N/A</v>
      </c>
      <c r="P3" s="38" t="str">
        <f>VLOOKUP(A1,Data!$A$1:$DZU$10000,51,FALSE)</f>
        <v>#N/A</v>
      </c>
      <c r="Q3" s="38" t="str">
        <f>VLOOKUP(A1,Data!$A$1:$DZU$10000,52,FALSE)</f>
        <v>#N/A</v>
      </c>
    </row>
    <row r="4">
      <c r="A4" s="5" t="str">
        <f>VLOOKUP(A1,Data!$A$1:$DZU$10000,53,FALSE)</f>
        <v>#N/A</v>
      </c>
      <c r="F4" s="6" t="str">
        <f>VLOOKUP(A1,Data!$A$1:$DZU$10000,58,FALSE)</f>
        <v>#N/A</v>
      </c>
      <c r="J4" s="7"/>
      <c r="K4" s="38" t="str">
        <f>VLOOKUP(A1,Data!$A$1:$DZU$10000,63,FALSE)</f>
        <v>#N/A</v>
      </c>
      <c r="L4" s="38" t="str">
        <f>VLOOKUP(A1,Data!$A$1:$DZU$10000,64,FALSE)</f>
        <v>#N/A</v>
      </c>
      <c r="M4" s="38" t="str">
        <f>VLOOKUP(A1,Data!$A$1:$DZU$10000,65,FALSE)</f>
        <v>#N/A</v>
      </c>
      <c r="N4" s="38" t="str">
        <f>VLOOKUP(A1,Data!$A$1:$DZU$10000,66,FALSE)</f>
        <v>#N/A</v>
      </c>
      <c r="O4" s="38" t="str">
        <f>VLOOKUP(A1,Data!$A$1:$DZU$10000,67,FALSE)</f>
        <v>#N/A</v>
      </c>
      <c r="P4" s="38" t="str">
        <f>VLOOKUP(A1,Data!$A$1:$DZU$10000,68,FALSE)</f>
        <v>#N/A</v>
      </c>
      <c r="Q4" s="38" t="str">
        <f>VLOOKUP(A1,Data!$A$1:$DZU$10000,69,FALSE)</f>
        <v>#N/A</v>
      </c>
    </row>
    <row r="5">
      <c r="A5" s="8" t="str">
        <f>VLOOKUP(A1,Data!$A$1:$DZU$10000,70,FALSE)</f>
        <v>#N/A</v>
      </c>
      <c r="B5" s="9"/>
      <c r="C5" s="9"/>
      <c r="D5" s="9"/>
      <c r="E5" s="9"/>
      <c r="F5" s="9"/>
      <c r="G5" s="9"/>
      <c r="H5" s="9"/>
      <c r="I5" s="9"/>
      <c r="J5" s="10"/>
      <c r="K5" s="38" t="str">
        <f>VLOOKUP(A1,Data!$A$1:$DZU$10000,80,FALSE)</f>
        <v>#N/A</v>
      </c>
      <c r="L5" s="38" t="str">
        <f>VLOOKUP(A1,Data!$A$1:$DZU$10000,81,FALSE)</f>
        <v>#N/A</v>
      </c>
      <c r="M5" s="38" t="str">
        <f>VLOOKUP(A1,Data!$A$1:$DZU$10000,82,FALSE)</f>
        <v>#N/A</v>
      </c>
      <c r="N5" s="38" t="str">
        <f>VLOOKUP(A1,Data!$A$1:$DZU$10000,83,FALSE)</f>
        <v>#N/A</v>
      </c>
      <c r="O5" s="38" t="str">
        <f>VLOOKUP(A1,Data!$A$1:$DZU$10000,84,FALSE)</f>
        <v>#N/A</v>
      </c>
      <c r="P5" s="38" t="str">
        <f>VLOOKUP(A1,Data!$A$1:$DZU$10000,85,FALSE)</f>
        <v>#N/A</v>
      </c>
      <c r="Q5" s="38" t="str">
        <f>VLOOKUP(A1,Data!$A$1:$DZU$10000,86,FALSE)</f>
        <v>#N/A</v>
      </c>
    </row>
    <row r="6">
      <c r="A6" s="11" t="str">
        <f>VLOOKUP(A1,Data!$A$1:$DZU$10000,87,FALSE)</f>
        <v>#N/A</v>
      </c>
      <c r="C6" s="38" t="str">
        <f>VLOOKUP(A1,Data!$A$1:$DZU$10000,89,FALSE)</f>
        <v>#N/A</v>
      </c>
      <c r="D6" s="38" t="str">
        <f>VLOOKUP(A1,Data!$A$1:$DZU$10000,90,FALSE)</f>
        <v>#N/A</v>
      </c>
      <c r="E6" s="38" t="str">
        <f>VLOOKUP(A1,Data!$A$1:$DZU$10000,91,FALSE)</f>
        <v>#N/A</v>
      </c>
      <c r="F6" s="12" t="str">
        <f>VLOOKUP(A1,Data!$A$1:$DZU$10000,92,FALSE)</f>
        <v>#N/A</v>
      </c>
      <c r="G6" s="3"/>
      <c r="H6" s="13" t="str">
        <f>VLOOKUP(A1,Data!$A$1:$DZU$10000,94,FALSE)</f>
        <v>#N/A</v>
      </c>
      <c r="I6" s="13" t="str">
        <f>VLOOKUP(A1,Data!$A$1:$DZU$10000,95,FALSE)</f>
        <v>#N/A</v>
      </c>
      <c r="J6" s="14" t="str">
        <f>VLOOKUP(A1,Data!$A$1:$DZU$10000,96,FALSE)</f>
        <v>#N/A</v>
      </c>
      <c r="K6" s="38" t="str">
        <f>VLOOKUP(A1,Data!$A$1:$DZU$10000,97,FALSE)</f>
        <v>#N/A</v>
      </c>
      <c r="L6" s="38" t="str">
        <f>VLOOKUP(A1,Data!$A$1:$DZU$10000,98,FALSE)</f>
        <v>#N/A</v>
      </c>
      <c r="M6" s="38" t="str">
        <f>VLOOKUP(A1,Data!$A$1:$DZU$10000,99,FALSE)</f>
        <v>#N/A</v>
      </c>
      <c r="N6" s="38" t="str">
        <f>VLOOKUP(A1,Data!$A$1:$DZU$10000,100,FALSE)</f>
        <v>#N/A</v>
      </c>
      <c r="O6" s="38" t="str">
        <f>VLOOKUP(A1,Data!$A$1:$DZU$10000,101,FALSE)</f>
        <v>#N/A</v>
      </c>
      <c r="P6" s="38" t="str">
        <f>VLOOKUP(A1,Data!$A$1:$DZU$10000,102,FALSE)</f>
        <v>#N/A</v>
      </c>
      <c r="Q6" s="38" t="str">
        <f>VLOOKUP(A1,Data!$A$1:$DZU$10000,103,FALSE)</f>
        <v>#N/A</v>
      </c>
    </row>
    <row r="7">
      <c r="A7" s="15" t="str">
        <f>VLOOKUP(A1,Data!$A$1:$DZU$10000,104,FALSE)</f>
        <v>#N/A</v>
      </c>
      <c r="B7" s="38" t="str">
        <f>VLOOKUP(A1,Data!$A$1:$DZU$10000,105,FALSE)</f>
        <v>#N/A</v>
      </c>
      <c r="C7" s="38" t="str">
        <f>VLOOKUP(A1,Data!$A$1:$DZU$10000,106,FALSE)</f>
        <v>#N/A</v>
      </c>
      <c r="D7" s="38" t="str">
        <f>VLOOKUP(A1,Data!$A$1:$DZU$10000,107,FALSE)</f>
        <v>#N/A</v>
      </c>
      <c r="E7" s="38" t="str">
        <f>VLOOKUP(A1,Data!$A$1:$DZU$10000,108,FALSE)</f>
        <v>#N/A</v>
      </c>
      <c r="F7" s="15" t="str">
        <f>VLOOKUP(A1,Data!$A$1:$DZU$10000,109,FALSE)</f>
        <v>#N/A</v>
      </c>
      <c r="G7" s="38" t="str">
        <f>VLOOKUP(A1,Data!$A$1:$DZU$10000,110,FALSE)</f>
        <v>#N/A</v>
      </c>
      <c r="H7" s="38" t="str">
        <f>VLOOKUP(A1,Data!$A$1:$DZU$10000,111,FALSE)</f>
        <v>#N/A</v>
      </c>
      <c r="I7" s="38" t="str">
        <f>VLOOKUP(A1,Data!$A$1:$DZU$10000,112,FALSE)</f>
        <v>#N/A</v>
      </c>
      <c r="J7" s="16" t="str">
        <f>VLOOKUP(A1,Data!$A$1:$DZU$10000,113,FALSE)</f>
        <v>#N/A</v>
      </c>
      <c r="K7" s="38" t="str">
        <f>VLOOKUP(A1,Data!$A$1:$DZU$10000,114,FALSE)</f>
        <v>#N/A</v>
      </c>
      <c r="L7" s="38" t="str">
        <f>VLOOKUP(A1,Data!$A$1:$DZU$10000,115,FALSE)</f>
        <v>#N/A</v>
      </c>
      <c r="M7" s="38" t="str">
        <f>VLOOKUP(A1,Data!$A$1:$DZU$10000,116,FALSE)</f>
        <v>#N/A</v>
      </c>
      <c r="N7" s="38" t="str">
        <f>VLOOKUP(A1,Data!$A$1:$DZU$10000,117,FALSE)</f>
        <v>#N/A</v>
      </c>
      <c r="O7" s="38" t="str">
        <f>VLOOKUP(A1,Data!$A$1:$DZU$10000,118,FALSE)</f>
        <v>#N/A</v>
      </c>
      <c r="P7" s="38" t="str">
        <f>VLOOKUP(A1,Data!$A$1:$DZU$10000,119,FALSE)</f>
        <v>#N/A</v>
      </c>
      <c r="Q7" s="38" t="str">
        <f>VLOOKUP(A1,Data!$A$1:$DZU$10000,120,FALSE)</f>
        <v>#N/A</v>
      </c>
    </row>
    <row r="8">
      <c r="A8" s="17" t="str">
        <f>VLOOKUP(A1,Data!$A$1:$DZU$10000,121,FALSE)</f>
        <v>#N/A</v>
      </c>
      <c r="B8" s="18" t="str">
        <f>VLOOKUP(A1,Data!$A$1:$DZU$10000,122,FALSE)</f>
        <v>#N/A</v>
      </c>
      <c r="E8" s="38" t="str">
        <f>VLOOKUP(A1,Data!$A$1:$DZU$10000,125,FALSE)</f>
        <v>#N/A</v>
      </c>
      <c r="F8" s="17" t="str">
        <f>VLOOKUP(A1,Data!$A$1:$DZU$10000,126,FALSE)</f>
        <v>#N/A</v>
      </c>
      <c r="G8" s="18" t="str">
        <f>VLOOKUP(A1,Data!$A$1:$DZU$10000,127,FALSE)</f>
        <v>#N/A</v>
      </c>
      <c r="J8" s="16" t="str">
        <f>VLOOKUP(A1,Data!$A$1:$DZU$10000,130,FALSE)</f>
        <v>#N/A</v>
      </c>
      <c r="K8" s="38" t="str">
        <f>VLOOKUP(A1,Data!$A$1:$DZU$10000,131,FALSE)</f>
        <v>#N/A</v>
      </c>
      <c r="L8" s="38" t="str">
        <f>VLOOKUP(A1,Data!$A$1:$DZU$10000,132,FALSE)</f>
        <v>#N/A</v>
      </c>
      <c r="M8" s="38" t="str">
        <f>VLOOKUP(A1,Data!$A$1:$DZU$10000,133,FALSE)</f>
        <v>#N/A</v>
      </c>
      <c r="N8" s="38" t="str">
        <f>VLOOKUP(A1,Data!$A$1:$DZU$10000,134,FALSE)</f>
        <v>#N/A</v>
      </c>
      <c r="O8" s="38" t="str">
        <f>VLOOKUP(A1,Data!$A$1:$DZU$10000,135,FALSE)</f>
        <v>#N/A</v>
      </c>
      <c r="P8" s="38" t="str">
        <f>VLOOKUP(A1,Data!$A$1:$DZU$10000,136,FALSE)</f>
        <v>#N/A</v>
      </c>
      <c r="Q8" s="38" t="str">
        <f>VLOOKUP(A1,Data!$A$1:$DZU$10000,137,FALSE)</f>
        <v>#N/A</v>
      </c>
    </row>
    <row r="9">
      <c r="A9" s="15" t="str">
        <f>VLOOKUP(A1,Data!$A$1:$DZU$10000,138,FALSE)</f>
        <v>#N/A</v>
      </c>
      <c r="B9" s="19" t="str">
        <f>VLOOKUP(A1,Data!$A$1:$DZU$10000,139,FALSE)</f>
        <v>#N/A</v>
      </c>
      <c r="E9" s="38" t="str">
        <f>VLOOKUP(A1,Data!$A$1:$DZU$10000,142,FALSE)</f>
        <v>#N/A</v>
      </c>
      <c r="F9" s="15" t="str">
        <f>VLOOKUP(A1,Data!$A$1:$DZU$10000,143,FALSE)</f>
        <v>#N/A</v>
      </c>
      <c r="G9" s="19" t="str">
        <f>VLOOKUP(A1,Data!$A$1:$DZU$10000,144,FALSE)</f>
        <v>#N/A</v>
      </c>
      <c r="J9" s="16" t="str">
        <f>VLOOKUP(A1,Data!$A$1:$DZU$10000,147,FALSE)</f>
        <v>#N/A</v>
      </c>
      <c r="K9" s="38" t="str">
        <f>VLOOKUP(A1,Data!$A$1:$DZU$10000,148,FALSE)</f>
        <v>#N/A</v>
      </c>
      <c r="L9" s="38" t="str">
        <f>VLOOKUP(A1,Data!$A$1:$DZU$10000,149,FALSE)</f>
        <v>#N/A</v>
      </c>
      <c r="M9" s="38" t="str">
        <f>VLOOKUP(A1,Data!$A$1:$DZU$10000,150,FALSE)</f>
        <v>#N/A</v>
      </c>
      <c r="N9" s="38" t="str">
        <f>VLOOKUP(A1,Data!$A$1:$DZU$10000,151,FALSE)</f>
        <v>#N/A</v>
      </c>
      <c r="O9" s="38" t="str">
        <f>VLOOKUP(A1,Data!$A$1:$DZU$10000,152,FALSE)</f>
        <v>#N/A</v>
      </c>
      <c r="P9" s="38" t="str">
        <f>VLOOKUP(A1,Data!$A$1:$DZU$10000,153,FALSE)</f>
        <v>#N/A</v>
      </c>
      <c r="Q9" s="38" t="str">
        <f>VLOOKUP(A1,Data!$A$1:$DZU$10000,154,FALSE)</f>
        <v>#N/A</v>
      </c>
    </row>
    <row r="10">
      <c r="A10" s="15" t="str">
        <f>VLOOKUP(A1,Data!$A$1:$DZU$10000,155,FALSE)</f>
        <v>#N/A</v>
      </c>
      <c r="B10" s="19" t="str">
        <f>VLOOKUP(A1,Data!$A$1:$DZU$10000,156,FALSE)</f>
        <v>#N/A</v>
      </c>
      <c r="E10" s="38" t="str">
        <f>VLOOKUP(A1,Data!$A$1:$DZU$10000,159,FALSE)</f>
        <v>#N/A</v>
      </c>
      <c r="F10" s="15" t="str">
        <f>VLOOKUP(A1,Data!$A$1:$DZU$10000,160,FALSE)</f>
        <v>#N/A</v>
      </c>
      <c r="G10" s="19" t="str">
        <f>VLOOKUP(A1,Data!$A$1:$DZU$10000,161,FALSE)</f>
        <v>#N/A</v>
      </c>
      <c r="J10" s="16" t="str">
        <f>VLOOKUP(A1,Data!$A$1:$DZU$10000,164,FALSE)</f>
        <v>#N/A</v>
      </c>
      <c r="K10" s="38" t="str">
        <f>VLOOKUP(A1,Data!$A$1:$DZU$10000,165,FALSE)</f>
        <v>#N/A</v>
      </c>
      <c r="L10" s="38" t="str">
        <f>VLOOKUP(A1,Data!$A$1:$DZU$10000,166,FALSE)</f>
        <v>#N/A</v>
      </c>
      <c r="M10" s="38" t="str">
        <f>VLOOKUP(A1,Data!$A$1:$DZU$10000,167,FALSE)</f>
        <v>#N/A</v>
      </c>
      <c r="N10" s="38" t="str">
        <f>VLOOKUP(A1,Data!$A$1:$DZU$10000,168,FALSE)</f>
        <v>#N/A</v>
      </c>
      <c r="O10" s="38" t="str">
        <f>VLOOKUP(A1,Data!$A$1:$DZU$10000,169,FALSE)</f>
        <v>#N/A</v>
      </c>
      <c r="P10" s="38" t="str">
        <f>VLOOKUP(A1,Data!$A$1:$DZU$10000,170,FALSE)</f>
        <v>#N/A</v>
      </c>
      <c r="Q10" s="38" t="str">
        <f>VLOOKUP(A1,Data!$A$1:$DZU$10000,171,FALSE)</f>
        <v>#N/A</v>
      </c>
    </row>
    <row r="11">
      <c r="A11" s="17" t="str">
        <f>VLOOKUP(A1,Data!$A$1:$DZU$10000,172,FALSE)</f>
        <v>#N/A</v>
      </c>
      <c r="B11" s="19" t="str">
        <f>VLOOKUP(A1,Data!$A$1:$DZU$10000,173,FALSE)</f>
        <v>#N/A</v>
      </c>
      <c r="E11" s="38" t="str">
        <f>VLOOKUP(A1,Data!$A$1:$DZU$10000,176,FALSE)</f>
        <v>#N/A</v>
      </c>
      <c r="F11" s="15" t="str">
        <f>VLOOKUP(A1,Data!$A$1:$DZU$10000,177,FALSE)</f>
        <v>#N/A</v>
      </c>
      <c r="G11" s="38" t="str">
        <f>VLOOKUP(A1,Data!$A$1:$DZU$10000,178,FALSE)</f>
        <v>#N/A</v>
      </c>
      <c r="H11" s="38" t="str">
        <f>VLOOKUP(A1,Data!$A$1:$DZU$10000,179,FALSE)</f>
        <v>#N/A</v>
      </c>
      <c r="I11" s="38" t="str">
        <f>VLOOKUP(A1,Data!$A$1:$DZU$10000,180,FALSE)</f>
        <v>#N/A</v>
      </c>
      <c r="J11" s="16" t="str">
        <f>VLOOKUP(A1,Data!$A$1:$DZU$10000,181,FALSE)</f>
        <v>#N/A</v>
      </c>
      <c r="K11" s="38" t="str">
        <f>VLOOKUP(A1,Data!$A$1:$DZU$10000,182,FALSE)</f>
        <v>#N/A</v>
      </c>
      <c r="L11" s="38" t="str">
        <f>VLOOKUP(A1,Data!$A$1:$DZU$10000,183,FALSE)</f>
        <v>#N/A</v>
      </c>
      <c r="M11" s="38" t="str">
        <f>VLOOKUP(A1,Data!$A$1:$DZU$10000,184,FALSE)</f>
        <v>#N/A</v>
      </c>
      <c r="N11" s="38" t="str">
        <f>VLOOKUP(A1,Data!$A$1:$DZU$10000,185,FALSE)</f>
        <v>#N/A</v>
      </c>
      <c r="O11" s="38" t="str">
        <f>VLOOKUP(A1,Data!$A$1:$DZU$10000,186,FALSE)</f>
        <v>#N/A</v>
      </c>
      <c r="P11" s="38" t="str">
        <f>VLOOKUP(A1,Data!$A$1:$DZU$10000,187,FALSE)</f>
        <v>#N/A</v>
      </c>
      <c r="Q11" s="38" t="str">
        <f>VLOOKUP(A1,Data!$A$1:$DZU$10000,188,FALSE)</f>
        <v>#N/A</v>
      </c>
    </row>
    <row r="12">
      <c r="A12" s="15" t="str">
        <f>VLOOKUP(A1,Data!$A$1:$DZU$10000,189,FALSE)</f>
        <v>#N/A</v>
      </c>
      <c r="B12" s="38" t="str">
        <f>VLOOKUP(A1,Data!$A$1:$DZU$10000,190,FALSE)</f>
        <v>#N/A</v>
      </c>
      <c r="C12" s="38" t="str">
        <f>VLOOKUP(A1,Data!$A$1:$DZU$10000,191,FALSE)</f>
        <v>#N/A</v>
      </c>
      <c r="D12" s="38" t="str">
        <f>VLOOKUP(A1,Data!$A$1:$DZU$10000,192,FALSE)</f>
        <v>#N/A</v>
      </c>
      <c r="E12" s="38" t="str">
        <f>VLOOKUP(A1,Data!$A$1:$DZU$10000,193,FALSE)</f>
        <v>#N/A</v>
      </c>
      <c r="F12" s="17" t="str">
        <f>VLOOKUP(A1,Data!$A$1:$DZU$10000,194,FALSE)</f>
        <v>#N/A</v>
      </c>
      <c r="G12" s="18" t="str">
        <f>VLOOKUP(A1,Data!$A$1:$DZU$10000,195,FALSE)</f>
        <v>#N/A</v>
      </c>
      <c r="J12" s="16" t="str">
        <f>VLOOKUP(A1,Data!$A$1:$DZU$10000,198,FALSE)</f>
        <v>#N/A</v>
      </c>
      <c r="K12" s="38" t="str">
        <f>VLOOKUP(A1,Data!$A$1:$DZU$10000,199,FALSE)</f>
        <v>#N/A</v>
      </c>
      <c r="L12" s="38" t="str">
        <f>VLOOKUP(A1,Data!$A$1:$DZU$10000,200,FALSE)</f>
        <v>#N/A</v>
      </c>
      <c r="M12" s="38" t="str">
        <f>VLOOKUP(A1,Data!$A$1:$DZU$10000,201,FALSE)</f>
        <v>#N/A</v>
      </c>
      <c r="N12" s="38" t="str">
        <f>VLOOKUP(A1,Data!$A$1:$DZU$10000,202,FALSE)</f>
        <v>#N/A</v>
      </c>
      <c r="O12" s="38" t="str">
        <f>VLOOKUP(A1,Data!$A$1:$DZU$10000,203,FALSE)</f>
        <v>#N/A</v>
      </c>
      <c r="P12" s="38" t="str">
        <f>VLOOKUP(A1,Data!$A$1:$DZU$10000,204,FALSE)</f>
        <v>#N/A</v>
      </c>
      <c r="Q12" s="38" t="str">
        <f>VLOOKUP(A1,Data!$A$1:$DZU$10000,205,FALSE)</f>
        <v>#N/A</v>
      </c>
    </row>
    <row r="13">
      <c r="A13" s="15" t="str">
        <f>VLOOKUP(A1,Data!$A$1:$DZU$10000,206,FALSE)</f>
        <v>#N/A</v>
      </c>
      <c r="B13" s="38" t="str">
        <f>VLOOKUP(A1,Data!$A$1:$DZU$10000,207,FALSE)</f>
        <v>#N/A</v>
      </c>
      <c r="C13" s="38" t="str">
        <f>VLOOKUP(A1,Data!$A$1:$DZU$10000,208,FALSE)</f>
        <v>#N/A</v>
      </c>
      <c r="D13" s="38" t="str">
        <f>VLOOKUP(A1,Data!$A$1:$DZU$10000,209,FALSE)</f>
        <v>#N/A</v>
      </c>
      <c r="E13" s="38" t="str">
        <f>VLOOKUP(A1,Data!$A$1:$DZU$10000,210,FALSE)</f>
        <v>#N/A</v>
      </c>
      <c r="F13" s="17" t="str">
        <f>VLOOKUP(A1,Data!$A$1:$DZU$10000,211,FALSE)</f>
        <v>#N/A</v>
      </c>
      <c r="G13" s="18" t="str">
        <f>VLOOKUP(A1,Data!$A$1:$DZU$10000,212,FALSE)</f>
        <v>#N/A</v>
      </c>
      <c r="J13" s="16" t="str">
        <f>VLOOKUP(A1,Data!$A$1:$DZU$10000,215,FALSE)</f>
        <v>#N/A</v>
      </c>
      <c r="K13" s="38" t="str">
        <f>VLOOKUP(A1,Data!$A$1:$DZU$10000,216,FALSE)</f>
        <v>#N/A</v>
      </c>
      <c r="L13" s="38" t="str">
        <f>VLOOKUP(A1,Data!$A$1:$DZU$10000,217,FALSE)</f>
        <v>#N/A</v>
      </c>
      <c r="M13" s="38" t="str">
        <f>VLOOKUP(A1,Data!$A$1:$DZU$10000,218,FALSE)</f>
        <v>#N/A</v>
      </c>
      <c r="N13" s="38" t="str">
        <f>VLOOKUP(A1,Data!$A$1:$DZU$10000,219,FALSE)</f>
        <v>#N/A</v>
      </c>
      <c r="O13" s="38" t="str">
        <f>VLOOKUP(A1,Data!$A$1:$DZU$10000,220,FALSE)</f>
        <v>#N/A</v>
      </c>
      <c r="P13" s="38" t="str">
        <f>VLOOKUP(A1,Data!$A$1:$DZU$10000,221,FALSE)</f>
        <v>#N/A</v>
      </c>
      <c r="Q13" s="38" t="str">
        <f>VLOOKUP(A1,Data!$A$1:$DZU$10000,222,FALSE)</f>
        <v>#N/A</v>
      </c>
    </row>
    <row r="14">
      <c r="A14" s="17" t="str">
        <f>VLOOKUP(A1,Data!$A$1:$DZU$10000,223,FALSE)</f>
        <v>#N/A</v>
      </c>
      <c r="B14" s="19" t="str">
        <f>VLOOKUP(A1,Data!$A$1:$DZU$10000,224,FALSE)</f>
        <v>#N/A</v>
      </c>
      <c r="E14" s="38" t="str">
        <f>VLOOKUP(A1,Data!$A$1:$DZU$10000,227,FALSE)</f>
        <v>#N/A</v>
      </c>
      <c r="F14" s="15" t="str">
        <f>VLOOKUP(A1,Data!$A$1:$DZU$10000,228,FALSE)</f>
        <v>#N/A</v>
      </c>
      <c r="G14" s="38" t="str">
        <f>VLOOKUP(A1,Data!$A$1:$DZU$10000,229,FALSE)</f>
        <v>#N/A</v>
      </c>
      <c r="H14" s="38" t="str">
        <f>VLOOKUP(A1,Data!$A$1:$DZU$10000,230,FALSE)</f>
        <v>#N/A</v>
      </c>
      <c r="I14" s="38" t="str">
        <f>VLOOKUP(A1,Data!$A$1:$DZU$10000,231,FALSE)</f>
        <v>#N/A</v>
      </c>
      <c r="J14" s="16" t="str">
        <f>VLOOKUP(A1,Data!$A$1:$DZU$10000,232,FALSE)</f>
        <v>#N/A</v>
      </c>
      <c r="K14" s="38" t="str">
        <f>VLOOKUP(A1,Data!$A$1:$DZU$10000,233,FALSE)</f>
        <v>#N/A</v>
      </c>
      <c r="L14" s="38" t="str">
        <f>VLOOKUP(A1,Data!$A$1:$DZU$10000,234,FALSE)</f>
        <v>#N/A</v>
      </c>
      <c r="M14" s="38" t="str">
        <f>VLOOKUP(A1,Data!$A$1:$DZU$10000,235,FALSE)</f>
        <v>#N/A</v>
      </c>
      <c r="N14" s="38" t="str">
        <f>VLOOKUP(A1,Data!$A$1:$DZU$10000,236,FALSE)</f>
        <v>#N/A</v>
      </c>
      <c r="O14" s="38" t="str">
        <f>VLOOKUP(A1,Data!$A$1:$DZU$10000,237,FALSE)</f>
        <v>#N/A</v>
      </c>
      <c r="P14" s="38" t="str">
        <f>VLOOKUP(A1,Data!$A$1:$DZU$10000,238,FALSE)</f>
        <v>#N/A</v>
      </c>
      <c r="Q14" s="38" t="str">
        <f>VLOOKUP(A1,Data!$A$1:$DZU$10000,239,FALSE)</f>
        <v>#N/A</v>
      </c>
    </row>
    <row r="15">
      <c r="A15" s="17" t="str">
        <f>VLOOKUP(A1,Data!$A$1:$DZU$10000,240,FALSE)</f>
        <v>#N/A</v>
      </c>
      <c r="B15" s="19" t="str">
        <f>VLOOKUP(A1,Data!$A$1:$DZU$10000,241,FALSE)</f>
        <v>#N/A</v>
      </c>
      <c r="E15" s="38" t="str">
        <f>VLOOKUP(A1,Data!$A$1:$DZU$10000,244,FALSE)</f>
        <v>#N/A</v>
      </c>
      <c r="F15" s="15" t="str">
        <f>VLOOKUP(A1,Data!$A$1:$DZU$10000,245,FALSE)</f>
        <v>#N/A</v>
      </c>
      <c r="G15" s="38" t="str">
        <f>VLOOKUP(A1,Data!$A$1:$DZU$10000,246,FALSE)</f>
        <v>#N/A</v>
      </c>
      <c r="H15" s="38" t="str">
        <f>VLOOKUP(A1,Data!$A$1:$DZU$10000,247,FALSE)</f>
        <v>#N/A</v>
      </c>
      <c r="I15" s="38" t="str">
        <f>VLOOKUP(A1,Data!$A$1:$DZU$10000,248,FALSE)</f>
        <v>#N/A</v>
      </c>
      <c r="J15" s="16" t="str">
        <f>VLOOKUP(A1,Data!$A$1:$DZU$10000,249,FALSE)</f>
        <v>#N/A</v>
      </c>
      <c r="K15" s="38" t="str">
        <f>VLOOKUP(A1,Data!$A$1:$DZU$10000,250,FALSE)</f>
        <v>#N/A</v>
      </c>
      <c r="L15" s="38" t="str">
        <f>VLOOKUP(A1,Data!$A$1:$DZU$10000,251,FALSE)</f>
        <v>#N/A</v>
      </c>
      <c r="M15" s="38" t="str">
        <f>VLOOKUP(A1,Data!$A$1:$DZU$10000,252,FALSE)</f>
        <v>#N/A</v>
      </c>
      <c r="N15" s="38" t="str">
        <f>VLOOKUP(A1,Data!$A$1:$DZU$10000,253,FALSE)</f>
        <v>#N/A</v>
      </c>
      <c r="O15" s="38" t="str">
        <f>VLOOKUP(A1,Data!$A$1:$DZU$10000,254,FALSE)</f>
        <v>#N/A</v>
      </c>
      <c r="P15" s="38" t="str">
        <f>VLOOKUP(A1,Data!$A$1:$DZU$10000,255,FALSE)</f>
        <v>#N/A</v>
      </c>
      <c r="Q15" s="38" t="str">
        <f>VLOOKUP(A1,Data!$A$1:$DZU$10000,256,FALSE)</f>
        <v>#N/A</v>
      </c>
    </row>
    <row r="16">
      <c r="A16" s="17" t="str">
        <f>VLOOKUP(A1,Data!$A$1:$DZU$10000,257,FALSE)</f>
        <v>#N/A</v>
      </c>
      <c r="B16" s="19" t="str">
        <f>VLOOKUP(A1,Data!$A$1:$DZU$10000,258,FALSE)</f>
        <v>#N/A</v>
      </c>
      <c r="E16" s="38" t="str">
        <f>VLOOKUP(A1,Data!$A$1:$DZU$10000,261,FALSE)</f>
        <v>#N/A</v>
      </c>
      <c r="F16" s="15" t="str">
        <f>VLOOKUP(A1,Data!$A$1:$DZU$10000,262,FALSE)</f>
        <v>#N/A</v>
      </c>
      <c r="G16" s="38" t="str">
        <f>VLOOKUP(A1,Data!$A$1:$DZU$10000,263,FALSE)</f>
        <v>#N/A</v>
      </c>
      <c r="H16" s="38" t="str">
        <f>VLOOKUP(A1,Data!$A$1:$DZU$10000,264,FALSE)</f>
        <v>#N/A</v>
      </c>
      <c r="I16" s="38" t="str">
        <f>VLOOKUP(A1,Data!$A$1:$DZU$10000,265,FALSE)</f>
        <v>#N/A</v>
      </c>
      <c r="J16" s="16" t="str">
        <f>VLOOKUP(A1,Data!$A$1:$DZU$10000,266,FALSE)</f>
        <v>#N/A</v>
      </c>
      <c r="K16" s="38" t="str">
        <f>VLOOKUP(A1,Data!$A$1:$DZU$10000,267,FALSE)</f>
        <v>#N/A</v>
      </c>
      <c r="L16" s="38" t="str">
        <f>VLOOKUP(A1,Data!$A$1:$DZU$10000,268,FALSE)</f>
        <v>#N/A</v>
      </c>
      <c r="M16" s="38" t="str">
        <f>VLOOKUP(A1,Data!$A$1:$DZU$10000,269,FALSE)</f>
        <v>#N/A</v>
      </c>
      <c r="N16" s="38" t="str">
        <f>VLOOKUP(A1,Data!$A$1:$DZU$10000,270,FALSE)</f>
        <v>#N/A</v>
      </c>
      <c r="O16" s="38" t="str">
        <f>VLOOKUP(A1,Data!$A$1:$DZU$10000,271,FALSE)</f>
        <v>#N/A</v>
      </c>
      <c r="P16" s="38" t="str">
        <f>VLOOKUP(A1,Data!$A$1:$DZU$10000,272,FALSE)</f>
        <v>#N/A</v>
      </c>
      <c r="Q16" s="38" t="str">
        <f>VLOOKUP(A1,Data!$A$1:$DZU$10000,273,FALSE)</f>
        <v>#N/A</v>
      </c>
    </row>
    <row r="17">
      <c r="A17" s="17" t="str">
        <f>VLOOKUP(A1,Data!$A$1:$DZU$10000,274,FALSE)</f>
        <v>#N/A</v>
      </c>
      <c r="B17" s="20" t="str">
        <f>VLOOKUP(A1,Data!$A$1:$DZU$10000,275,FALSE)</f>
        <v>#N/A</v>
      </c>
      <c r="C17" s="38" t="str">
        <f>VLOOKUP(A1,Data!$A$1:$DZU$10000,276,FALSE)</f>
        <v>#N/A</v>
      </c>
      <c r="D17" s="38" t="str">
        <f>VLOOKUP(A1,Data!$A$1:$DZU$10000,277,FALSE)</f>
        <v>#N/A</v>
      </c>
      <c r="E17" s="38" t="str">
        <f>VLOOKUP(A1,Data!$A$1:$DZU$10000,278,FALSE)</f>
        <v>#N/A</v>
      </c>
      <c r="F17" s="17" t="str">
        <f>VLOOKUP(A1,Data!$A$1:$DZU$10000,279,FALSE)</f>
        <v>#N/A</v>
      </c>
      <c r="G17" s="18" t="str">
        <f>VLOOKUP(A1,Data!$A$1:$DZU$10000,280,FALSE)</f>
        <v>#N/A</v>
      </c>
      <c r="J17" s="16" t="str">
        <f>VLOOKUP(A1,Data!$A$1:$DZU$10000,283,FALSE)</f>
        <v>#N/A</v>
      </c>
      <c r="K17" s="38" t="str">
        <f>VLOOKUP(A1,Data!$A$1:$DZU$10000,284,FALSE)</f>
        <v>#N/A</v>
      </c>
      <c r="L17" s="38" t="str">
        <f>VLOOKUP(A1,Data!$A$1:$DZU$10000,285,FALSE)</f>
        <v>#N/A</v>
      </c>
      <c r="M17" s="38" t="str">
        <f>VLOOKUP(A1,Data!$A$1:$DZU$10000,286,FALSE)</f>
        <v>#N/A</v>
      </c>
      <c r="N17" s="38" t="str">
        <f>VLOOKUP(A1,Data!$A$1:$DZU$10000,287,FALSE)</f>
        <v>#N/A</v>
      </c>
      <c r="O17" s="38" t="str">
        <f>VLOOKUP(A1,Data!$A$1:$DZU$10000,288,FALSE)</f>
        <v>#N/A</v>
      </c>
      <c r="P17" s="38" t="str">
        <f>VLOOKUP(A1,Data!$A$1:$DZU$10000,289,FALSE)</f>
        <v>#N/A</v>
      </c>
      <c r="Q17" s="38" t="str">
        <f>VLOOKUP(A1,Data!$A$1:$DZU$10000,290,FALSE)</f>
        <v>#N/A</v>
      </c>
    </row>
    <row r="18">
      <c r="A18" s="15" t="str">
        <f>VLOOKUP(A1,Data!$A$1:$DZU$10000,291,FALSE)</f>
        <v>#N/A</v>
      </c>
      <c r="B18" s="38" t="str">
        <f>VLOOKUP(A1,Data!$A$1:$DZU$10000,292,FALSE)</f>
        <v>#N/A</v>
      </c>
      <c r="C18" s="38" t="str">
        <f>VLOOKUP(A1,Data!$A$1:$DZU$10000,293,FALSE)</f>
        <v>#N/A</v>
      </c>
      <c r="D18" s="38" t="str">
        <f>VLOOKUP(A1,Data!$A$1:$DZU$10000,294,FALSE)</f>
        <v>#N/A</v>
      </c>
      <c r="E18" s="38" t="str">
        <f>VLOOKUP(A1,Data!$A$1:$DZU$10000,295,FALSE)</f>
        <v>#N/A</v>
      </c>
      <c r="F18" s="15" t="str">
        <f>VLOOKUP(A1,Data!$A$1:$DZU$10000,296,FALSE)</f>
        <v>#N/A</v>
      </c>
      <c r="G18" s="19" t="str">
        <f>VLOOKUP(A1,Data!$A$1:$DZU$10000,297,FALSE)</f>
        <v>#N/A</v>
      </c>
      <c r="J18" s="16" t="str">
        <f>VLOOKUP(A1,Data!$A$1:$DZU$10000,300,FALSE)</f>
        <v>#N/A</v>
      </c>
      <c r="K18" s="38" t="str">
        <f>VLOOKUP(A1,Data!$A$1:$DZU$10000,301,FALSE)</f>
        <v>#N/A</v>
      </c>
      <c r="L18" s="38" t="str">
        <f>VLOOKUP(A1,Data!$A$1:$DZU$10000,302,FALSE)</f>
        <v>#N/A</v>
      </c>
      <c r="M18" s="38" t="str">
        <f>VLOOKUP(A1,Data!$A$1:$DZU$10000,303,FALSE)</f>
        <v>#N/A</v>
      </c>
      <c r="N18" s="38" t="str">
        <f>VLOOKUP(A1,Data!$A$1:$DZU$10000,304,FALSE)</f>
        <v>#N/A</v>
      </c>
      <c r="O18" s="38" t="str">
        <f>VLOOKUP(A1,Data!$A$1:$DZU$10000,305,FALSE)</f>
        <v>#N/A</v>
      </c>
      <c r="P18" s="38" t="str">
        <f>VLOOKUP(A1,Data!$A$1:$DZU$10000,306,FALSE)</f>
        <v>#N/A</v>
      </c>
      <c r="Q18" s="38" t="str">
        <f>VLOOKUP(A1,Data!$A$1:$DZU$10000,307,FALSE)</f>
        <v>#N/A</v>
      </c>
    </row>
    <row r="19">
      <c r="A19" s="15" t="str">
        <f>VLOOKUP(A1,Data!$A$1:$DZU$10000,308,FALSE)</f>
        <v>#N/A</v>
      </c>
      <c r="B19" s="38" t="str">
        <f>VLOOKUP(A1,Data!$A$1:$DZU$10000,309,FALSE)</f>
        <v>#N/A</v>
      </c>
      <c r="C19" s="38" t="str">
        <f>VLOOKUP(A1,Data!$A$1:$DZU$10000,310,FALSE)</f>
        <v>#N/A</v>
      </c>
      <c r="D19" s="38" t="str">
        <f>VLOOKUP(A1,Data!$A$1:$DZU$10000,311,FALSE)</f>
        <v>#N/A</v>
      </c>
      <c r="E19" s="38" t="str">
        <f>VLOOKUP(A1,Data!$A$1:$DZU$10000,312,FALSE)</f>
        <v>#N/A</v>
      </c>
      <c r="F19" s="21" t="str">
        <f>VLOOKUP(A1,Data!$A$1:$DZU$10000,313,FALSE)</f>
        <v>#N/A</v>
      </c>
      <c r="G19" s="22" t="str">
        <f>VLOOKUP(A1,Data!$A$1:$DZU$10000,314,FALSE)</f>
        <v>#N/A</v>
      </c>
      <c r="H19" s="23"/>
      <c r="I19" s="23"/>
      <c r="J19" s="24" t="str">
        <f>VLOOKUP(A1,Data!$A$1:$DZU$10000,317,FALSE)</f>
        <v>#N/A</v>
      </c>
      <c r="K19" s="38" t="str">
        <f>VLOOKUP(A1,Data!$A$1:$DZU$10000,318,FALSE)</f>
        <v>#N/A</v>
      </c>
      <c r="L19" s="38" t="str">
        <f>VLOOKUP(A1,Data!$A$1:$DZU$10000,319,FALSE)</f>
        <v>#N/A</v>
      </c>
      <c r="M19" s="38" t="str">
        <f>VLOOKUP(A1,Data!$A$1:$DZU$10000,320,FALSE)</f>
        <v>#N/A</v>
      </c>
      <c r="N19" s="38" t="str">
        <f>VLOOKUP(A1,Data!$A$1:$DZU$10000,321,FALSE)</f>
        <v>#N/A</v>
      </c>
      <c r="O19" s="38" t="str">
        <f>VLOOKUP(A1,Data!$A$1:$DZU$10000,322,FALSE)</f>
        <v>#N/A</v>
      </c>
      <c r="P19" s="38" t="str">
        <f>VLOOKUP(A1,Data!$A$1:$DZU$10000,323,FALSE)</f>
        <v>#N/A</v>
      </c>
      <c r="Q19" s="38" t="str">
        <f>VLOOKUP(A1,Data!$A$1:$DZU$10000,324,FALSE)</f>
        <v>#N/A</v>
      </c>
    </row>
    <row r="20">
      <c r="A20" s="17" t="str">
        <f>VLOOKUP(A1,Data!$A$1:$DZU$10000,325,FALSE)</f>
        <v>#N/A</v>
      </c>
      <c r="B20" s="38" t="str">
        <f>VLOOKUP(A1,Data!$A$1:$DZU$10000,326,FALSE)</f>
        <v>#N/A</v>
      </c>
      <c r="C20" s="38" t="str">
        <f>VLOOKUP(A1,Data!$A$1:$DZU$10000,327,FALSE)</f>
        <v>#N/A</v>
      </c>
      <c r="D20" s="38" t="str">
        <f>VLOOKUP(A1,Data!$A$1:$DZU$10000,328,FALSE)</f>
        <v>#N/A</v>
      </c>
      <c r="E20" s="20" t="str">
        <f>VLOOKUP(A1,Data!$A$1:$DZU$10000,329,FALSE)</f>
        <v>#N/A</v>
      </c>
      <c r="F20" s="26" t="str">
        <f>VLOOKUP(A1,Data!$A$1:$DZU$10000,330,FALSE)</f>
        <v>#N/A</v>
      </c>
      <c r="G20" s="10"/>
      <c r="H20" s="26" t="str">
        <f>VLOOKUP(A1,Data!$A$1:$DZU$10000,332,FALSE)</f>
        <v>#N/A</v>
      </c>
      <c r="I20" s="10"/>
      <c r="J20" s="27" t="str">
        <f>VLOOKUP(A1,Data!$A$1:$DZU$10000,334,FALSE)</f>
        <v>#N/A</v>
      </c>
      <c r="K20" s="38" t="str">
        <f>VLOOKUP(A1,Data!$A$1:$DZU$10000,335,FALSE)</f>
        <v>#N/A</v>
      </c>
      <c r="L20" s="38" t="str">
        <f>VLOOKUP(A1,Data!$A$1:$DZU$10000,336,FALSE)</f>
        <v>#N/A</v>
      </c>
      <c r="M20" s="38" t="str">
        <f>VLOOKUP(A1,Data!$A$1:$DZU$10000,337,FALSE)</f>
        <v>#N/A</v>
      </c>
      <c r="N20" s="38" t="str">
        <f>VLOOKUP(A1,Data!$A$1:$DZU$10000,338,FALSE)</f>
        <v>#N/A</v>
      </c>
      <c r="O20" s="38" t="str">
        <f>VLOOKUP(A1,Data!$A$1:$DZU$10000,339,FALSE)</f>
        <v>#N/A</v>
      </c>
      <c r="P20" s="38" t="str">
        <f>VLOOKUP(A1,Data!$A$1:$DZU$10000,340,FALSE)</f>
        <v>#N/A</v>
      </c>
      <c r="Q20" s="38" t="str">
        <f>VLOOKUP(A1,Data!$A$1:$DZU$10000,341,FALSE)</f>
        <v>#N/A</v>
      </c>
    </row>
    <row r="21">
      <c r="A21" s="8" t="str">
        <f>VLOOKUP(A1,Data!$A$1:$DZU$10000,342,FALSE)</f>
        <v>#N/A</v>
      </c>
      <c r="B21" s="9"/>
      <c r="C21" s="9"/>
      <c r="D21" s="9"/>
      <c r="E21" s="9"/>
      <c r="F21" s="9"/>
      <c r="G21" s="9"/>
      <c r="H21" s="9"/>
      <c r="I21" s="9"/>
      <c r="J21" s="10"/>
      <c r="K21" s="38" t="str">
        <f>VLOOKUP(A1,Data!$A$1:$DZU$10000,352,FALSE)</f>
        <v>#N/A</v>
      </c>
      <c r="L21" s="38" t="str">
        <f>VLOOKUP(A1,Data!$A$1:$DZU$10000,353,FALSE)</f>
        <v>#N/A</v>
      </c>
      <c r="M21" s="38" t="str">
        <f>VLOOKUP(A1,Data!$A$1:$DZU$10000,354,FALSE)</f>
        <v>#N/A</v>
      </c>
      <c r="N21" s="38" t="str">
        <f>VLOOKUP(A1,Data!$A$1:$DZU$10000,355,FALSE)</f>
        <v>#N/A</v>
      </c>
      <c r="O21" s="38" t="str">
        <f>VLOOKUP(A1,Data!$A$1:$DZU$10000,356,FALSE)</f>
        <v>#N/A</v>
      </c>
      <c r="P21" s="38" t="str">
        <f>VLOOKUP(A1,Data!$A$1:$DZU$10000,357,FALSE)</f>
        <v>#N/A</v>
      </c>
      <c r="Q21" s="38" t="str">
        <f>VLOOKUP(A1,Data!$A$1:$DZU$10000,358,FALSE)</f>
        <v>#N/A</v>
      </c>
    </row>
    <row r="22">
      <c r="A22" s="28" t="str">
        <f>VLOOKUP(A1,Data!$A$1:$DZU$10000,359,FALSE)</f>
        <v>#N/A</v>
      </c>
      <c r="B22" s="9"/>
      <c r="C22" s="9"/>
      <c r="D22" s="9"/>
      <c r="E22" s="9"/>
      <c r="F22" s="9"/>
      <c r="G22" s="10"/>
      <c r="H22" s="29" t="str">
        <f>VLOOKUP(A1,Data!$A$1:$DZU$10000,366,FALSE)</f>
        <v>#N/A</v>
      </c>
      <c r="I22" s="29" t="str">
        <f>VLOOKUP(A1,Data!$A$1:$DZU$10000,367,FALSE)</f>
        <v>#N/A</v>
      </c>
      <c r="J22" s="29" t="str">
        <f>VLOOKUP(A1,Data!$A$1:$DZU$10000,368,FALSE)</f>
        <v>#N/A</v>
      </c>
      <c r="K22" s="38" t="str">
        <f>VLOOKUP(A1,Data!$A$1:$DZU$10000,369,FALSE)</f>
        <v>#N/A</v>
      </c>
      <c r="L22" s="38" t="str">
        <f>VLOOKUP(A1,Data!$A$1:$DZU$10000,370,FALSE)</f>
        <v>#N/A</v>
      </c>
      <c r="M22" s="38" t="str">
        <f>VLOOKUP(A1,Data!$A$1:$DZU$10000,371,FALSE)</f>
        <v>#N/A</v>
      </c>
      <c r="N22" s="38" t="str">
        <f>VLOOKUP(A1,Data!$A$1:$DZU$10000,372,FALSE)</f>
        <v>#N/A</v>
      </c>
      <c r="O22" s="38" t="str">
        <f>VLOOKUP(A1,Data!$A$1:$DZU$10000,373,FALSE)</f>
        <v>#N/A</v>
      </c>
      <c r="P22" s="38" t="str">
        <f>VLOOKUP(A1,Data!$A$1:$DZU$10000,374,FALSE)</f>
        <v>#N/A</v>
      </c>
      <c r="Q22" s="38" t="str">
        <f>VLOOKUP(A1,Data!$A$1:$DZU$10000,375,FALSE)</f>
        <v>#N/A</v>
      </c>
    </row>
    <row r="23">
      <c r="A23" s="27" t="str">
        <f>VLOOKUP(A1,Data!$A$1:$DZU$10000,376,FALSE)</f>
        <v>#N/A</v>
      </c>
      <c r="B23" s="30" t="str">
        <f>VLOOKUP(A1,Data!$A$1:$DZU$10000,377,FALSE)</f>
        <v>#N/A</v>
      </c>
      <c r="C23" s="9"/>
      <c r="D23" s="9"/>
      <c r="E23" s="9"/>
      <c r="F23" s="9"/>
      <c r="G23" s="10"/>
      <c r="H23" s="38" t="str">
        <f>VLOOKUP(A1,Data!$A$1:$DZU$10000,383,FALSE)</f>
        <v>#N/A</v>
      </c>
      <c r="I23" s="38" t="str">
        <f>VLOOKUP(A1,Data!$A$1:$DZU$10000,384,FALSE)</f>
        <v>#N/A</v>
      </c>
      <c r="J23" s="31" t="str">
        <f>VLOOKUP(A1,Data!$A$1:$DZU$10000,385,FALSE)</f>
        <v>#N/A</v>
      </c>
      <c r="K23" s="38" t="str">
        <f>VLOOKUP(A1,Data!$A$1:$DZU$10000,386,FALSE)</f>
        <v>#N/A</v>
      </c>
      <c r="L23" s="38" t="str">
        <f>VLOOKUP(A1,Data!$A$1:$DZU$10000,387,FALSE)</f>
        <v>#N/A</v>
      </c>
      <c r="M23" s="38" t="str">
        <f>VLOOKUP(A1,Data!$A$1:$DZU$10000,388,FALSE)</f>
        <v>#N/A</v>
      </c>
      <c r="N23" s="38" t="str">
        <f>VLOOKUP(A1,Data!$A$1:$DZU$10000,389,FALSE)</f>
        <v>#N/A</v>
      </c>
      <c r="O23" s="38" t="str">
        <f>VLOOKUP(A1,Data!$A$1:$DZU$10000,390,FALSE)</f>
        <v>#N/A</v>
      </c>
      <c r="P23" s="38" t="str">
        <f>VLOOKUP(A1,Data!$A$1:$DZU$10000,391,FALSE)</f>
        <v>#N/A</v>
      </c>
      <c r="Q23" s="38" t="str">
        <f>VLOOKUP(A1,Data!$A$1:$DZU$10000,392,FALSE)</f>
        <v>#N/A</v>
      </c>
    </row>
    <row r="24">
      <c r="A24" s="26" t="str">
        <f>VLOOKUP(A1,Data!$A$1:$DZU$10000,393,FALSE)</f>
        <v>#N/A</v>
      </c>
      <c r="B24" s="9"/>
      <c r="C24" s="9"/>
      <c r="D24" s="9"/>
      <c r="E24" s="9"/>
      <c r="F24" s="9"/>
      <c r="G24" s="10"/>
      <c r="H24" s="38" t="str">
        <f>VLOOKUP(A1,Data!$A$1:$DZU$10000,400,FALSE)</f>
        <v>#N/A</v>
      </c>
      <c r="I24" s="38" t="str">
        <f>VLOOKUP(A1,Data!$A$1:$DZU$10000,401,FALSE)</f>
        <v>#N/A</v>
      </c>
      <c r="J24" s="32" t="str">
        <f>VLOOKUP(A1,Data!$A$1:$DZU$10000,402,FALSE)</f>
        <v>#N/A</v>
      </c>
      <c r="K24" s="38" t="str">
        <f>VLOOKUP(A1,Data!$A$1:$DZU$10000,403,FALSE)</f>
        <v>#N/A</v>
      </c>
      <c r="L24" s="38" t="str">
        <f>VLOOKUP(A1,Data!$A$1:$DZU$10000,404,FALSE)</f>
        <v>#N/A</v>
      </c>
      <c r="M24" s="38" t="str">
        <f>VLOOKUP(A1,Data!$A$1:$DZU$10000,405,FALSE)</f>
        <v>#N/A</v>
      </c>
      <c r="N24" s="38" t="str">
        <f>VLOOKUP(A1,Data!$A$1:$DZU$10000,406,FALSE)</f>
        <v>#N/A</v>
      </c>
      <c r="O24" s="38" t="str">
        <f>VLOOKUP(A1,Data!$A$1:$DZU$10000,407,FALSE)</f>
        <v>#N/A</v>
      </c>
      <c r="P24" s="38" t="str">
        <f>VLOOKUP(A1,Data!$A$1:$DZU$10000,408,FALSE)</f>
        <v>#N/A</v>
      </c>
      <c r="Q24" s="38" t="str">
        <f>VLOOKUP(A1,Data!$A$1:$DZU$10000,409,FALSE)</f>
        <v>#N/A</v>
      </c>
    </row>
    <row r="25">
      <c r="A25" s="28" t="str">
        <f>VLOOKUP(A1,Data!$A$1:$DZU$10000,410,FALSE)</f>
        <v>#N/A</v>
      </c>
      <c r="B25" s="9"/>
      <c r="C25" s="9"/>
      <c r="D25" s="9"/>
      <c r="E25" s="9"/>
      <c r="F25" s="9"/>
      <c r="G25" s="10"/>
      <c r="H25" s="38" t="str">
        <f>VLOOKUP(A1,Data!$A$1:$DZU$10000,417,FALSE)</f>
        <v>#N/A</v>
      </c>
      <c r="I25" s="38" t="str">
        <f>VLOOKUP(A1,Data!$A$1:$DZU$10000,418,FALSE)</f>
        <v>#N/A</v>
      </c>
      <c r="J25" s="32" t="str">
        <f>VLOOKUP(A1,Data!$A$1:$DZU$10000,419,FALSE)</f>
        <v>#N/A</v>
      </c>
      <c r="K25" s="38" t="str">
        <f>VLOOKUP(A1,Data!$A$1:$DZU$10000,420,FALSE)</f>
        <v>#N/A</v>
      </c>
      <c r="L25" s="38" t="str">
        <f>VLOOKUP(A1,Data!$A$1:$DZU$10000,421,FALSE)</f>
        <v>#N/A</v>
      </c>
      <c r="M25" s="38" t="str">
        <f>VLOOKUP(A1,Data!$A$1:$DZU$10000,422,FALSE)</f>
        <v>#N/A</v>
      </c>
      <c r="N25" s="38" t="str">
        <f>VLOOKUP(A1,Data!$A$1:$DZU$10000,423,FALSE)</f>
        <v>#N/A</v>
      </c>
      <c r="O25" s="38" t="str">
        <f>VLOOKUP(A1,Data!$A$1:$DZU$10000,424,FALSE)</f>
        <v>#N/A</v>
      </c>
      <c r="P25" s="38" t="str">
        <f>VLOOKUP(A1,Data!$A$1:$DZU$10000,425,FALSE)</f>
        <v>#N/A</v>
      </c>
      <c r="Q25" s="38" t="str">
        <f>VLOOKUP(A1,Data!$A$1:$DZU$10000,426,FALSE)</f>
        <v>#N/A</v>
      </c>
    </row>
    <row r="26">
      <c r="A26" s="30" t="str">
        <f>VLOOKUP(A1,Data!$A$1:$DZU$10000,427,FALSE)</f>
        <v>#N/A</v>
      </c>
      <c r="B26" s="9"/>
      <c r="C26" s="9"/>
      <c r="D26" s="9"/>
      <c r="E26" s="9"/>
      <c r="F26" s="9"/>
      <c r="G26" s="10"/>
      <c r="H26" s="38" t="str">
        <f>VLOOKUP(A1,Data!$A$1:$DZU$10000,434,FALSE)</f>
        <v>#N/A</v>
      </c>
      <c r="I26" s="38" t="str">
        <f>VLOOKUP(A1,Data!$A$1:$DZU$10000,435,FALSE)</f>
        <v>#N/A</v>
      </c>
      <c r="J26" s="32" t="str">
        <f>VLOOKUP(A1,Data!$A$1:$DZU$10000,436,FALSE)</f>
        <v>#N/A</v>
      </c>
      <c r="K26" s="38" t="str">
        <f>VLOOKUP(A1,Data!$A$1:$DZU$10000,437,FALSE)</f>
        <v>#N/A</v>
      </c>
      <c r="L26" s="38" t="str">
        <f>VLOOKUP(A1,Data!$A$1:$DZU$10000,438,FALSE)</f>
        <v>#N/A</v>
      </c>
      <c r="M26" s="38" t="str">
        <f>VLOOKUP(A1,Data!$A$1:$DZU$10000,439,FALSE)</f>
        <v>#N/A</v>
      </c>
      <c r="N26" s="38" t="str">
        <f>VLOOKUP(A1,Data!$A$1:$DZU$10000,440,FALSE)</f>
        <v>#N/A</v>
      </c>
      <c r="O26" s="38" t="str">
        <f>VLOOKUP(A1,Data!$A$1:$DZU$10000,441,FALSE)</f>
        <v>#N/A</v>
      </c>
      <c r="P26" s="38" t="str">
        <f>VLOOKUP(A1,Data!$A$1:$DZU$10000,442,FALSE)</f>
        <v>#N/A</v>
      </c>
      <c r="Q26" s="38" t="str">
        <f>VLOOKUP(A1,Data!$A$1:$DZU$10000,443,FALSE)</f>
        <v>#N/A</v>
      </c>
    </row>
    <row r="27">
      <c r="A27" s="33" t="str">
        <f>VLOOKUP(A1,Data!$A$1:$DZU$10000,444,FALSE)</f>
        <v>#N/A</v>
      </c>
      <c r="B27" s="9"/>
      <c r="C27" s="9"/>
      <c r="D27" s="9"/>
      <c r="E27" s="9"/>
      <c r="F27" s="9"/>
      <c r="G27" s="10"/>
      <c r="H27" s="34" t="str">
        <f>VLOOKUP(A1,Data!$A$1:$DZU$10000,451,FALSE)</f>
        <v>#N/A</v>
      </c>
      <c r="I27" s="34" t="str">
        <f>VLOOKUP(A1,Data!$A$1:$DZU$10000,452,FALSE)</f>
        <v>#N/A</v>
      </c>
      <c r="J27" s="32" t="str">
        <f>VLOOKUP(A1,Data!$A$1:$DZU$10000,453,FALSE)</f>
        <v>#N/A</v>
      </c>
      <c r="K27" s="38" t="str">
        <f>VLOOKUP(A1,Data!$A$1:$DZU$10000,454,FALSE)</f>
        <v>#N/A</v>
      </c>
      <c r="L27" s="38" t="str">
        <f>VLOOKUP(A1,Data!$A$1:$DZU$10000,455,FALSE)</f>
        <v>#N/A</v>
      </c>
      <c r="M27" s="38" t="str">
        <f>VLOOKUP(A1,Data!$A$1:$DZU$10000,456,FALSE)</f>
        <v>#N/A</v>
      </c>
      <c r="N27" s="38" t="str">
        <f>VLOOKUP(A1,Data!$A$1:$DZU$10000,457,FALSE)</f>
        <v>#N/A</v>
      </c>
      <c r="O27" s="38" t="str">
        <f>VLOOKUP(A1,Data!$A$1:$DZU$10000,458,FALSE)</f>
        <v>#N/A</v>
      </c>
      <c r="P27" s="38" t="str">
        <f>VLOOKUP(A1,Data!$A$1:$DZU$10000,459,FALSE)</f>
        <v>#N/A</v>
      </c>
      <c r="Q27" s="38" t="str">
        <f>VLOOKUP(A1,Data!$A$1:$DZU$10000,460,FALSE)</f>
        <v>#N/A</v>
      </c>
    </row>
    <row r="28">
      <c r="A28" s="33" t="str">
        <f>VLOOKUP(A1,Data!$A$1:$DZU$10000,461,FALSE)</f>
        <v>#N/A</v>
      </c>
      <c r="B28" s="9"/>
      <c r="C28" s="9"/>
      <c r="D28" s="9"/>
      <c r="E28" s="9"/>
      <c r="F28" s="9"/>
      <c r="G28" s="10"/>
      <c r="H28" s="34" t="str">
        <f>VLOOKUP(A1,Data!$A$1:$DZU$10000,468,FALSE)</f>
        <v>#N/A</v>
      </c>
      <c r="I28" s="34" t="str">
        <f>VLOOKUP(A1,Data!$A$1:$DZU$10000,469,FALSE)</f>
        <v>#N/A</v>
      </c>
      <c r="J28" s="32" t="str">
        <f>VLOOKUP(A1,Data!$A$1:$DZU$10000,470,FALSE)</f>
        <v>#N/A</v>
      </c>
      <c r="K28" s="38" t="str">
        <f>VLOOKUP(A1,Data!$A$1:$DZU$10000,471,FALSE)</f>
        <v>#N/A</v>
      </c>
      <c r="L28" s="38" t="str">
        <f>VLOOKUP(A1,Data!$A$1:$DZU$10000,472,FALSE)</f>
        <v>#N/A</v>
      </c>
      <c r="M28" s="38" t="str">
        <f>VLOOKUP(A1,Data!$A$1:$DZU$10000,473,FALSE)</f>
        <v>#N/A</v>
      </c>
      <c r="N28" s="38" t="str">
        <f>VLOOKUP(A1,Data!$A$1:$DZU$10000,474,FALSE)</f>
        <v>#N/A</v>
      </c>
      <c r="O28" s="38" t="str">
        <f>VLOOKUP(A1,Data!$A$1:$DZU$10000,475,FALSE)</f>
        <v>#N/A</v>
      </c>
      <c r="P28" s="38" t="str">
        <f>VLOOKUP(A1,Data!$A$1:$DZU$10000,476,FALSE)</f>
        <v>#N/A</v>
      </c>
      <c r="Q28" s="38" t="str">
        <f>VLOOKUP(A1,Data!$A$1:$DZU$10000,477,FALSE)</f>
        <v>#N/A</v>
      </c>
    </row>
    <row r="29">
      <c r="A29" s="33" t="str">
        <f>VLOOKUP(A1,Data!$A$1:$DZU$10000,478,FALSE)</f>
        <v>#N/A</v>
      </c>
      <c r="B29" s="9"/>
      <c r="C29" s="9"/>
      <c r="D29" s="9"/>
      <c r="E29" s="9"/>
      <c r="F29" s="9"/>
      <c r="G29" s="10"/>
      <c r="H29" s="34" t="str">
        <f>VLOOKUP(A1,Data!$A$1:$DZU$10000,485,FALSE)</f>
        <v>#N/A</v>
      </c>
      <c r="I29" s="34" t="str">
        <f>VLOOKUP(A1,Data!$A$1:$DZU$10000,486,FALSE)</f>
        <v>#N/A</v>
      </c>
      <c r="J29" s="32" t="str">
        <f>VLOOKUP(A1,Data!$A$1:$DZU$10000,487,FALSE)</f>
        <v>#N/A</v>
      </c>
      <c r="K29" s="38" t="str">
        <f>VLOOKUP(A1,Data!$A$1:$DZU$10000,488,FALSE)</f>
        <v>#N/A</v>
      </c>
      <c r="L29" s="38" t="str">
        <f>VLOOKUP(A1,Data!$A$1:$DZU$10000,489,FALSE)</f>
        <v>#N/A</v>
      </c>
      <c r="M29" s="38" t="str">
        <f>VLOOKUP(A1,Data!$A$1:$DZU$10000,490,FALSE)</f>
        <v>#N/A</v>
      </c>
      <c r="N29" s="38" t="str">
        <f>VLOOKUP(A1,Data!$A$1:$DZU$10000,491,FALSE)</f>
        <v>#N/A</v>
      </c>
      <c r="O29" s="38" t="str">
        <f>VLOOKUP(A1,Data!$A$1:$DZU$10000,492,FALSE)</f>
        <v>#N/A</v>
      </c>
      <c r="P29" s="38" t="str">
        <f>VLOOKUP(A1,Data!$A$1:$DZU$10000,493,FALSE)</f>
        <v>#N/A</v>
      </c>
      <c r="Q29" s="38" t="str">
        <f>VLOOKUP(A1,Data!$A$1:$DZU$10000,494,FALSE)</f>
        <v>#N/A</v>
      </c>
    </row>
    <row r="30">
      <c r="A30" s="33" t="str">
        <f>VLOOKUP(A1,Data!$A$1:$DZU$10000,495,FALSE)</f>
        <v>#N/A</v>
      </c>
      <c r="B30" s="9"/>
      <c r="C30" s="9"/>
      <c r="D30" s="9"/>
      <c r="E30" s="9"/>
      <c r="F30" s="9"/>
      <c r="G30" s="10"/>
      <c r="H30" s="34" t="str">
        <f>VLOOKUP(A1,Data!$A$1:$DZU$10000,502,FALSE)</f>
        <v>#N/A</v>
      </c>
      <c r="I30" s="34" t="str">
        <f>VLOOKUP(A1,Data!$A$1:$DZU$10000,503,FALSE)</f>
        <v>#N/A</v>
      </c>
      <c r="J30" s="32" t="str">
        <f>VLOOKUP(A1,Data!$A$1:$DZU$10000,504,FALSE)</f>
        <v>#N/A</v>
      </c>
      <c r="K30" s="38" t="str">
        <f>VLOOKUP(A1,Data!$A$1:$DZU$10000,505,FALSE)</f>
        <v>#N/A</v>
      </c>
      <c r="L30" s="38" t="str">
        <f>VLOOKUP(A1,Data!$A$1:$DZU$10000,506,FALSE)</f>
        <v>#N/A</v>
      </c>
      <c r="M30" s="38" t="str">
        <f>VLOOKUP(A1,Data!$A$1:$DZU$10000,507,FALSE)</f>
        <v>#N/A</v>
      </c>
      <c r="N30" s="38" t="str">
        <f>VLOOKUP(A1,Data!$A$1:$DZU$10000,508,FALSE)</f>
        <v>#N/A</v>
      </c>
      <c r="O30" s="38" t="str">
        <f>VLOOKUP(A1,Data!$A$1:$DZU$10000,509,FALSE)</f>
        <v>#N/A</v>
      </c>
      <c r="P30" s="38" t="str">
        <f>VLOOKUP(A1,Data!$A$1:$DZU$10000,510,FALSE)</f>
        <v>#N/A</v>
      </c>
      <c r="Q30" s="38" t="str">
        <f>VLOOKUP(A1,Data!$A$1:$DZU$10000,511,FALSE)</f>
        <v>#N/A</v>
      </c>
    </row>
    <row r="31">
      <c r="A31" s="33" t="str">
        <f>VLOOKUP(A1,Data!$A$1:$DZU$10000,512,FALSE)</f>
        <v>#N/A</v>
      </c>
      <c r="B31" s="9"/>
      <c r="C31" s="9"/>
      <c r="D31" s="9"/>
      <c r="E31" s="9"/>
      <c r="F31" s="9"/>
      <c r="G31" s="10"/>
      <c r="H31" s="34" t="str">
        <f>VLOOKUP(A1,Data!$A$1:$DZU$10000,519,FALSE)</f>
        <v>#N/A</v>
      </c>
      <c r="I31" s="34" t="str">
        <f>VLOOKUP(A1,Data!$A$1:$DZU$10000,520,FALSE)</f>
        <v>#N/A</v>
      </c>
      <c r="J31" s="32" t="str">
        <f>VLOOKUP(A1,Data!$A$1:$DZU$10000,521,FALSE)</f>
        <v>#N/A</v>
      </c>
      <c r="K31" s="38" t="str">
        <f>VLOOKUP(A1,Data!$A$1:$DZU$10000,522,FALSE)</f>
        <v>#N/A</v>
      </c>
      <c r="L31" s="38" t="str">
        <f>VLOOKUP(A1,Data!$A$1:$DZU$10000,523,FALSE)</f>
        <v>#N/A</v>
      </c>
      <c r="M31" s="38" t="str">
        <f>VLOOKUP(A1,Data!$A$1:$DZU$10000,524,FALSE)</f>
        <v>#N/A</v>
      </c>
      <c r="N31" s="38" t="str">
        <f>VLOOKUP(A1,Data!$A$1:$DZU$10000,525,FALSE)</f>
        <v>#N/A</v>
      </c>
      <c r="O31" s="38" t="str">
        <f>VLOOKUP(A1,Data!$A$1:$DZU$10000,526,FALSE)</f>
        <v>#N/A</v>
      </c>
      <c r="P31" s="38" t="str">
        <f>VLOOKUP(A1,Data!$A$1:$DZU$10000,527,FALSE)</f>
        <v>#N/A</v>
      </c>
      <c r="Q31" s="38" t="str">
        <f>VLOOKUP(A1,Data!$A$1:$DZU$10000,528,FALSE)</f>
        <v>#N/A</v>
      </c>
    </row>
    <row r="32">
      <c r="A32" s="33" t="str">
        <f>VLOOKUP(A1,Data!$A$1:$DZU$10000,529,FALSE)</f>
        <v>#N/A</v>
      </c>
      <c r="B32" s="9"/>
      <c r="C32" s="9"/>
      <c r="D32" s="9"/>
      <c r="E32" s="9"/>
      <c r="F32" s="9"/>
      <c r="G32" s="10"/>
      <c r="H32" s="34" t="str">
        <f>VLOOKUP(A1,Data!$A$1:$DZU$10000,536,FALSE)</f>
        <v>#N/A</v>
      </c>
      <c r="I32" s="34" t="str">
        <f>VLOOKUP(A1,Data!$A$1:$DZU$10000,537,FALSE)</f>
        <v>#N/A</v>
      </c>
      <c r="J32" s="32" t="str">
        <f>VLOOKUP(A1,Data!$A$1:$DZU$10000,538,FALSE)</f>
        <v>#N/A</v>
      </c>
      <c r="K32" s="38" t="str">
        <f>VLOOKUP(A1,Data!$A$1:$DZU$10000,539,FALSE)</f>
        <v>#N/A</v>
      </c>
      <c r="L32" s="38" t="str">
        <f>VLOOKUP(A1,Data!$A$1:$DZU$10000,540,FALSE)</f>
        <v>#N/A</v>
      </c>
      <c r="M32" s="38" t="str">
        <f>VLOOKUP(A1,Data!$A$1:$DZU$10000,541,FALSE)</f>
        <v>#N/A</v>
      </c>
      <c r="N32" s="38" t="str">
        <f>VLOOKUP(A1,Data!$A$1:$DZU$10000,542,FALSE)</f>
        <v>#N/A</v>
      </c>
      <c r="O32" s="38" t="str">
        <f>VLOOKUP(A1,Data!$A$1:$DZU$10000,543,FALSE)</f>
        <v>#N/A</v>
      </c>
      <c r="P32" s="38" t="str">
        <f>VLOOKUP(A1,Data!$A$1:$DZU$10000,544,FALSE)</f>
        <v>#N/A</v>
      </c>
      <c r="Q32" s="38" t="str">
        <f>VLOOKUP(A1,Data!$A$1:$DZU$10000,545,FALSE)</f>
        <v>#N/A</v>
      </c>
    </row>
    <row r="33">
      <c r="A33" s="33" t="str">
        <f>VLOOKUP(A1,Data!$A$1:$DZU$10000,546,FALSE)</f>
        <v>#N/A</v>
      </c>
      <c r="B33" s="9"/>
      <c r="C33" s="9"/>
      <c r="D33" s="9"/>
      <c r="E33" s="9"/>
      <c r="F33" s="9"/>
      <c r="G33" s="10"/>
      <c r="H33" s="34" t="str">
        <f>VLOOKUP(A1,Data!$A$1:$DZU$10000,553,FALSE)</f>
        <v>#N/A</v>
      </c>
      <c r="I33" s="34" t="str">
        <f>VLOOKUP(A1,Data!$A$1:$DZU$10000,554,FALSE)</f>
        <v>#N/A</v>
      </c>
      <c r="J33" s="32" t="str">
        <f>VLOOKUP(A1,Data!$A$1:$DZU$10000,555,FALSE)</f>
        <v>#N/A</v>
      </c>
      <c r="K33" s="38" t="str">
        <f>VLOOKUP(A1,Data!$A$1:$DZU$10000,556,FALSE)</f>
        <v>#N/A</v>
      </c>
      <c r="L33" s="38" t="str">
        <f>VLOOKUP(A1,Data!$A$1:$DZU$10000,557,FALSE)</f>
        <v>#N/A</v>
      </c>
      <c r="M33" s="38" t="str">
        <f>VLOOKUP(A1,Data!$A$1:$DZU$10000,558,FALSE)</f>
        <v>#N/A</v>
      </c>
      <c r="N33" s="38" t="str">
        <f>VLOOKUP(A1,Data!$A$1:$DZU$10000,559,FALSE)</f>
        <v>#N/A</v>
      </c>
      <c r="O33" s="38" t="str">
        <f>VLOOKUP(A1,Data!$A$1:$DZU$10000,560,FALSE)</f>
        <v>#N/A</v>
      </c>
      <c r="P33" s="38" t="str">
        <f>VLOOKUP(A1,Data!$A$1:$DZU$10000,561,FALSE)</f>
        <v>#N/A</v>
      </c>
      <c r="Q33" s="38" t="str">
        <f>VLOOKUP(A1,Data!$A$1:$DZU$10000,562,FALSE)</f>
        <v>#N/A</v>
      </c>
    </row>
    <row r="34">
      <c r="A34" s="15" t="str">
        <f>VLOOKUP(A1,Data!$A$1:$DZU$10000,563,FALSE)</f>
        <v>#N/A</v>
      </c>
      <c r="B34" s="38" t="str">
        <f>VLOOKUP(A1,Data!$A$1:$DZU$10000,564,FALSE)</f>
        <v>#N/A</v>
      </c>
      <c r="C34" s="38" t="str">
        <f>VLOOKUP(A1,Data!$A$1:$DZU$10000,565,FALSE)</f>
        <v>#N/A</v>
      </c>
      <c r="D34" s="38" t="str">
        <f>VLOOKUP(A1,Data!$A$1:$DZU$10000,566,FALSE)</f>
        <v>#N/A</v>
      </c>
      <c r="E34" s="38" t="str">
        <f>VLOOKUP(A1,Data!$A$1:$DZU$10000,567,FALSE)</f>
        <v>#N/A</v>
      </c>
      <c r="F34" s="38" t="str">
        <f>VLOOKUP(A1,Data!$A$1:$DZU$10000,568,FALSE)</f>
        <v>#N/A</v>
      </c>
      <c r="G34" s="18" t="str">
        <f>VLOOKUP(A1,Data!$A$1:$DZU$10000,569,FALSE)</f>
        <v>#N/A</v>
      </c>
      <c r="H34" s="31" t="str">
        <f>VLOOKUP(A1,Data!$A$1:$DZU$10000,570,FALSE)</f>
        <v>#N/A</v>
      </c>
      <c r="I34" s="31" t="str">
        <f>VLOOKUP(A1,Data!$A$1:$DZU$10000,571,FALSE)</f>
        <v>#N/A</v>
      </c>
      <c r="J34" s="35" t="str">
        <f>VLOOKUP(A1,Data!$A$1:$DZU$10000,572,FALSE)</f>
        <v>#N/A</v>
      </c>
      <c r="K34" s="38" t="str">
        <f>VLOOKUP(A1,Data!$A$1:$DZU$10000,573,FALSE)</f>
        <v>#N/A</v>
      </c>
      <c r="L34" s="38" t="str">
        <f>VLOOKUP(A1,Data!$A$1:$DZU$10000,574,FALSE)</f>
        <v>#N/A</v>
      </c>
      <c r="M34" s="38" t="str">
        <f>VLOOKUP(A1,Data!$A$1:$DZU$10000,575,FALSE)</f>
        <v>#N/A</v>
      </c>
      <c r="N34" s="38" t="str">
        <f>VLOOKUP(A1,Data!$A$1:$DZU$10000,576,FALSE)</f>
        <v>#N/A</v>
      </c>
      <c r="O34" s="38" t="str">
        <f>VLOOKUP(A1,Data!$A$1:$DZU$10000,577,FALSE)</f>
        <v>#N/A</v>
      </c>
      <c r="P34" s="38" t="str">
        <f>VLOOKUP(A1,Data!$A$1:$DZU$10000,578,FALSE)</f>
        <v>#N/A</v>
      </c>
      <c r="Q34" s="38" t="str">
        <f>VLOOKUP(A1,Data!$A$1:$DZU$10000,579,FALSE)</f>
        <v>#N/A</v>
      </c>
    </row>
    <row r="35">
      <c r="A35" s="17" t="str">
        <f>VLOOKUP(A1,Data!$A$1:$DZU$10000,580,FALSE)</f>
        <v>#N/A</v>
      </c>
      <c r="B35" s="38" t="str">
        <f>VLOOKUP(A1,Data!$A$1:$DZU$10000,581,FALSE)</f>
        <v>#N/A</v>
      </c>
      <c r="C35" s="38" t="str">
        <f>VLOOKUP(A1,Data!$A$1:$DZU$10000,582,FALSE)</f>
        <v>#N/A</v>
      </c>
      <c r="D35" s="38" t="str">
        <f>VLOOKUP(A1,Data!$A$1:$DZU$10000,583,FALSE)</f>
        <v>#N/A</v>
      </c>
      <c r="E35" s="38" t="str">
        <f>VLOOKUP(A1,Data!$A$1:$DZU$10000,584,FALSE)</f>
        <v>#N/A</v>
      </c>
      <c r="F35" s="38" t="str">
        <f>VLOOKUP(A1,Data!$A$1:$DZU$10000,585,FALSE)</f>
        <v>#N/A</v>
      </c>
      <c r="G35" s="38" t="str">
        <f>VLOOKUP(A1,Data!$A$1:$DZU$10000,586,FALSE)</f>
        <v>#N/A</v>
      </c>
      <c r="H35" s="32" t="str">
        <f>VLOOKUP(A1,Data!$A$1:$DZU$10000,587,FALSE)</f>
        <v>#N/A</v>
      </c>
      <c r="I35" s="32" t="str">
        <f>VLOOKUP(A1,Data!$A$1:$DZU$10000,588,FALSE)</f>
        <v>#N/A</v>
      </c>
      <c r="J35" s="32" t="str">
        <f>VLOOKUP(A1,Data!$A$1:$DZU$10000,589,FALSE)</f>
        <v>#N/A</v>
      </c>
      <c r="K35" s="38" t="str">
        <f>VLOOKUP(A1,Data!$A$1:$DZU$10000,590,FALSE)</f>
        <v>#N/A</v>
      </c>
      <c r="L35" s="38" t="str">
        <f>VLOOKUP(A1,Data!$A$1:$DZU$10000,591,FALSE)</f>
        <v>#N/A</v>
      </c>
      <c r="M35" s="38" t="str">
        <f>VLOOKUP(A1,Data!$A$1:$DZU$10000,592,FALSE)</f>
        <v>#N/A</v>
      </c>
      <c r="N35" s="38" t="str">
        <f>VLOOKUP(A1,Data!$A$1:$DZU$10000,593,FALSE)</f>
        <v>#N/A</v>
      </c>
      <c r="O35" s="38" t="str">
        <f>VLOOKUP(A1,Data!$A$1:$DZU$10000,594,FALSE)</f>
        <v>#N/A</v>
      </c>
      <c r="P35" s="38" t="str">
        <f>VLOOKUP(A1,Data!$A$1:$DZU$10000,595,FALSE)</f>
        <v>#N/A</v>
      </c>
      <c r="Q35" s="38" t="str">
        <f>VLOOKUP(A1,Data!$A$1:$DZU$10000,596,FALSE)</f>
        <v>#N/A</v>
      </c>
    </row>
    <row r="36">
      <c r="A36" s="15" t="str">
        <f>VLOOKUP(A1,Data!$A$1:$DZU$10000,597,FALSE)</f>
        <v>#N/A</v>
      </c>
      <c r="B36" s="20" t="str">
        <f>VLOOKUP(A1,Data!$A$1:$DZU$10000,598,FALSE)</f>
        <v>#N/A</v>
      </c>
      <c r="G36" s="38" t="str">
        <f>VLOOKUP(A1,Data!$A$1:$DZU$10000,603,FALSE)</f>
        <v>#N/A</v>
      </c>
      <c r="H36" s="36" t="str">
        <f>VLOOKUP(A1,Data!$A$1:$DZU$10000,604,FALSE)</f>
        <v>#N/A</v>
      </c>
      <c r="I36" s="36" t="str">
        <f>VLOOKUP(A1,Data!$A$1:$DZU$10000,605,FALSE)</f>
        <v>#N/A</v>
      </c>
      <c r="J36" s="36" t="str">
        <f>VLOOKUP(A1,Data!$A$1:$DZU$10000,606,FALSE)</f>
        <v>#N/A</v>
      </c>
      <c r="K36" s="38" t="str">
        <f>VLOOKUP(A1,Data!$A$1:$DZU$10000,607,FALSE)</f>
        <v>#N/A</v>
      </c>
      <c r="L36" s="38" t="str">
        <f>VLOOKUP(A1,Data!$A$1:$DZU$10000,608,FALSE)</f>
        <v>#N/A</v>
      </c>
      <c r="M36" s="38" t="str">
        <f>VLOOKUP(A1,Data!$A$1:$DZU$10000,609,FALSE)</f>
        <v>#N/A</v>
      </c>
      <c r="N36" s="38" t="str">
        <f>VLOOKUP(A1,Data!$A$1:$DZU$10000,610,FALSE)</f>
        <v>#N/A</v>
      </c>
      <c r="O36" s="38" t="str">
        <f>VLOOKUP(A1,Data!$A$1:$DZU$10000,611,FALSE)</f>
        <v>#N/A</v>
      </c>
      <c r="P36" s="38" t="str">
        <f>VLOOKUP(A1,Data!$A$1:$DZU$10000,612,FALSE)</f>
        <v>#N/A</v>
      </c>
      <c r="Q36" s="38" t="str">
        <f>VLOOKUP(A1,Data!$A$1:$DZU$10000,613,FALSE)</f>
        <v>#N/A</v>
      </c>
    </row>
    <row r="37">
      <c r="A37" s="15" t="str">
        <f>VLOOKUP(A1,Data!$A$1:$DZU$10000,614,FALSE)</f>
        <v>#N/A</v>
      </c>
      <c r="G37" s="38" t="str">
        <f>VLOOKUP(A1,Data!$A$1:$DZU$10000,620,FALSE)</f>
        <v>#N/A</v>
      </c>
      <c r="H37" s="18" t="str">
        <f>VLOOKUP(A1,Data!$A$1:$DZU$10000,621,FALSE)</f>
        <v>#N/A</v>
      </c>
      <c r="I37" s="38" t="str">
        <f>VLOOKUP(A1,Data!$A$1:$DZU$10000,622,FALSE)</f>
        <v>#N/A</v>
      </c>
      <c r="J37" s="37" t="str">
        <f>VLOOKUP(A1,Data!$A$1:$DZU$10000,623,FALSE)</f>
        <v>#N/A</v>
      </c>
      <c r="K37" s="38" t="str">
        <f>VLOOKUP(A1,Data!$A$1:$DZU$10000,624,FALSE)</f>
        <v>#N/A</v>
      </c>
      <c r="L37" s="38" t="str">
        <f>VLOOKUP(A1,Data!$A$1:$DZU$10000,625,FALSE)</f>
        <v>#N/A</v>
      </c>
      <c r="M37" s="38" t="str">
        <f>VLOOKUP(A1,Data!$A$1:$DZU$10000,626,FALSE)</f>
        <v>#N/A</v>
      </c>
      <c r="N37" s="38" t="str">
        <f>VLOOKUP(A1,Data!$A$1:$DZU$10000,627,FALSE)</f>
        <v>#N/A</v>
      </c>
      <c r="O37" s="38" t="str">
        <f>VLOOKUP(A1,Data!$A$1:$DZU$10000,628,FALSE)</f>
        <v>#N/A</v>
      </c>
      <c r="P37" s="38" t="str">
        <f>VLOOKUP(A1,Data!$A$1:$DZU$10000,629,FALSE)</f>
        <v>#N/A</v>
      </c>
      <c r="Q37" s="38" t="str">
        <f>VLOOKUP(A1,Data!$A$1:$DZU$10000,630,FALSE)</f>
        <v>#N/A</v>
      </c>
    </row>
    <row r="38">
      <c r="A38" s="26" t="str">
        <f>VLOOKUP(A1,Data!$A$1:$DZU$10000,631,FALSE)</f>
        <v>#N/A</v>
      </c>
      <c r="B38" s="9"/>
      <c r="C38" s="9"/>
      <c r="D38" s="9"/>
      <c r="E38" s="9"/>
      <c r="F38" s="9"/>
      <c r="G38" s="9"/>
      <c r="H38" s="9"/>
      <c r="I38" s="9"/>
      <c r="J38" s="10"/>
      <c r="K38" s="38" t="str">
        <f>VLOOKUP(A1,Data!$A$1:$DZU$10000,641,FALSE)</f>
        <v>#N/A</v>
      </c>
      <c r="L38" s="38" t="str">
        <f>VLOOKUP(A1,Data!$A$1:$DZU$10000,642,FALSE)</f>
        <v>#N/A</v>
      </c>
      <c r="M38" s="38" t="str">
        <f>VLOOKUP(A1,Data!$A$1:$DZU$10000,643,FALSE)</f>
        <v>#N/A</v>
      </c>
      <c r="N38" s="38" t="str">
        <f>VLOOKUP(A1,Data!$A$1:$DZU$10000,644,FALSE)</f>
        <v>#N/A</v>
      </c>
      <c r="O38" s="38" t="str">
        <f>VLOOKUP(A1,Data!$A$1:$DZU$10000,645,FALSE)</f>
        <v>#N/A</v>
      </c>
      <c r="P38" s="38" t="str">
        <f>VLOOKUP(A1,Data!$A$1:$DZU$10000,646,FALSE)</f>
        <v>#N/A</v>
      </c>
      <c r="Q38" s="38" t="str">
        <f>VLOOKUP(A1,Data!$A$1:$DZU$10000,647,FALSE)</f>
        <v>#N/A</v>
      </c>
    </row>
    <row r="39">
      <c r="A39" s="17" t="str">
        <f>VLOOKUP(A1,Data!$A$1:$DZU$10000,648,FALSE)</f>
        <v>#N/A</v>
      </c>
      <c r="F39" s="20" t="str">
        <f>VLOOKUP(A1,Data!$A$1:$DZU$10000,653,FALSE)</f>
        <v>#N/A</v>
      </c>
      <c r="G39" s="38" t="str">
        <f>VLOOKUP(A1,Data!$A$1:$DZU$10000,654,FALSE)</f>
        <v>#N/A</v>
      </c>
      <c r="J39" s="7"/>
      <c r="K39" s="38" t="str">
        <f>VLOOKUP(A1,Data!$A$1:$DZU$10000,658,FALSE)</f>
        <v>#N/A</v>
      </c>
      <c r="L39" s="38" t="str">
        <f>VLOOKUP(A1,Data!$A$1:$DZU$10000,659,FALSE)</f>
        <v>#N/A</v>
      </c>
      <c r="M39" s="38" t="str">
        <f>VLOOKUP(A1,Data!$A$1:$DZU$10000,660,FALSE)</f>
        <v>#N/A</v>
      </c>
      <c r="N39" s="38" t="str">
        <f>VLOOKUP(A1,Data!$A$1:$DZU$10000,661,FALSE)</f>
        <v>#N/A</v>
      </c>
      <c r="O39" s="38" t="str">
        <f>VLOOKUP(A1,Data!$A$1:$DZU$10000,662,FALSE)</f>
        <v>#N/A</v>
      </c>
      <c r="P39" s="38" t="str">
        <f>VLOOKUP(A1,Data!$A$1:$DZU$10000,663,FALSE)</f>
        <v>#N/A</v>
      </c>
      <c r="Q39" s="38" t="str">
        <f>VLOOKUP(A1,Data!$A$1:$DZU$10000,664,FALSE)</f>
        <v>#N/A</v>
      </c>
    </row>
    <row r="40">
      <c r="A40" s="17" t="str">
        <f>VLOOKUP(A1,Data!$A$1:$DZU$10000,665,FALSE)</f>
        <v>#N/A</v>
      </c>
      <c r="F40" s="20" t="str">
        <f>VLOOKUP(A1,Data!$A$1:$DZU$10000,670,FALSE)</f>
        <v>#N/A</v>
      </c>
      <c r="J40" s="7"/>
      <c r="K40" s="38" t="str">
        <f>VLOOKUP(A1,Data!$A$1:$DZU$10000,675,FALSE)</f>
        <v>#N/A</v>
      </c>
      <c r="L40" s="38" t="str">
        <f>VLOOKUP(A1,Data!$A$1:$DZU$10000,676,FALSE)</f>
        <v>#N/A</v>
      </c>
      <c r="M40" s="38" t="str">
        <f>VLOOKUP(A1,Data!$A$1:$DZU$10000,677,FALSE)</f>
        <v>#N/A</v>
      </c>
      <c r="N40" s="38" t="str">
        <f>VLOOKUP(A1,Data!$A$1:$DZU$10000,678,FALSE)</f>
        <v>#N/A</v>
      </c>
      <c r="O40" s="38" t="str">
        <f>VLOOKUP(A1,Data!$A$1:$DZU$10000,679,FALSE)</f>
        <v>#N/A</v>
      </c>
      <c r="P40" s="38" t="str">
        <f>VLOOKUP(A1,Data!$A$1:$DZU$10000,680,FALSE)</f>
        <v>#N/A</v>
      </c>
      <c r="Q40" s="38" t="str">
        <f>VLOOKUP(A1,Data!$A$1:$DZU$10000,681,FALSE)</f>
        <v>#N/A</v>
      </c>
    </row>
    <row r="41">
      <c r="A41" s="39" t="str">
        <f>VLOOKUP(A1,Data!$A$1:$DZU$10000,682,FALSE)</f>
        <v>#N/A</v>
      </c>
      <c r="B41" s="9"/>
      <c r="C41" s="9"/>
      <c r="D41" s="9"/>
      <c r="E41" s="9"/>
      <c r="F41" s="9"/>
      <c r="G41" s="9"/>
      <c r="H41" s="9"/>
      <c r="I41" s="9"/>
      <c r="J41" s="10"/>
      <c r="K41" s="38" t="str">
        <f>VLOOKUP(A1,Data!$A$1:$DZU$10000,692,FALSE)</f>
        <v>#N/A</v>
      </c>
      <c r="L41" s="38" t="str">
        <f>VLOOKUP(A1,Data!$A$1:$DZU$10000,693,FALSE)</f>
        <v>#N/A</v>
      </c>
      <c r="M41" s="38" t="str">
        <f>VLOOKUP(A1,Data!$A$1:$DZU$10000,694,FALSE)</f>
        <v>#N/A</v>
      </c>
      <c r="N41" s="38" t="str">
        <f>VLOOKUP(A1,Data!$A$1:$DZU$10000,695,FALSE)</f>
        <v>#N/A</v>
      </c>
      <c r="O41" s="38" t="str">
        <f>VLOOKUP(A1,Data!$A$1:$DZU$10000,696,FALSE)</f>
        <v>#N/A</v>
      </c>
      <c r="P41" s="38" t="str">
        <f>VLOOKUP(A1,Data!$A$1:$DZU$10000,697,FALSE)</f>
        <v>#N/A</v>
      </c>
      <c r="Q41" s="38" t="str">
        <f>VLOOKUP(A1,Data!$A$1:$DZU$10000,698,FALSE)</f>
        <v>#N/A</v>
      </c>
    </row>
    <row r="42">
      <c r="A42" s="17" t="str">
        <f>VLOOKUP(A1,Data!$A$1:$DZU$10000,699,FALSE)</f>
        <v>#N/A</v>
      </c>
      <c r="J42" s="7"/>
      <c r="K42" s="38" t="str">
        <f>VLOOKUP(A1,Data!$A$1:$DZU$10000,709,FALSE)</f>
        <v>#N/A</v>
      </c>
      <c r="L42" s="38" t="str">
        <f>VLOOKUP(A1,Data!$A$1:$DZU$10000,710,FALSE)</f>
        <v>#N/A</v>
      </c>
      <c r="M42" s="38" t="str">
        <f>VLOOKUP(A1,Data!$A$1:$DZU$10000,711,FALSE)</f>
        <v>#N/A</v>
      </c>
      <c r="N42" s="38" t="str">
        <f>VLOOKUP(A1,Data!$A$1:$DZU$10000,712,FALSE)</f>
        <v>#N/A</v>
      </c>
      <c r="O42" s="38" t="str">
        <f>VLOOKUP(A1,Data!$A$1:$DZU$10000,713,FALSE)</f>
        <v>#N/A</v>
      </c>
      <c r="P42" s="38" t="str">
        <f>VLOOKUP(A1,Data!$A$1:$DZU$10000,714,FALSE)</f>
        <v>#N/A</v>
      </c>
      <c r="Q42" s="38" t="str">
        <f>VLOOKUP(A1,Data!$A$1:$DZU$10000,715,FALSE)</f>
        <v>#N/A</v>
      </c>
    </row>
    <row r="43">
      <c r="A43" s="15" t="str">
        <f>VLOOKUP(A1,Data!$A$1:$DZU$10000,716,FALSE)</f>
        <v>#N/A</v>
      </c>
      <c r="B43" s="38" t="str">
        <f>VLOOKUP(A1,Data!$A$1:$DZU$10000,717,FALSE)</f>
        <v>#N/A</v>
      </c>
      <c r="C43" s="38" t="str">
        <f>VLOOKUP(A1,Data!$A$1:$DZU$10000,718,FALSE)</f>
        <v>#N/A</v>
      </c>
      <c r="D43" s="38" t="str">
        <f>VLOOKUP(A1,Data!$A$1:$DZU$10000,719,FALSE)</f>
        <v>#N/A</v>
      </c>
      <c r="E43" s="38" t="str">
        <f>VLOOKUP(A1,Data!$A$1:$DZU$10000,720,FALSE)</f>
        <v>#N/A</v>
      </c>
      <c r="F43" s="38" t="str">
        <f>VLOOKUP(A1,Data!$A$1:$DZU$10000,721,FALSE)</f>
        <v>#N/A</v>
      </c>
      <c r="G43" s="38" t="str">
        <f>VLOOKUP(A1,Data!$A$1:$DZU$10000,722,FALSE)</f>
        <v>#N/A</v>
      </c>
      <c r="H43" s="38" t="str">
        <f>VLOOKUP(A1,Data!$A$1:$DZU$10000,723,FALSE)</f>
        <v>#N/A</v>
      </c>
      <c r="I43" s="38" t="str">
        <f>VLOOKUP(A1,Data!$A$1:$DZU$10000,724,FALSE)</f>
        <v>#N/A</v>
      </c>
      <c r="J43" s="16" t="str">
        <f>VLOOKUP(A1,Data!$A$1:$DZU$10000,725,FALSE)</f>
        <v>#N/A</v>
      </c>
      <c r="K43" s="38" t="str">
        <f>VLOOKUP(A1,Data!$A$1:$DZU$10000,726,FALSE)</f>
        <v>#N/A</v>
      </c>
      <c r="L43" s="38" t="str">
        <f>VLOOKUP(A1,Data!$A$1:$DZU$10000,727,FALSE)</f>
        <v>#N/A</v>
      </c>
      <c r="M43" s="38" t="str">
        <f>VLOOKUP(A1,Data!$A$1:$DZU$10000,728,FALSE)</f>
        <v>#N/A</v>
      </c>
      <c r="N43" s="38" t="str">
        <f>VLOOKUP(A1,Data!$A$1:$DZU$10000,729,FALSE)</f>
        <v>#N/A</v>
      </c>
      <c r="O43" s="38" t="str">
        <f>VLOOKUP(A1,Data!$A$1:$DZU$10000,730,FALSE)</f>
        <v>#N/A</v>
      </c>
      <c r="P43" s="38" t="str">
        <f>VLOOKUP(A1,Data!$A$1:$DZU$10000,731,FALSE)</f>
        <v>#N/A</v>
      </c>
      <c r="Q43" s="38" t="str">
        <f>VLOOKUP(A1,Data!$A$1:$DZU$10000,732,FALSE)</f>
        <v>#N/A</v>
      </c>
    </row>
    <row r="44">
      <c r="A44" s="17" t="str">
        <f>VLOOKUP(A1,Data!$A$1:$DZU$10000,733,FALSE)</f>
        <v>#N/A</v>
      </c>
      <c r="C44" s="38" t="str">
        <f>VLOOKUP(A1,Data!$A$1:$DZU$10000,735,FALSE)</f>
        <v>#N/A</v>
      </c>
      <c r="F44" s="20" t="str">
        <f>VLOOKUP(A1,Data!$A$1:$DZU$10000,738,FALSE)</f>
        <v>#N/A</v>
      </c>
      <c r="G44" s="38" t="str">
        <f>VLOOKUP(A1,Data!$A$1:$DZU$10000,739,FALSE)</f>
        <v>#N/A</v>
      </c>
      <c r="J44" s="7"/>
      <c r="K44" s="38" t="str">
        <f>VLOOKUP(A1,Data!$A$1:$DZU$10000,743,FALSE)</f>
        <v>#N/A</v>
      </c>
      <c r="L44" s="38" t="str">
        <f>VLOOKUP(A1,Data!$A$1:$DZU$10000,744,FALSE)</f>
        <v>#N/A</v>
      </c>
      <c r="M44" s="38" t="str">
        <f>VLOOKUP(A1,Data!$A$1:$DZU$10000,745,FALSE)</f>
        <v>#N/A</v>
      </c>
      <c r="N44" s="38" t="str">
        <f>VLOOKUP(A1,Data!$A$1:$DZU$10000,746,FALSE)</f>
        <v>#N/A</v>
      </c>
      <c r="O44" s="38" t="str">
        <f>VLOOKUP(A1,Data!$A$1:$DZU$10000,747,FALSE)</f>
        <v>#N/A</v>
      </c>
      <c r="P44" s="38" t="str">
        <f>VLOOKUP(A1,Data!$A$1:$DZU$10000,748,FALSE)</f>
        <v>#N/A</v>
      </c>
      <c r="Q44" s="38" t="str">
        <f>VLOOKUP(A1,Data!$A$1:$DZU$10000,749,FALSE)</f>
        <v>#N/A</v>
      </c>
    </row>
    <row r="45">
      <c r="A45" s="17" t="str">
        <f>VLOOKUP(A1,Data!$A$1:$DZU$10000,750,FALSE)</f>
        <v>#N/A</v>
      </c>
      <c r="B45" s="20" t="str">
        <f>VLOOKUP(A1,Data!$A$1:$DZU$10000,751,FALSE)</f>
        <v>#N/A</v>
      </c>
      <c r="F45" s="38" t="str">
        <f>VLOOKUP(A1,Data!$A$1:$DZU$10000,755,FALSE)</f>
        <v>#N/A</v>
      </c>
      <c r="G45" s="38" t="str">
        <f>VLOOKUP(A1,Data!$A$1:$DZU$10000,756,FALSE)</f>
        <v>#N/A</v>
      </c>
      <c r="H45" s="38" t="str">
        <f>VLOOKUP(A1,Data!$A$1:$DZU$10000,757,FALSE)</f>
        <v>#N/A</v>
      </c>
      <c r="I45" s="38" t="str">
        <f>VLOOKUP(A1,Data!$A$1:$DZU$10000,758,FALSE)</f>
        <v>#N/A</v>
      </c>
      <c r="J45" s="16" t="str">
        <f>VLOOKUP(A1,Data!$A$1:$DZU$10000,759,FALSE)</f>
        <v>#N/A</v>
      </c>
      <c r="K45" s="38" t="str">
        <f>VLOOKUP(A1,Data!$A$1:$DZU$10000,760,FALSE)</f>
        <v>#N/A</v>
      </c>
      <c r="L45" s="38" t="str">
        <f>VLOOKUP(A1,Data!$A$1:$DZU$10000,761,FALSE)</f>
        <v>#N/A</v>
      </c>
      <c r="M45" s="38" t="str">
        <f>VLOOKUP(A1,Data!$A$1:$DZU$10000,762,FALSE)</f>
        <v>#N/A</v>
      </c>
      <c r="N45" s="38" t="str">
        <f>VLOOKUP(A1,Data!$A$1:$DZU$10000,763,FALSE)</f>
        <v>#N/A</v>
      </c>
      <c r="O45" s="38" t="str">
        <f>VLOOKUP(A1,Data!$A$1:$DZU$10000,764,FALSE)</f>
        <v>#N/A</v>
      </c>
      <c r="P45" s="38" t="str">
        <f>VLOOKUP(A1,Data!$A$1:$DZU$10000,765,FALSE)</f>
        <v>#N/A</v>
      </c>
      <c r="Q45" s="38" t="str">
        <f>VLOOKUP(A1,Data!$A$1:$DZU$10000,766,FALSE)</f>
        <v>#N/A</v>
      </c>
    </row>
    <row r="46">
      <c r="A46" s="15" t="str">
        <f>VLOOKUP(A1,Data!$A$1:$DZU$10000,767,FALSE)</f>
        <v>#N/A</v>
      </c>
      <c r="B46" s="38" t="str">
        <f>VLOOKUP(A1,Data!$A$1:$DZU$10000,768,FALSE)</f>
        <v>#N/A</v>
      </c>
      <c r="C46" s="38" t="str">
        <f>VLOOKUP(A1,Data!$A$1:$DZU$10000,769,FALSE)</f>
        <v>#N/A</v>
      </c>
      <c r="D46" s="38" t="str">
        <f>VLOOKUP(A1,Data!$A$1:$DZU$10000,770,FALSE)</f>
        <v>#N/A</v>
      </c>
      <c r="E46" s="38" t="str">
        <f>VLOOKUP(A1,Data!$A$1:$DZU$10000,771,FALSE)</f>
        <v>#N/A</v>
      </c>
      <c r="F46" s="38" t="str">
        <f>VLOOKUP(A1,Data!$A$1:$DZU$10000,772,FALSE)</f>
        <v>#N/A</v>
      </c>
      <c r="G46" s="38" t="str">
        <f>VLOOKUP(A1,Data!$A$1:$DZU$10000,773,FALSE)</f>
        <v>#N/A</v>
      </c>
      <c r="H46" s="38" t="str">
        <f>VLOOKUP(A1,Data!$A$1:$DZU$10000,774,FALSE)</f>
        <v>#N/A</v>
      </c>
      <c r="I46" s="38" t="str">
        <f>VLOOKUP(A1,Data!$A$1:$DZU$10000,775,FALSE)</f>
        <v>#N/A</v>
      </c>
      <c r="J46" s="16" t="str">
        <f>VLOOKUP(A1,Data!$A$1:$DZU$10000,776,FALSE)</f>
        <v>#N/A</v>
      </c>
      <c r="K46" s="38" t="str">
        <f>VLOOKUP(A1,Data!$A$1:$DZU$10000,777,FALSE)</f>
        <v>#N/A</v>
      </c>
      <c r="L46" s="38" t="str">
        <f>VLOOKUP(A1,Data!$A$1:$DZU$10000,778,FALSE)</f>
        <v>#N/A</v>
      </c>
      <c r="M46" s="38" t="str">
        <f>VLOOKUP(A1,Data!$A$1:$DZU$10000,779,FALSE)</f>
        <v>#N/A</v>
      </c>
      <c r="N46" s="38" t="str">
        <f>VLOOKUP(A1,Data!$A$1:$DZU$10000,780,FALSE)</f>
        <v>#N/A</v>
      </c>
      <c r="O46" s="38" t="str">
        <f>VLOOKUP(A1,Data!$A$1:$DZU$10000,781,FALSE)</f>
        <v>#N/A</v>
      </c>
      <c r="P46" s="38" t="str">
        <f>VLOOKUP(A1,Data!$A$1:$DZU$10000,782,FALSE)</f>
        <v>#N/A</v>
      </c>
      <c r="Q46" s="38" t="str">
        <f>VLOOKUP(A1,Data!$A$1:$DZU$10000,783,FALSE)</f>
        <v>#N/A</v>
      </c>
    </row>
    <row r="47">
      <c r="A47" s="17" t="str">
        <f>VLOOKUP(A1,Data!$A$1:$DZU$10000,784,FALSE)</f>
        <v>#N/A</v>
      </c>
      <c r="B47" s="38" t="str">
        <f>VLOOKUP(A1,Data!$A$1:$DZU$10000,785,FALSE)</f>
        <v>#N/A</v>
      </c>
      <c r="C47" s="38" t="str">
        <f>VLOOKUP(A1,Data!$A$1:$DZU$10000,786,FALSE)</f>
        <v>#N/A</v>
      </c>
      <c r="D47" s="38" t="str">
        <f>VLOOKUP(A1,Data!$A$1:$DZU$10000,787,FALSE)</f>
        <v>#N/A</v>
      </c>
      <c r="E47" s="38" t="str">
        <f>VLOOKUP(A1,Data!$A$1:$DZU$10000,788,FALSE)</f>
        <v>#N/A</v>
      </c>
      <c r="F47" s="20" t="str">
        <f>VLOOKUP(A1,Data!$A$1:$DZU$10000,789,FALSE)</f>
        <v>#N/A</v>
      </c>
      <c r="G47" s="38" t="str">
        <f>VLOOKUP(A1,Data!$A$1:$DZU$10000,790,FALSE)</f>
        <v>#N/A</v>
      </c>
      <c r="H47" s="38" t="str">
        <f>VLOOKUP(A1,Data!$A$1:$DZU$10000,791,FALSE)</f>
        <v>#N/A</v>
      </c>
      <c r="I47" s="38" t="str">
        <f>VLOOKUP(A1,Data!$A$1:$DZU$10000,792,FALSE)</f>
        <v>#N/A</v>
      </c>
      <c r="J47" s="16" t="str">
        <f>VLOOKUP(A1,Data!$A$1:$DZU$10000,793,FALSE)</f>
        <v>#N/A</v>
      </c>
      <c r="K47" s="38" t="str">
        <f>VLOOKUP(A1,Data!$A$1:$DZU$10000,794,FALSE)</f>
        <v>#N/A</v>
      </c>
      <c r="L47" s="38" t="str">
        <f>VLOOKUP(A1,Data!$A$1:$DZU$10000,795,FALSE)</f>
        <v>#N/A</v>
      </c>
      <c r="M47" s="38" t="str">
        <f>VLOOKUP(A1,Data!$A$1:$DZU$10000,796,FALSE)</f>
        <v>#N/A</v>
      </c>
      <c r="N47" s="38" t="str">
        <f>VLOOKUP(A1,Data!$A$1:$DZU$10000,797,FALSE)</f>
        <v>#N/A</v>
      </c>
      <c r="O47" s="38" t="str">
        <f>VLOOKUP(A1,Data!$A$1:$DZU$10000,798,FALSE)</f>
        <v>#N/A</v>
      </c>
      <c r="P47" s="38" t="str">
        <f>VLOOKUP(A1,Data!$A$1:$DZU$10000,799,FALSE)</f>
        <v>#N/A</v>
      </c>
      <c r="Q47" s="38" t="str">
        <f>VLOOKUP(A1,Data!$A$1:$DZU$10000,800,FALSE)</f>
        <v>#N/A</v>
      </c>
    </row>
    <row r="48">
      <c r="A48" s="26" t="str">
        <f>VLOOKUP(A1,Data!$A$1:$DZU$10000,801,FALSE)</f>
        <v>#N/A</v>
      </c>
      <c r="B48" s="9"/>
      <c r="C48" s="9"/>
      <c r="D48" s="9"/>
      <c r="E48" s="9"/>
      <c r="F48" s="9"/>
      <c r="G48" s="9"/>
      <c r="H48" s="9"/>
      <c r="I48" s="9"/>
      <c r="J48" s="10"/>
      <c r="K48" s="38" t="str">
        <f>VLOOKUP(A1,Data!$A$1:$DZU$10000,811,FALSE)</f>
        <v>#N/A</v>
      </c>
      <c r="L48" s="38" t="str">
        <f>VLOOKUP(A1,Data!$A$1:$DZU$10000,812,FALSE)</f>
        <v>#N/A</v>
      </c>
      <c r="M48" s="38" t="str">
        <f>VLOOKUP(A1,Data!$A$1:$DZU$10000,813,FALSE)</f>
        <v>#N/A</v>
      </c>
      <c r="N48" s="38" t="str">
        <f>VLOOKUP(A1,Data!$A$1:$DZU$10000,814,FALSE)</f>
        <v>#N/A</v>
      </c>
      <c r="O48" s="38" t="str">
        <f>VLOOKUP(A1,Data!$A$1:$DZU$10000,815,FALSE)</f>
        <v>#N/A</v>
      </c>
      <c r="P48" s="38" t="str">
        <f>VLOOKUP(A1,Data!$A$1:$DZU$10000,816,FALSE)</f>
        <v>#N/A</v>
      </c>
      <c r="Q48" s="38" t="str">
        <f>VLOOKUP(A1,Data!$A$1:$DZU$10000,817,FALSE)</f>
        <v>#N/A</v>
      </c>
    </row>
  </sheetData>
  <mergeCells count="50">
    <mergeCell ref="A6:B6"/>
    <mergeCell ref="F6:G6"/>
    <mergeCell ref="B2:L2"/>
    <mergeCell ref="B8:D8"/>
    <mergeCell ref="A3:J3"/>
    <mergeCell ref="A4:E4"/>
    <mergeCell ref="F4:J4"/>
    <mergeCell ref="A5:J5"/>
    <mergeCell ref="G10:I10"/>
    <mergeCell ref="A26:G26"/>
    <mergeCell ref="A27:G27"/>
    <mergeCell ref="A28:G28"/>
    <mergeCell ref="A29:G29"/>
    <mergeCell ref="B23:G23"/>
    <mergeCell ref="A31:G31"/>
    <mergeCell ref="A32:G32"/>
    <mergeCell ref="A33:G33"/>
    <mergeCell ref="B36:F37"/>
    <mergeCell ref="A38:J38"/>
    <mergeCell ref="G39:J39"/>
    <mergeCell ref="A30:G30"/>
    <mergeCell ref="G17:I17"/>
    <mergeCell ref="G18:I18"/>
    <mergeCell ref="G19:I19"/>
    <mergeCell ref="F20:G20"/>
    <mergeCell ref="H20:I20"/>
    <mergeCell ref="A21:J21"/>
    <mergeCell ref="A22:G22"/>
    <mergeCell ref="A44:B44"/>
    <mergeCell ref="C44:E44"/>
    <mergeCell ref="A39:E39"/>
    <mergeCell ref="B45:E45"/>
    <mergeCell ref="A48:J48"/>
    <mergeCell ref="A40:E40"/>
    <mergeCell ref="F40:J40"/>
    <mergeCell ref="A41:J41"/>
    <mergeCell ref="A42:J42"/>
    <mergeCell ref="G44:J44"/>
    <mergeCell ref="B9:D9"/>
    <mergeCell ref="B10:D10"/>
    <mergeCell ref="B11:D11"/>
    <mergeCell ref="B14:D14"/>
    <mergeCell ref="B15:D15"/>
    <mergeCell ref="B16:D16"/>
    <mergeCell ref="G8:I8"/>
    <mergeCell ref="G9:I9"/>
    <mergeCell ref="G13:I13"/>
    <mergeCell ref="G12:I12"/>
    <mergeCell ref="A24:G24"/>
    <mergeCell ref="A25:G25"/>
  </mergeCells>
  <dataValidations>
    <dataValidation type="list" allowBlank="1" sqref="B8 G8 G17">
      <formula1>contacts!$AR:$AR</formula1>
    </dataValidation>
    <dataValidation type="list" allowBlank="1" showErrorMessage="1" sqref="B2">
      <formula1>Data!$A:$A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47" t="s">
        <v>77</v>
      </c>
    </row>
    <row r="3">
      <c r="A3" s="20" t="s">
        <v>78</v>
      </c>
      <c r="B3" s="25">
        <f>TODAY()</f>
        <v>45747</v>
      </c>
    </row>
  </sheetData>
  <autoFilter ref="$A$9:$O$1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/>
      <c r="B1" s="49" t="str">
        <f>View_Print!M1</f>
        <v>Acknowledged By:</v>
      </c>
      <c r="C1" s="49" t="str">
        <f>View_Print!N1</f>
        <v>Date Signed:</v>
      </c>
      <c r="D1" s="49" t="str">
        <f>View_Print!O1</f>
        <v>Update 3</v>
      </c>
      <c r="E1" s="48" t="str">
        <f>Input!A1</f>
        <v>PURCHASE ORDER NUMBER:</v>
      </c>
      <c r="F1" s="48" t="str">
        <f>Input!B1</f>
        <v>JOB/PHASE NUMBER:</v>
      </c>
      <c r="G1" s="48" t="str">
        <f>Input!C1</f>
        <v>To:</v>
      </c>
      <c r="H1" s="48" t="str">
        <f>Input!D1</f>
        <v>Delivery Required By:</v>
      </c>
      <c r="I1" s="48" t="str">
        <f>Input!E1</f>
        <v>Date of Order</v>
      </c>
      <c r="J1" s="48" t="str">
        <f>Input!F1</f>
        <v>GRAND TOTAL:</v>
      </c>
      <c r="K1" s="48" t="str">
        <f>Input!G1</f>
        <v>PROJECT:</v>
      </c>
      <c r="L1" s="48" t="str">
        <f>Input!H1</f>
        <v>Attachment Link:</v>
      </c>
      <c r="M1" s="50" t="str">
        <f>Input!I1</f>
        <v>Log 9</v>
      </c>
      <c r="N1" s="50" t="str">
        <f>Input!J1</f>
        <v>Log 10</v>
      </c>
      <c r="O1" s="50" t="str">
        <f>Input!K1</f>
        <v>Log 11</v>
      </c>
      <c r="P1" s="50" t="str">
        <f>Input!L1</f>
        <v>Log 12</v>
      </c>
      <c r="Q1" s="50"/>
    </row>
    <row r="2">
      <c r="A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</row>
    <row r="3">
      <c r="A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</row>
    <row r="4">
      <c r="A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>
      <c r="A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</row>
    <row r="6">
      <c r="A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</row>
    <row r="7">
      <c r="A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</row>
    <row r="8">
      <c r="A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</row>
    <row r="9">
      <c r="A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</row>
    <row r="10">
      <c r="A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</row>
    <row r="11">
      <c r="A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</row>
    <row r="12">
      <c r="A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</row>
    <row r="13">
      <c r="A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</row>
    <row r="14">
      <c r="A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</row>
    <row r="15">
      <c r="A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</row>
    <row r="16">
      <c r="A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</row>
    <row r="17">
      <c r="A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</row>
    <row r="18">
      <c r="A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</row>
    <row r="19">
      <c r="A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</row>
    <row r="20">
      <c r="A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</row>
    <row r="21">
      <c r="A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>
      <c r="A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</row>
    <row r="23">
      <c r="A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</row>
    <row r="24">
      <c r="A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</row>
    <row r="25">
      <c r="A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</row>
    <row r="26">
      <c r="A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</row>
    <row r="27">
      <c r="A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</row>
    <row r="28">
      <c r="A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</row>
    <row r="29">
      <c r="A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</row>
    <row r="30">
      <c r="A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</row>
    <row r="31">
      <c r="A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</row>
    <row r="32">
      <c r="A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</row>
    <row r="33">
      <c r="A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</row>
    <row r="34">
      <c r="A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</row>
    <row r="35">
      <c r="A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</row>
    <row r="36">
      <c r="A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</row>
    <row r="37">
      <c r="A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</row>
    <row r="38">
      <c r="A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</row>
    <row r="39">
      <c r="A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</row>
    <row r="40">
      <c r="A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</row>
    <row r="41">
      <c r="A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</row>
    <row r="42">
      <c r="A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</row>
    <row r="43">
      <c r="A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</row>
    <row r="44">
      <c r="A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</row>
    <row r="45">
      <c r="A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</row>
    <row r="46">
      <c r="A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</row>
    <row r="47">
      <c r="A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</row>
    <row r="48">
      <c r="A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</row>
    <row r="49">
      <c r="A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</row>
    <row r="50">
      <c r="A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</row>
    <row r="51">
      <c r="A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</row>
    <row r="52">
      <c r="A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</row>
    <row r="53">
      <c r="A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</row>
    <row r="54">
      <c r="A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</row>
    <row r="55">
      <c r="A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</row>
    <row r="56">
      <c r="A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</row>
    <row r="57">
      <c r="A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</row>
    <row r="58">
      <c r="A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</row>
    <row r="59">
      <c r="A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</row>
    <row r="60">
      <c r="A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</row>
    <row r="61">
      <c r="A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</row>
    <row r="62">
      <c r="A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</row>
    <row r="63">
      <c r="A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</row>
    <row r="64">
      <c r="A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</row>
    <row r="65">
      <c r="A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</row>
    <row r="66">
      <c r="A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</row>
    <row r="67">
      <c r="A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</row>
    <row r="68">
      <c r="A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</row>
    <row r="69">
      <c r="A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</row>
    <row r="70">
      <c r="A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</row>
    <row r="71">
      <c r="A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</row>
    <row r="72">
      <c r="A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</row>
    <row r="73">
      <c r="A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</row>
    <row r="74">
      <c r="A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</row>
    <row r="75">
      <c r="A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</row>
    <row r="76">
      <c r="A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</row>
    <row r="77">
      <c r="A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</row>
    <row r="78">
      <c r="A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</row>
    <row r="79">
      <c r="A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</row>
    <row r="80">
      <c r="A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</row>
    <row r="81">
      <c r="A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</row>
    <row r="82">
      <c r="A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</row>
    <row r="83">
      <c r="A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</row>
    <row r="84">
      <c r="A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</row>
    <row r="85">
      <c r="A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</row>
    <row r="86">
      <c r="A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</row>
    <row r="87">
      <c r="A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</row>
    <row r="88">
      <c r="A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</row>
    <row r="89">
      <c r="A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</row>
    <row r="90">
      <c r="A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</row>
    <row r="91">
      <c r="A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</row>
    <row r="92">
      <c r="A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</row>
    <row r="93">
      <c r="A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</row>
    <row r="94">
      <c r="A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</row>
    <row r="95">
      <c r="A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</row>
    <row r="96">
      <c r="A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</row>
    <row r="97">
      <c r="A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</row>
    <row r="98">
      <c r="A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</row>
    <row r="99">
      <c r="A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</row>
    <row r="100">
      <c r="A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</row>
    <row r="101">
      <c r="A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</row>
    <row r="102">
      <c r="A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</row>
    <row r="103">
      <c r="A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</row>
    <row r="104">
      <c r="A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</row>
    <row r="105">
      <c r="A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</row>
    <row r="106">
      <c r="A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</row>
    <row r="107">
      <c r="A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</row>
    <row r="108">
      <c r="A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</row>
    <row r="109">
      <c r="A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</row>
    <row r="110">
      <c r="A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</row>
    <row r="111">
      <c r="A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</row>
    <row r="112">
      <c r="A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</row>
    <row r="113">
      <c r="A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</row>
    <row r="114">
      <c r="A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</row>
    <row r="115">
      <c r="A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</row>
    <row r="116">
      <c r="A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</row>
    <row r="117">
      <c r="A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</row>
    <row r="118">
      <c r="A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</row>
    <row r="119">
      <c r="A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</row>
    <row r="120">
      <c r="A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</row>
    <row r="121">
      <c r="A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</row>
    <row r="122">
      <c r="A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</row>
    <row r="123">
      <c r="A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</row>
    <row r="124">
      <c r="A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</row>
    <row r="125">
      <c r="A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</row>
    <row r="126">
      <c r="A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</row>
    <row r="127">
      <c r="A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</row>
    <row r="128">
      <c r="A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</row>
    <row r="129">
      <c r="A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</row>
    <row r="130">
      <c r="A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</row>
    <row r="131">
      <c r="A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</row>
    <row r="132">
      <c r="A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</row>
    <row r="133">
      <c r="A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</row>
    <row r="134">
      <c r="A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</row>
    <row r="135">
      <c r="A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</row>
    <row r="136">
      <c r="A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</row>
    <row r="137">
      <c r="A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</row>
    <row r="138">
      <c r="A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</row>
    <row r="139">
      <c r="A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</row>
    <row r="140">
      <c r="A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</row>
    <row r="141">
      <c r="A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</row>
    <row r="142">
      <c r="A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</row>
    <row r="143">
      <c r="A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</row>
    <row r="144">
      <c r="A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</row>
    <row r="145">
      <c r="A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</row>
    <row r="146">
      <c r="A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</row>
    <row r="147">
      <c r="A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</row>
    <row r="148">
      <c r="A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</row>
    <row r="149">
      <c r="A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</row>
    <row r="150">
      <c r="A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</row>
    <row r="151">
      <c r="A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</row>
    <row r="152">
      <c r="A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</row>
    <row r="153">
      <c r="A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</row>
    <row r="154">
      <c r="A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</row>
    <row r="155">
      <c r="A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</row>
    <row r="156">
      <c r="A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</row>
    <row r="157">
      <c r="A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</row>
    <row r="158">
      <c r="A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</row>
    <row r="159">
      <c r="A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</row>
    <row r="160">
      <c r="A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</row>
    <row r="161">
      <c r="A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</row>
    <row r="162">
      <c r="A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</row>
    <row r="163">
      <c r="A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</row>
    <row r="164">
      <c r="A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</row>
    <row r="165">
      <c r="A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</row>
    <row r="166">
      <c r="A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</row>
    <row r="167">
      <c r="A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</row>
    <row r="168">
      <c r="A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</row>
    <row r="169">
      <c r="A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</row>
    <row r="170">
      <c r="A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</row>
    <row r="171">
      <c r="A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</row>
    <row r="172">
      <c r="A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</row>
    <row r="173">
      <c r="A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</row>
    <row r="174">
      <c r="A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</row>
    <row r="175">
      <c r="A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</row>
    <row r="176">
      <c r="A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</row>
    <row r="177">
      <c r="A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</row>
    <row r="178">
      <c r="A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</row>
    <row r="179">
      <c r="A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</row>
    <row r="180">
      <c r="A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</row>
    <row r="181">
      <c r="A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</row>
    <row r="182">
      <c r="A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</row>
    <row r="183">
      <c r="A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</row>
    <row r="184">
      <c r="A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</row>
    <row r="185">
      <c r="A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</row>
    <row r="186">
      <c r="A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</row>
    <row r="187">
      <c r="A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</row>
    <row r="188">
      <c r="A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</row>
    <row r="189">
      <c r="A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</row>
    <row r="190">
      <c r="A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</row>
    <row r="191">
      <c r="A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</row>
    <row r="192">
      <c r="A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</row>
    <row r="193">
      <c r="A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</row>
    <row r="194">
      <c r="A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</row>
    <row r="195">
      <c r="A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</row>
    <row r="196">
      <c r="A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</row>
    <row r="197">
      <c r="A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</row>
    <row r="198">
      <c r="A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</row>
    <row r="199">
      <c r="A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</row>
    <row r="200">
      <c r="A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</row>
    <row r="201">
      <c r="A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</row>
    <row r="202">
      <c r="A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</row>
    <row r="203">
      <c r="A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</row>
    <row r="204">
      <c r="A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</row>
    <row r="205">
      <c r="A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</row>
    <row r="206">
      <c r="A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</row>
    <row r="207">
      <c r="A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</row>
    <row r="208">
      <c r="A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</row>
    <row r="209">
      <c r="A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</row>
    <row r="210">
      <c r="A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</row>
    <row r="211">
      <c r="A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</row>
    <row r="212">
      <c r="A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</row>
    <row r="213">
      <c r="A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</row>
    <row r="214">
      <c r="A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</row>
    <row r="215">
      <c r="A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</row>
    <row r="216">
      <c r="A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</row>
    <row r="217">
      <c r="A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</row>
    <row r="218">
      <c r="A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</row>
    <row r="219">
      <c r="A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</row>
    <row r="220">
      <c r="A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</row>
    <row r="221">
      <c r="A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</row>
    <row r="222">
      <c r="A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</row>
    <row r="223">
      <c r="A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</row>
    <row r="224">
      <c r="A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</row>
    <row r="225">
      <c r="A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</row>
    <row r="226">
      <c r="A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</row>
    <row r="227">
      <c r="A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</row>
    <row r="228">
      <c r="A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</row>
    <row r="229">
      <c r="A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</row>
    <row r="230">
      <c r="A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</row>
    <row r="231">
      <c r="A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</row>
    <row r="232">
      <c r="A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</row>
    <row r="233">
      <c r="A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</row>
    <row r="234">
      <c r="A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</row>
    <row r="235">
      <c r="A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</row>
    <row r="236">
      <c r="A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</row>
    <row r="237">
      <c r="A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</row>
    <row r="238">
      <c r="A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</row>
    <row r="239">
      <c r="A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</row>
    <row r="240">
      <c r="A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</row>
    <row r="241">
      <c r="A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</row>
    <row r="242">
      <c r="A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</row>
    <row r="243">
      <c r="A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</row>
    <row r="244">
      <c r="A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</row>
    <row r="245">
      <c r="A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</row>
    <row r="246">
      <c r="A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</row>
    <row r="247">
      <c r="A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</row>
    <row r="248">
      <c r="A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</row>
    <row r="249">
      <c r="A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</row>
    <row r="250">
      <c r="A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</row>
    <row r="251">
      <c r="A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</row>
    <row r="252">
      <c r="A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</row>
    <row r="253">
      <c r="A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</row>
    <row r="254">
      <c r="A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</row>
    <row r="255">
      <c r="A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</row>
    <row r="256">
      <c r="A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</row>
    <row r="257">
      <c r="A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</row>
    <row r="258">
      <c r="A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</row>
    <row r="259">
      <c r="A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</row>
    <row r="260">
      <c r="A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</row>
    <row r="261">
      <c r="A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</row>
    <row r="262">
      <c r="A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</row>
    <row r="263">
      <c r="A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</row>
    <row r="264">
      <c r="A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</row>
    <row r="265">
      <c r="A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</row>
    <row r="266">
      <c r="A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</row>
    <row r="267">
      <c r="A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</row>
    <row r="268">
      <c r="A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</row>
    <row r="269">
      <c r="A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</row>
    <row r="270">
      <c r="A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</row>
    <row r="271">
      <c r="A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</row>
    <row r="272">
      <c r="A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</row>
    <row r="273">
      <c r="A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</row>
    <row r="274">
      <c r="A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</row>
    <row r="275">
      <c r="A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</row>
    <row r="276">
      <c r="A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</row>
    <row r="277">
      <c r="A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</row>
    <row r="278">
      <c r="A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</row>
    <row r="279">
      <c r="A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</row>
    <row r="280">
      <c r="A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</row>
    <row r="281">
      <c r="A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</row>
    <row r="282">
      <c r="A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</row>
    <row r="283">
      <c r="A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</row>
    <row r="284">
      <c r="A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</row>
    <row r="285">
      <c r="A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</row>
    <row r="286">
      <c r="A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</row>
    <row r="287">
      <c r="A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</row>
    <row r="288">
      <c r="A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</row>
    <row r="289">
      <c r="A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</row>
    <row r="290">
      <c r="A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</row>
    <row r="291">
      <c r="A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</row>
    <row r="292">
      <c r="A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</row>
    <row r="293">
      <c r="A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</row>
    <row r="294">
      <c r="A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</row>
    <row r="295">
      <c r="A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</row>
    <row r="296">
      <c r="A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</row>
    <row r="297">
      <c r="A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</row>
    <row r="298">
      <c r="A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</row>
    <row r="299">
      <c r="A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</row>
    <row r="300">
      <c r="A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</row>
    <row r="301">
      <c r="A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</row>
    <row r="302">
      <c r="A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</row>
    <row r="303">
      <c r="A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</row>
    <row r="304">
      <c r="A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</row>
    <row r="305">
      <c r="A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</row>
    <row r="306">
      <c r="A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</row>
    <row r="307">
      <c r="A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</row>
    <row r="308">
      <c r="A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</row>
    <row r="309">
      <c r="A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</row>
    <row r="310">
      <c r="A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</row>
    <row r="311">
      <c r="A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</row>
    <row r="312">
      <c r="A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</row>
    <row r="313">
      <c r="A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</row>
    <row r="314">
      <c r="A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</row>
    <row r="315">
      <c r="A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</row>
    <row r="316">
      <c r="A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</row>
    <row r="317">
      <c r="A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</row>
    <row r="318">
      <c r="A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</row>
    <row r="319">
      <c r="A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</row>
    <row r="320">
      <c r="A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</row>
    <row r="321">
      <c r="A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</row>
    <row r="322">
      <c r="A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</row>
    <row r="323">
      <c r="A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</row>
    <row r="324">
      <c r="A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</row>
    <row r="325">
      <c r="A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</row>
    <row r="326">
      <c r="A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</row>
    <row r="327">
      <c r="A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</row>
    <row r="328">
      <c r="A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</row>
    <row r="329">
      <c r="A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</row>
    <row r="330">
      <c r="A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</row>
    <row r="331">
      <c r="A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</row>
    <row r="332">
      <c r="A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</row>
    <row r="333">
      <c r="A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</row>
    <row r="334">
      <c r="A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</row>
    <row r="335">
      <c r="A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</row>
    <row r="336">
      <c r="A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</row>
    <row r="337">
      <c r="A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</row>
    <row r="338">
      <c r="A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</row>
    <row r="339">
      <c r="A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</row>
    <row r="340">
      <c r="A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</row>
    <row r="341">
      <c r="A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</row>
    <row r="342">
      <c r="A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</row>
    <row r="343">
      <c r="A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</row>
    <row r="344">
      <c r="A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</row>
    <row r="345">
      <c r="A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</row>
    <row r="346">
      <c r="A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</row>
    <row r="347">
      <c r="A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</row>
    <row r="348">
      <c r="A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</row>
    <row r="349">
      <c r="A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</row>
    <row r="350">
      <c r="A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</row>
    <row r="351">
      <c r="A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</row>
    <row r="352">
      <c r="A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</row>
    <row r="353">
      <c r="A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</row>
    <row r="354">
      <c r="A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</row>
    <row r="355">
      <c r="A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</row>
    <row r="356">
      <c r="A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</row>
    <row r="357">
      <c r="A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</row>
    <row r="358">
      <c r="A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</row>
    <row r="359">
      <c r="A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</row>
    <row r="360">
      <c r="A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</row>
    <row r="361">
      <c r="A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</row>
    <row r="362">
      <c r="A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</row>
    <row r="363">
      <c r="A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</row>
    <row r="364">
      <c r="A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</row>
    <row r="365">
      <c r="A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</row>
    <row r="366">
      <c r="A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</row>
    <row r="367">
      <c r="A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</row>
    <row r="368">
      <c r="A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</row>
    <row r="369">
      <c r="A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</row>
    <row r="370">
      <c r="A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</row>
    <row r="371">
      <c r="A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</row>
    <row r="372">
      <c r="A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</row>
    <row r="373">
      <c r="A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</row>
    <row r="374">
      <c r="A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</row>
    <row r="375">
      <c r="A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</row>
    <row r="376">
      <c r="A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</row>
    <row r="377">
      <c r="A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</row>
    <row r="378">
      <c r="A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</row>
    <row r="379">
      <c r="A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</row>
    <row r="380">
      <c r="A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</row>
    <row r="381">
      <c r="A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</row>
    <row r="382">
      <c r="A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</row>
    <row r="383">
      <c r="A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</row>
    <row r="384">
      <c r="A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</row>
    <row r="385">
      <c r="A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</row>
    <row r="386">
      <c r="A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</row>
    <row r="387">
      <c r="A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</row>
    <row r="388">
      <c r="A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</row>
    <row r="389">
      <c r="A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</row>
    <row r="390">
      <c r="A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</row>
    <row r="391">
      <c r="A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</row>
    <row r="392">
      <c r="A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</row>
    <row r="393">
      <c r="A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</row>
    <row r="394">
      <c r="A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</row>
    <row r="395">
      <c r="A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</row>
    <row r="396">
      <c r="A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</row>
    <row r="397">
      <c r="A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</row>
    <row r="398">
      <c r="A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</row>
    <row r="399">
      <c r="A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</row>
    <row r="400">
      <c r="A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</row>
    <row r="401">
      <c r="A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</row>
    <row r="402">
      <c r="A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</row>
    <row r="403">
      <c r="A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</row>
    <row r="404">
      <c r="A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</row>
    <row r="405">
      <c r="A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</row>
    <row r="406">
      <c r="A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</row>
    <row r="407">
      <c r="A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</row>
    <row r="408">
      <c r="A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</row>
    <row r="409">
      <c r="A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</row>
    <row r="410">
      <c r="A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</row>
    <row r="411">
      <c r="A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</row>
    <row r="412">
      <c r="A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</row>
    <row r="413">
      <c r="A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</row>
    <row r="414">
      <c r="A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</row>
    <row r="415">
      <c r="A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</row>
    <row r="416">
      <c r="A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</row>
    <row r="417">
      <c r="A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</row>
    <row r="418">
      <c r="A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</row>
    <row r="419">
      <c r="A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</row>
    <row r="420">
      <c r="A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</row>
    <row r="421">
      <c r="A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</row>
    <row r="422">
      <c r="A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</row>
    <row r="423">
      <c r="A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</row>
    <row r="424">
      <c r="A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</row>
    <row r="425">
      <c r="A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</row>
    <row r="426">
      <c r="A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</row>
    <row r="427">
      <c r="A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</row>
    <row r="428">
      <c r="A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</row>
    <row r="429">
      <c r="A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</row>
    <row r="430">
      <c r="A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</row>
    <row r="431">
      <c r="A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</row>
    <row r="432">
      <c r="A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</row>
    <row r="433">
      <c r="A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</row>
    <row r="434">
      <c r="A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</row>
    <row r="435">
      <c r="A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</row>
    <row r="436">
      <c r="A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</row>
    <row r="437">
      <c r="A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</row>
    <row r="438">
      <c r="A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</row>
    <row r="439">
      <c r="A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</row>
    <row r="440">
      <c r="A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</row>
    <row r="441">
      <c r="A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</row>
    <row r="442">
      <c r="A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</row>
    <row r="443">
      <c r="A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</row>
    <row r="444">
      <c r="A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</row>
    <row r="445">
      <c r="A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</row>
    <row r="446">
      <c r="A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</row>
    <row r="447">
      <c r="A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</row>
    <row r="448">
      <c r="A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</row>
    <row r="449">
      <c r="A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</row>
    <row r="450">
      <c r="A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</row>
    <row r="451">
      <c r="A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</row>
    <row r="452">
      <c r="A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</row>
    <row r="453">
      <c r="A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</row>
    <row r="454">
      <c r="A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</row>
    <row r="455">
      <c r="A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</row>
    <row r="456">
      <c r="A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</row>
    <row r="457">
      <c r="A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</row>
    <row r="458">
      <c r="A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</row>
    <row r="459">
      <c r="A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</row>
    <row r="460">
      <c r="A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</row>
    <row r="461">
      <c r="A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</row>
    <row r="462">
      <c r="A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</row>
    <row r="463">
      <c r="A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</row>
    <row r="464">
      <c r="A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</row>
    <row r="465">
      <c r="A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</row>
    <row r="466">
      <c r="A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</row>
    <row r="467">
      <c r="A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</row>
    <row r="468">
      <c r="A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</row>
    <row r="469">
      <c r="A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</row>
    <row r="470">
      <c r="A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</row>
    <row r="471">
      <c r="A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</row>
    <row r="472">
      <c r="A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</row>
    <row r="473">
      <c r="A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</row>
    <row r="474">
      <c r="A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</row>
    <row r="475">
      <c r="A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</row>
    <row r="476">
      <c r="A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</row>
    <row r="477">
      <c r="A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</row>
    <row r="478">
      <c r="A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</row>
    <row r="479">
      <c r="A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</row>
    <row r="480">
      <c r="A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</row>
    <row r="481">
      <c r="A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</row>
    <row r="482">
      <c r="A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</row>
    <row r="483">
      <c r="A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</row>
    <row r="484">
      <c r="A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</row>
    <row r="485">
      <c r="A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</row>
    <row r="486">
      <c r="A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</row>
    <row r="487">
      <c r="A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</row>
    <row r="488">
      <c r="A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</row>
    <row r="489">
      <c r="A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</row>
    <row r="490">
      <c r="A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</row>
    <row r="491">
      <c r="A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</row>
    <row r="492">
      <c r="A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</row>
    <row r="493">
      <c r="A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</row>
    <row r="494">
      <c r="A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</row>
    <row r="495">
      <c r="A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</row>
    <row r="496">
      <c r="A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</row>
    <row r="497">
      <c r="A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</row>
    <row r="498">
      <c r="A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</row>
    <row r="499">
      <c r="A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</row>
    <row r="500">
      <c r="A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</row>
    <row r="501">
      <c r="A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</row>
    <row r="502">
      <c r="A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</row>
    <row r="503">
      <c r="A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</row>
    <row r="504">
      <c r="A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</row>
    <row r="505">
      <c r="A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</row>
    <row r="506">
      <c r="A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</row>
    <row r="507">
      <c r="A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</row>
    <row r="508">
      <c r="A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</row>
    <row r="509">
      <c r="A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</row>
    <row r="510">
      <c r="A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</row>
    <row r="511">
      <c r="A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</row>
    <row r="512">
      <c r="A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</row>
    <row r="513">
      <c r="A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</row>
    <row r="514">
      <c r="A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</row>
    <row r="515">
      <c r="A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</row>
    <row r="516">
      <c r="A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</row>
    <row r="517">
      <c r="A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</row>
    <row r="518">
      <c r="A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</row>
    <row r="519">
      <c r="A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</row>
    <row r="520">
      <c r="A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</row>
    <row r="521">
      <c r="A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</row>
    <row r="522">
      <c r="A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</row>
    <row r="523">
      <c r="A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</row>
    <row r="524">
      <c r="A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</row>
    <row r="525">
      <c r="A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</row>
    <row r="526">
      <c r="A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</row>
    <row r="527">
      <c r="A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</row>
    <row r="528">
      <c r="A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</row>
    <row r="529">
      <c r="A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</row>
    <row r="530">
      <c r="A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</row>
    <row r="531">
      <c r="A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</row>
    <row r="532">
      <c r="A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</row>
    <row r="533">
      <c r="A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</row>
    <row r="534">
      <c r="A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</row>
    <row r="535">
      <c r="A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</row>
    <row r="536">
      <c r="A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</row>
    <row r="537">
      <c r="A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</row>
    <row r="538">
      <c r="A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</row>
    <row r="539">
      <c r="A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</row>
    <row r="540">
      <c r="A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</row>
    <row r="541">
      <c r="A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</row>
    <row r="542">
      <c r="A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</row>
    <row r="543">
      <c r="A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</row>
    <row r="544">
      <c r="A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</row>
    <row r="545">
      <c r="A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</row>
    <row r="546">
      <c r="A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</row>
    <row r="547">
      <c r="A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</row>
    <row r="548">
      <c r="A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</row>
    <row r="549">
      <c r="A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</row>
    <row r="550">
      <c r="A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</row>
    <row r="551">
      <c r="A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</row>
    <row r="552">
      <c r="A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</row>
    <row r="553">
      <c r="A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</row>
    <row r="554">
      <c r="A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</row>
    <row r="555">
      <c r="A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</row>
    <row r="556">
      <c r="A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</row>
    <row r="557">
      <c r="A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</row>
    <row r="558">
      <c r="A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</row>
    <row r="559">
      <c r="A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</row>
    <row r="560">
      <c r="A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</row>
    <row r="561">
      <c r="A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</row>
    <row r="562">
      <c r="A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</row>
    <row r="563">
      <c r="A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</row>
    <row r="564">
      <c r="A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</row>
    <row r="565">
      <c r="A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</row>
    <row r="566">
      <c r="A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</row>
    <row r="567">
      <c r="A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</row>
    <row r="568">
      <c r="A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</row>
    <row r="569">
      <c r="A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</row>
    <row r="570">
      <c r="A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</row>
    <row r="571">
      <c r="A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</row>
    <row r="572">
      <c r="A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</row>
    <row r="573">
      <c r="A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</row>
    <row r="574">
      <c r="A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</row>
    <row r="575">
      <c r="A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</row>
    <row r="576">
      <c r="A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</row>
    <row r="577">
      <c r="A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</row>
    <row r="578">
      <c r="A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</row>
    <row r="579">
      <c r="A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</row>
    <row r="580">
      <c r="A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</row>
    <row r="581">
      <c r="A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</row>
    <row r="582">
      <c r="A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</row>
    <row r="583">
      <c r="A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</row>
    <row r="584">
      <c r="A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</row>
    <row r="585">
      <c r="A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</row>
    <row r="586">
      <c r="A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</row>
    <row r="587">
      <c r="A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</row>
    <row r="588">
      <c r="A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</row>
    <row r="589">
      <c r="A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</row>
    <row r="590">
      <c r="A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</row>
    <row r="591">
      <c r="A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</row>
    <row r="592">
      <c r="A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</row>
    <row r="593">
      <c r="A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</row>
    <row r="594">
      <c r="A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</row>
    <row r="595">
      <c r="A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</row>
    <row r="596">
      <c r="A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</row>
    <row r="597">
      <c r="A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</row>
    <row r="598">
      <c r="A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</row>
    <row r="599">
      <c r="A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</row>
    <row r="600">
      <c r="A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</row>
    <row r="601">
      <c r="A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</row>
    <row r="602">
      <c r="A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</row>
    <row r="603">
      <c r="A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</row>
    <row r="604">
      <c r="A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</row>
    <row r="605">
      <c r="A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</row>
    <row r="606">
      <c r="A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</row>
    <row r="607">
      <c r="A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</row>
    <row r="608">
      <c r="A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</row>
    <row r="609">
      <c r="A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</row>
    <row r="610">
      <c r="A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</row>
    <row r="611">
      <c r="A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</row>
    <row r="612">
      <c r="A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</row>
    <row r="613">
      <c r="A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</row>
    <row r="614">
      <c r="A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</row>
    <row r="615">
      <c r="A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</row>
    <row r="616">
      <c r="A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</row>
    <row r="617">
      <c r="A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</row>
    <row r="618">
      <c r="A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</row>
    <row r="619">
      <c r="A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</row>
    <row r="620">
      <c r="A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</row>
    <row r="621">
      <c r="A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</row>
    <row r="622">
      <c r="A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</row>
    <row r="623">
      <c r="A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</row>
    <row r="624">
      <c r="A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</row>
    <row r="625">
      <c r="A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</row>
    <row r="626">
      <c r="A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</row>
    <row r="627">
      <c r="A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</row>
    <row r="628">
      <c r="A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</row>
    <row r="629">
      <c r="A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</row>
    <row r="630">
      <c r="A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</row>
    <row r="631">
      <c r="A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</row>
    <row r="632">
      <c r="A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</row>
    <row r="633">
      <c r="A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</row>
    <row r="634">
      <c r="A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</row>
    <row r="635">
      <c r="A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</row>
    <row r="636">
      <c r="A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</row>
    <row r="637">
      <c r="A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</row>
    <row r="638">
      <c r="A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</row>
    <row r="639">
      <c r="A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</row>
    <row r="640">
      <c r="A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</row>
    <row r="641">
      <c r="A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</row>
    <row r="642">
      <c r="A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</row>
    <row r="643">
      <c r="A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</row>
    <row r="644">
      <c r="A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</row>
    <row r="645">
      <c r="A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</row>
    <row r="646">
      <c r="A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</row>
    <row r="647">
      <c r="A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</row>
    <row r="648">
      <c r="A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</row>
    <row r="649">
      <c r="A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</row>
    <row r="650">
      <c r="A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</row>
    <row r="651">
      <c r="A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</row>
    <row r="652">
      <c r="A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</row>
    <row r="653">
      <c r="A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</row>
    <row r="654">
      <c r="A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</row>
    <row r="655">
      <c r="A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</row>
    <row r="656">
      <c r="A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</row>
    <row r="657">
      <c r="A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</row>
    <row r="658">
      <c r="A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</row>
    <row r="659">
      <c r="A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</row>
    <row r="660">
      <c r="A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</row>
    <row r="661">
      <c r="A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</row>
    <row r="662">
      <c r="A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</row>
    <row r="663">
      <c r="A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</row>
    <row r="664">
      <c r="A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</row>
    <row r="665">
      <c r="A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</row>
    <row r="666">
      <c r="A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</row>
    <row r="667">
      <c r="A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</row>
    <row r="668">
      <c r="A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</row>
    <row r="669">
      <c r="A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</row>
    <row r="670">
      <c r="A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</row>
    <row r="671">
      <c r="A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</row>
    <row r="672">
      <c r="A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</row>
    <row r="673">
      <c r="A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</row>
    <row r="674">
      <c r="A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</row>
    <row r="675">
      <c r="A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</row>
    <row r="676">
      <c r="A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</row>
    <row r="677">
      <c r="A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</row>
    <row r="678">
      <c r="A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</row>
    <row r="679">
      <c r="A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</row>
    <row r="680">
      <c r="A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</row>
    <row r="681">
      <c r="A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</row>
    <row r="682">
      <c r="A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</row>
    <row r="683">
      <c r="A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</row>
    <row r="684">
      <c r="A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</row>
    <row r="685">
      <c r="A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</row>
    <row r="686">
      <c r="A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</row>
    <row r="687">
      <c r="A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</row>
    <row r="688">
      <c r="A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</row>
    <row r="689">
      <c r="A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</row>
    <row r="690">
      <c r="A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</row>
    <row r="691">
      <c r="A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</row>
    <row r="692">
      <c r="A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</row>
    <row r="693">
      <c r="A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</row>
    <row r="694">
      <c r="A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</row>
    <row r="695">
      <c r="A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</row>
    <row r="696">
      <c r="A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</row>
    <row r="697">
      <c r="A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</row>
    <row r="698">
      <c r="A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</row>
    <row r="699">
      <c r="A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</row>
    <row r="700">
      <c r="A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</row>
    <row r="701">
      <c r="A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</row>
    <row r="702">
      <c r="A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</row>
    <row r="703">
      <c r="A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</row>
    <row r="704">
      <c r="A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</row>
    <row r="705">
      <c r="A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</row>
    <row r="706">
      <c r="A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</row>
    <row r="707">
      <c r="A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</row>
    <row r="708">
      <c r="A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</row>
    <row r="709">
      <c r="A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</row>
    <row r="710">
      <c r="A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</row>
    <row r="711">
      <c r="A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</row>
    <row r="712">
      <c r="A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</row>
    <row r="713">
      <c r="A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</row>
    <row r="714">
      <c r="A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</row>
    <row r="715">
      <c r="A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</row>
    <row r="716">
      <c r="A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</row>
    <row r="717">
      <c r="A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</row>
    <row r="718">
      <c r="A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</row>
    <row r="719">
      <c r="A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</row>
    <row r="720">
      <c r="A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</row>
    <row r="721">
      <c r="A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</row>
    <row r="722">
      <c r="A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</row>
    <row r="723">
      <c r="A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</row>
    <row r="724">
      <c r="A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</row>
    <row r="725">
      <c r="A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</row>
    <row r="726">
      <c r="A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</row>
    <row r="727">
      <c r="A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</row>
    <row r="728">
      <c r="A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</row>
    <row r="729">
      <c r="A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</row>
    <row r="730">
      <c r="A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</row>
    <row r="731">
      <c r="A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</row>
    <row r="732">
      <c r="A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</row>
    <row r="733">
      <c r="A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</row>
    <row r="734">
      <c r="A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</row>
    <row r="735">
      <c r="A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</row>
    <row r="736">
      <c r="A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</row>
    <row r="737">
      <c r="A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</row>
    <row r="738">
      <c r="A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</row>
    <row r="739">
      <c r="A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</row>
    <row r="740">
      <c r="A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</row>
    <row r="741">
      <c r="A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</row>
    <row r="742">
      <c r="A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</row>
    <row r="743">
      <c r="A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</row>
    <row r="744">
      <c r="A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</row>
    <row r="745">
      <c r="A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</row>
    <row r="746">
      <c r="A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</row>
    <row r="747">
      <c r="A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</row>
    <row r="748">
      <c r="A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</row>
    <row r="749">
      <c r="A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</row>
    <row r="750">
      <c r="A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</row>
    <row r="751">
      <c r="A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</row>
    <row r="752">
      <c r="A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</row>
    <row r="753">
      <c r="A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</row>
    <row r="754">
      <c r="A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</row>
    <row r="755">
      <c r="A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</row>
    <row r="756">
      <c r="A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</row>
    <row r="757">
      <c r="A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</row>
    <row r="758">
      <c r="A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</row>
    <row r="759">
      <c r="A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</row>
    <row r="760">
      <c r="A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</row>
    <row r="761">
      <c r="A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</row>
    <row r="762">
      <c r="A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</row>
    <row r="763">
      <c r="A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</row>
    <row r="764">
      <c r="A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</row>
    <row r="765">
      <c r="A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</row>
    <row r="766">
      <c r="A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</row>
    <row r="767">
      <c r="A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</row>
    <row r="768">
      <c r="A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</row>
    <row r="769">
      <c r="A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</row>
    <row r="770">
      <c r="A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</row>
    <row r="771">
      <c r="A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</row>
    <row r="772">
      <c r="A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</row>
    <row r="773">
      <c r="A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</row>
    <row r="774">
      <c r="A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</row>
    <row r="775">
      <c r="A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</row>
    <row r="776">
      <c r="A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</row>
    <row r="777">
      <c r="A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</row>
    <row r="778">
      <c r="A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</row>
    <row r="779">
      <c r="A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</row>
    <row r="780">
      <c r="A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</row>
    <row r="781">
      <c r="A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</row>
    <row r="782">
      <c r="A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</row>
    <row r="783">
      <c r="A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</row>
    <row r="784">
      <c r="A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</row>
    <row r="785">
      <c r="A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</row>
    <row r="786">
      <c r="A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</row>
    <row r="787">
      <c r="A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</row>
    <row r="788">
      <c r="A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</row>
    <row r="789">
      <c r="A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</row>
    <row r="790">
      <c r="A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</row>
    <row r="791">
      <c r="A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</row>
    <row r="792">
      <c r="A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</row>
    <row r="793">
      <c r="A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</row>
    <row r="794">
      <c r="A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</row>
    <row r="795">
      <c r="A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</row>
    <row r="796">
      <c r="A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</row>
    <row r="797">
      <c r="A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</row>
    <row r="798">
      <c r="A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</row>
    <row r="799">
      <c r="A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</row>
    <row r="800">
      <c r="A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</row>
    <row r="801">
      <c r="A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</row>
    <row r="802">
      <c r="A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</row>
    <row r="803">
      <c r="A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</row>
    <row r="804">
      <c r="A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</row>
    <row r="805">
      <c r="A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</row>
    <row r="806">
      <c r="A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</row>
    <row r="807">
      <c r="A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</row>
    <row r="808">
      <c r="A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</row>
    <row r="809">
      <c r="A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</row>
    <row r="810">
      <c r="A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</row>
    <row r="811">
      <c r="A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</row>
    <row r="812">
      <c r="A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</row>
    <row r="813">
      <c r="A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</row>
    <row r="814">
      <c r="A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</row>
    <row r="815">
      <c r="A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</row>
    <row r="816">
      <c r="A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</row>
    <row r="817">
      <c r="A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</row>
    <row r="818">
      <c r="A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</row>
    <row r="819">
      <c r="A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</row>
    <row r="820">
      <c r="A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</row>
    <row r="821">
      <c r="A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</row>
    <row r="822">
      <c r="A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</row>
    <row r="823">
      <c r="A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</row>
    <row r="824">
      <c r="A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</row>
    <row r="825">
      <c r="A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</row>
    <row r="826">
      <c r="A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</row>
    <row r="827">
      <c r="A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</row>
    <row r="828">
      <c r="A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</row>
    <row r="829">
      <c r="A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</row>
    <row r="830">
      <c r="A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</row>
    <row r="831">
      <c r="A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</row>
    <row r="832">
      <c r="A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</row>
    <row r="833">
      <c r="A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</row>
    <row r="834">
      <c r="A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</row>
    <row r="835">
      <c r="A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</row>
    <row r="836">
      <c r="A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</row>
    <row r="837">
      <c r="A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</row>
    <row r="838">
      <c r="A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</row>
    <row r="839">
      <c r="A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</row>
    <row r="840">
      <c r="A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</row>
    <row r="841">
      <c r="A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</row>
    <row r="842">
      <c r="A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</row>
    <row r="843">
      <c r="A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</row>
    <row r="844">
      <c r="A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</row>
    <row r="845">
      <c r="A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</row>
    <row r="846">
      <c r="A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</row>
    <row r="847">
      <c r="A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</row>
    <row r="848">
      <c r="A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</row>
    <row r="849">
      <c r="A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</row>
    <row r="850">
      <c r="A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</row>
    <row r="851">
      <c r="A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</row>
    <row r="852">
      <c r="A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</row>
    <row r="853">
      <c r="A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</row>
    <row r="854">
      <c r="A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</row>
    <row r="855">
      <c r="A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</row>
    <row r="856">
      <c r="A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</row>
    <row r="857">
      <c r="A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</row>
    <row r="858">
      <c r="A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</row>
    <row r="859">
      <c r="A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</row>
    <row r="860">
      <c r="A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</row>
    <row r="861">
      <c r="A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</row>
    <row r="862">
      <c r="A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</row>
    <row r="863">
      <c r="A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</row>
    <row r="864">
      <c r="A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</row>
    <row r="865">
      <c r="A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</row>
    <row r="866">
      <c r="A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</row>
    <row r="867">
      <c r="A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</row>
    <row r="868">
      <c r="A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</row>
    <row r="869">
      <c r="A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</row>
    <row r="870">
      <c r="A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</row>
    <row r="871">
      <c r="A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</row>
    <row r="872">
      <c r="A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</row>
    <row r="873">
      <c r="A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</row>
    <row r="874">
      <c r="A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</row>
    <row r="875">
      <c r="A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</row>
    <row r="876">
      <c r="A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</row>
    <row r="877">
      <c r="A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</row>
    <row r="878">
      <c r="A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</row>
    <row r="879">
      <c r="A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</row>
    <row r="880">
      <c r="A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</row>
    <row r="881">
      <c r="A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</row>
    <row r="882">
      <c r="A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</row>
    <row r="883">
      <c r="A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</row>
    <row r="884">
      <c r="A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</row>
    <row r="885">
      <c r="A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</row>
    <row r="886">
      <c r="A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</row>
    <row r="887">
      <c r="A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</row>
    <row r="888">
      <c r="A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</row>
    <row r="889">
      <c r="A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</row>
    <row r="890">
      <c r="A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</row>
    <row r="891">
      <c r="A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</row>
    <row r="892">
      <c r="A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</row>
    <row r="893">
      <c r="A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</row>
    <row r="894">
      <c r="A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</row>
    <row r="895">
      <c r="A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</row>
    <row r="896">
      <c r="A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</row>
    <row r="897">
      <c r="A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</row>
    <row r="898">
      <c r="A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</row>
    <row r="899">
      <c r="A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</row>
    <row r="900">
      <c r="A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</row>
    <row r="901">
      <c r="A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</row>
    <row r="902">
      <c r="A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</row>
    <row r="903">
      <c r="A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</row>
    <row r="904">
      <c r="A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</row>
    <row r="905">
      <c r="A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</row>
    <row r="906">
      <c r="A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</row>
    <row r="907">
      <c r="A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</row>
    <row r="908">
      <c r="A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</row>
    <row r="909">
      <c r="A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</row>
    <row r="910">
      <c r="A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</row>
    <row r="911">
      <c r="A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</row>
    <row r="912">
      <c r="A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</row>
    <row r="913">
      <c r="A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</row>
    <row r="914">
      <c r="A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</row>
    <row r="915">
      <c r="A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</row>
    <row r="916">
      <c r="A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</row>
    <row r="917">
      <c r="A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</row>
    <row r="918">
      <c r="A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</row>
    <row r="919">
      <c r="A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</row>
    <row r="920">
      <c r="A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</row>
    <row r="921">
      <c r="A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</row>
    <row r="922">
      <c r="A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</row>
    <row r="923">
      <c r="A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</row>
    <row r="924">
      <c r="A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</row>
    <row r="925">
      <c r="A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</row>
    <row r="926">
      <c r="A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</row>
    <row r="927">
      <c r="A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</row>
    <row r="928">
      <c r="A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</row>
    <row r="929">
      <c r="A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</row>
    <row r="930">
      <c r="A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</row>
    <row r="931">
      <c r="A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</row>
    <row r="932">
      <c r="A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</row>
    <row r="933">
      <c r="A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</row>
    <row r="934">
      <c r="A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</row>
    <row r="935">
      <c r="A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</row>
    <row r="936">
      <c r="A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</row>
    <row r="937">
      <c r="A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</row>
    <row r="938">
      <c r="A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</row>
    <row r="939">
      <c r="A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</row>
    <row r="940">
      <c r="A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</row>
    <row r="941">
      <c r="A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</row>
    <row r="942">
      <c r="A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</row>
    <row r="943">
      <c r="A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</row>
    <row r="944">
      <c r="A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</row>
    <row r="945">
      <c r="A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</row>
    <row r="946">
      <c r="A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</row>
    <row r="947">
      <c r="A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</row>
    <row r="948">
      <c r="A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</row>
    <row r="949">
      <c r="A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</row>
    <row r="950">
      <c r="A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</row>
    <row r="951">
      <c r="A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</row>
    <row r="952">
      <c r="A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</row>
    <row r="953">
      <c r="A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</row>
    <row r="954">
      <c r="A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</row>
    <row r="955">
      <c r="A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</row>
    <row r="956">
      <c r="A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</row>
    <row r="957">
      <c r="A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</row>
    <row r="958">
      <c r="A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</row>
    <row r="959">
      <c r="A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</row>
    <row r="960">
      <c r="A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</row>
    <row r="961">
      <c r="A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</row>
    <row r="962">
      <c r="A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</row>
    <row r="963">
      <c r="A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</row>
    <row r="964">
      <c r="A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</row>
    <row r="965">
      <c r="A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</row>
    <row r="966">
      <c r="A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</row>
    <row r="967">
      <c r="A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</row>
    <row r="968">
      <c r="A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</row>
    <row r="969">
      <c r="A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</row>
    <row r="970">
      <c r="A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</row>
    <row r="971">
      <c r="A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</row>
    <row r="972">
      <c r="A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</row>
    <row r="973">
      <c r="A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</row>
    <row r="974">
      <c r="A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</row>
    <row r="975">
      <c r="A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</row>
    <row r="976">
      <c r="A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</row>
    <row r="977">
      <c r="A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</row>
    <row r="978">
      <c r="A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</row>
    <row r="979">
      <c r="A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</row>
    <row r="980">
      <c r="A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</row>
    <row r="981">
      <c r="A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</row>
    <row r="982">
      <c r="A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</row>
    <row r="983">
      <c r="A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</row>
    <row r="984">
      <c r="A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</row>
    <row r="985">
      <c r="A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</row>
    <row r="986">
      <c r="A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</row>
    <row r="987">
      <c r="A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</row>
    <row r="988">
      <c r="A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</row>
    <row r="989">
      <c r="A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</row>
    <row r="990">
      <c r="A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</row>
    <row r="991">
      <c r="A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</row>
    <row r="992">
      <c r="A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</row>
    <row r="993">
      <c r="A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</row>
    <row r="994">
      <c r="A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</row>
    <row r="995">
      <c r="A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</row>
    <row r="996">
      <c r="A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</row>
    <row r="997">
      <c r="A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</row>
    <row r="998">
      <c r="A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</row>
    <row r="999">
      <c r="A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</row>
    <row r="1000">
      <c r="A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S1" s="38" t="str">
        <f>Input!A1</f>
        <v>PURCHASE ORDER NUMBER:</v>
      </c>
      <c r="T1" s="38" t="str">
        <f>Input!B1</f>
        <v>JOB/PHASE NUMBER:</v>
      </c>
      <c r="U1" s="38" t="str">
        <f>Input!C1</f>
        <v>To:</v>
      </c>
      <c r="V1" s="38" t="str">
        <f>Input!D1</f>
        <v>Delivery Required By:</v>
      </c>
      <c r="W1" s="38" t="str">
        <f>Input!E1</f>
        <v>Date of Order</v>
      </c>
      <c r="X1" s="38" t="str">
        <f>Input!F1</f>
        <v>GRAND TOTAL:</v>
      </c>
      <c r="Y1" s="38" t="str">
        <f>Input!G1</f>
        <v>PROJECT:</v>
      </c>
      <c r="Z1" s="38" t="str">
        <f>Input!H1</f>
        <v>Attachment Link:</v>
      </c>
      <c r="AA1" s="38" t="str">
        <f>Input!I1</f>
        <v>Log 9</v>
      </c>
      <c r="AB1" s="38" t="str">
        <f>Input!J1</f>
        <v>Log 10</v>
      </c>
      <c r="AC1" s="38" t="str">
        <f>Input!K1</f>
        <v>Log 11</v>
      </c>
      <c r="AD1" s="38" t="str">
        <f>Input!L1</f>
        <v>Log 12</v>
      </c>
      <c r="AE1" s="38" t="str">
        <f>Input!M1</f>
        <v>Acknowledged By:</v>
      </c>
      <c r="AF1" s="38" t="str">
        <f>Input!N1</f>
        <v>Date Signed:</v>
      </c>
      <c r="AG1" s="38" t="str">
        <f>Input!O1</f>
        <v>Update 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5.13"/>
  </cols>
  <sheetData>
    <row r="1">
      <c r="A1" s="19" t="str">
        <f>contacts!B1</f>
        <v>First Name</v>
      </c>
      <c r="B1" s="41"/>
    </row>
    <row r="2">
      <c r="A2" s="19" t="str">
        <f>contacts!C1</f>
        <v>Middle Name</v>
      </c>
      <c r="B2" s="41"/>
    </row>
    <row r="3">
      <c r="A3" s="19" t="str">
        <f>contacts!D1</f>
        <v>Last Name</v>
      </c>
      <c r="B3" s="41"/>
      <c r="F3" s="51" t="str">
        <f>HYPERLINK("https://workspace.google.com/marketplace/app/addressblock/786018916601?pann=b", "To import contacts: Install AddressBlock")</f>
        <v>To import contacts: Install AddressBlock</v>
      </c>
    </row>
    <row r="4">
      <c r="A4" s="19" t="str">
        <f>contacts!AR1</f>
        <v>Company</v>
      </c>
      <c r="B4" s="41"/>
    </row>
    <row r="5">
      <c r="A5" s="19" t="str">
        <f>contacts!AZ1</f>
        <v>Business Street</v>
      </c>
      <c r="B5" s="41"/>
    </row>
    <row r="6">
      <c r="A6" s="19" t="str">
        <f>contacts!BD1</f>
        <v>Business City</v>
      </c>
      <c r="B6" s="41"/>
    </row>
    <row r="7">
      <c r="A7" s="19" t="str">
        <f>contacts!BE1</f>
        <v>Business State</v>
      </c>
      <c r="B7" s="41"/>
    </row>
    <row r="8">
      <c r="A8" s="19" t="str">
        <f>contacts!BF1</f>
        <v>Business Postal Code</v>
      </c>
      <c r="B8" s="41"/>
    </row>
    <row r="9">
      <c r="A9" s="19" t="str">
        <f>contacts!P1</f>
        <v>E-mail Address</v>
      </c>
      <c r="B9" s="41"/>
    </row>
    <row r="10">
      <c r="A10" s="19" t="str">
        <f>contacts!AN1</f>
        <v>Business Phone</v>
      </c>
      <c r="B10" s="41"/>
    </row>
    <row r="11">
      <c r="A11" s="19" t="str">
        <f>contacts!AP1</f>
        <v>Business Fax</v>
      </c>
      <c r="B11" s="41"/>
    </row>
    <row r="12">
      <c r="A12" s="19" t="str">
        <f>contacts!Z1</f>
        <v>Home Street</v>
      </c>
      <c r="B12" s="41"/>
    </row>
    <row r="13">
      <c r="A13" s="19" t="str">
        <f>contacts!AD1</f>
        <v>Home City</v>
      </c>
      <c r="B13" s="41"/>
    </row>
    <row r="14">
      <c r="A14" s="19" t="str">
        <f>contacts!AE1</f>
        <v>Home State</v>
      </c>
      <c r="B14" s="41"/>
    </row>
    <row r="15">
      <c r="A15" s="19" t="str">
        <f>contacts!AF1</f>
        <v>Home Postal Code</v>
      </c>
      <c r="B15" s="41"/>
    </row>
    <row r="16">
      <c r="A16" s="19" t="str">
        <f>contacts!BK1</f>
        <v>Other Street</v>
      </c>
      <c r="B16" s="41"/>
    </row>
    <row r="17">
      <c r="A17" s="19" t="str">
        <f>contacts!BO1</f>
        <v>Other City</v>
      </c>
      <c r="B17" s="41"/>
    </row>
    <row r="18">
      <c r="A18" s="19" t="str">
        <f>contacts!BP1</f>
        <v>Other State</v>
      </c>
      <c r="B18" s="41"/>
    </row>
    <row r="19">
      <c r="A19" s="19" t="str">
        <f>contacts!BQ1</f>
        <v>Other Postal Code</v>
      </c>
      <c r="B19" s="41"/>
    </row>
    <row r="20">
      <c r="A20" s="19" t="str">
        <f>contacts!E1</f>
        <v>Title</v>
      </c>
      <c r="B20" s="41"/>
    </row>
    <row r="21">
      <c r="A21" s="19" t="str">
        <f>contacts!T1</f>
        <v>Home Phone</v>
      </c>
      <c r="B21" s="41"/>
    </row>
    <row r="22">
      <c r="A22" s="19" t="str">
        <f>contacts!V1</f>
        <v>Mobile Phone</v>
      </c>
      <c r="B22" s="41"/>
    </row>
    <row r="23">
      <c r="A23" s="19"/>
      <c r="B23" s="20" t="s">
        <v>79</v>
      </c>
    </row>
    <row r="24">
      <c r="A24" s="19"/>
    </row>
    <row r="25">
      <c r="A25" s="19"/>
    </row>
    <row r="26">
      <c r="A26" s="19"/>
    </row>
    <row r="27">
      <c r="A27" s="19"/>
    </row>
    <row r="28">
      <c r="A28" s="19"/>
    </row>
    <row r="29">
      <c r="A29" s="19"/>
    </row>
    <row r="30">
      <c r="A30" s="19"/>
    </row>
    <row r="31">
      <c r="A31" s="19"/>
    </row>
    <row r="32">
      <c r="A32" s="19"/>
    </row>
    <row r="33">
      <c r="A33" s="19"/>
    </row>
    <row r="34">
      <c r="A34" s="19"/>
    </row>
    <row r="35">
      <c r="A35" s="19"/>
    </row>
    <row r="36">
      <c r="A36" s="19"/>
    </row>
    <row r="37">
      <c r="A37" s="19"/>
    </row>
    <row r="38">
      <c r="A38" s="19"/>
    </row>
    <row r="39">
      <c r="A39" s="19"/>
    </row>
    <row r="40">
      <c r="A40" s="19"/>
    </row>
    <row r="41">
      <c r="A41" s="19"/>
    </row>
    <row r="42">
      <c r="A42" s="19"/>
    </row>
    <row r="43">
      <c r="A43" s="19"/>
    </row>
    <row r="44">
      <c r="A44" s="19"/>
    </row>
    <row r="45">
      <c r="A45" s="19"/>
    </row>
    <row r="46">
      <c r="A46" s="19"/>
    </row>
    <row r="47">
      <c r="A47" s="19"/>
    </row>
    <row r="48">
      <c r="A48" s="19"/>
    </row>
    <row r="49">
      <c r="A49" s="19"/>
    </row>
    <row r="50">
      <c r="A50" s="19"/>
    </row>
    <row r="51">
      <c r="A51" s="19"/>
    </row>
    <row r="52">
      <c r="A52" s="19"/>
    </row>
    <row r="53">
      <c r="A53" s="19"/>
    </row>
    <row r="54">
      <c r="A54" s="19"/>
    </row>
    <row r="55">
      <c r="A55" s="19"/>
    </row>
    <row r="56">
      <c r="A56" s="19"/>
    </row>
    <row r="57">
      <c r="A57" s="19"/>
    </row>
    <row r="58">
      <c r="A58" s="19"/>
    </row>
    <row r="59">
      <c r="A59" s="19"/>
    </row>
    <row r="60">
      <c r="A60" s="19"/>
    </row>
    <row r="61">
      <c r="A61" s="19"/>
    </row>
    <row r="62">
      <c r="A62" s="19"/>
    </row>
    <row r="63">
      <c r="A63" s="19"/>
    </row>
    <row r="64">
      <c r="A64" s="19"/>
    </row>
    <row r="65">
      <c r="A65" s="19"/>
    </row>
    <row r="66">
      <c r="A66" s="19"/>
    </row>
    <row r="67">
      <c r="A67" s="19"/>
    </row>
    <row r="68">
      <c r="A68" s="19"/>
    </row>
    <row r="69">
      <c r="A69" s="19"/>
    </row>
    <row r="70">
      <c r="A70" s="19"/>
    </row>
    <row r="71">
      <c r="A71" s="19"/>
    </row>
    <row r="72">
      <c r="A72" s="19"/>
    </row>
    <row r="73">
      <c r="A73" s="19"/>
    </row>
    <row r="74">
      <c r="A74" s="19"/>
    </row>
    <row r="75">
      <c r="A75" s="19"/>
    </row>
    <row r="76">
      <c r="A76" s="19"/>
    </row>
    <row r="77">
      <c r="A77" s="19"/>
    </row>
    <row r="78">
      <c r="A78" s="19"/>
    </row>
    <row r="79">
      <c r="A79" s="19"/>
    </row>
    <row r="80">
      <c r="A80" s="19"/>
    </row>
    <row r="81">
      <c r="A81" s="19"/>
    </row>
    <row r="82">
      <c r="A82" s="19"/>
    </row>
    <row r="83">
      <c r="A83" s="19"/>
    </row>
    <row r="84">
      <c r="A84" s="19"/>
    </row>
    <row r="85">
      <c r="A85" s="19"/>
    </row>
    <row r="86">
      <c r="A86" s="19"/>
    </row>
    <row r="87">
      <c r="A87" s="19"/>
    </row>
    <row r="88">
      <c r="A88" s="19"/>
    </row>
    <row r="89">
      <c r="A89" s="19"/>
    </row>
    <row r="90">
      <c r="A90" s="19"/>
    </row>
    <row r="91">
      <c r="A91" s="19"/>
    </row>
    <row r="92">
      <c r="A92" s="19"/>
    </row>
    <row r="93">
      <c r="A93" s="19"/>
    </row>
    <row r="94">
      <c r="A94" s="19"/>
    </row>
    <row r="95">
      <c r="A95" s="19"/>
    </row>
    <row r="96">
      <c r="A96" s="19"/>
    </row>
    <row r="97">
      <c r="A97" s="19"/>
    </row>
    <row r="98">
      <c r="A98" s="19"/>
    </row>
    <row r="99">
      <c r="A99" s="19"/>
    </row>
    <row r="100">
      <c r="A100" s="19"/>
    </row>
    <row r="101">
      <c r="A101" s="19"/>
    </row>
    <row r="102">
      <c r="A102" s="19"/>
    </row>
    <row r="103">
      <c r="A103" s="19"/>
    </row>
    <row r="104">
      <c r="A104" s="19"/>
    </row>
    <row r="105">
      <c r="A105" s="19"/>
    </row>
    <row r="106">
      <c r="A106" s="19"/>
    </row>
    <row r="107">
      <c r="A107" s="19"/>
    </row>
    <row r="108">
      <c r="A108" s="19"/>
    </row>
    <row r="109">
      <c r="A109" s="19"/>
    </row>
    <row r="110">
      <c r="A110" s="19"/>
    </row>
    <row r="111">
      <c r="A111" s="19"/>
    </row>
    <row r="112">
      <c r="A112" s="19"/>
    </row>
    <row r="113">
      <c r="A113" s="19"/>
    </row>
    <row r="114">
      <c r="A114" s="19"/>
    </row>
    <row r="115">
      <c r="A115" s="19"/>
    </row>
    <row r="116">
      <c r="A116" s="19"/>
    </row>
    <row r="117">
      <c r="A117" s="19"/>
    </row>
    <row r="118">
      <c r="A118" s="19"/>
    </row>
    <row r="119">
      <c r="A119" s="19"/>
    </row>
    <row r="120">
      <c r="A120" s="19"/>
    </row>
    <row r="121">
      <c r="A121" s="19"/>
    </row>
    <row r="122">
      <c r="A122" s="19"/>
    </row>
    <row r="123">
      <c r="A123" s="19"/>
    </row>
    <row r="124">
      <c r="A124" s="19"/>
    </row>
    <row r="125">
      <c r="A125" s="19"/>
    </row>
    <row r="126">
      <c r="A126" s="19"/>
    </row>
    <row r="127">
      <c r="A127" s="19"/>
    </row>
    <row r="128">
      <c r="A128" s="19"/>
    </row>
    <row r="129">
      <c r="A129" s="19"/>
    </row>
    <row r="130">
      <c r="A130" s="19"/>
    </row>
    <row r="131">
      <c r="A131" s="19"/>
    </row>
    <row r="132">
      <c r="A132" s="19"/>
    </row>
    <row r="133">
      <c r="A133" s="19"/>
    </row>
    <row r="134">
      <c r="A134" s="19"/>
    </row>
    <row r="135">
      <c r="A135" s="19"/>
    </row>
    <row r="136">
      <c r="A136" s="19"/>
    </row>
    <row r="137">
      <c r="A137" s="19"/>
    </row>
    <row r="138">
      <c r="A138" s="19"/>
    </row>
    <row r="139">
      <c r="A139" s="19"/>
    </row>
    <row r="140">
      <c r="A140" s="19"/>
    </row>
    <row r="141">
      <c r="A141" s="19"/>
    </row>
    <row r="142">
      <c r="A142" s="19"/>
    </row>
    <row r="143">
      <c r="A143" s="19"/>
    </row>
    <row r="144">
      <c r="A144" s="19"/>
    </row>
    <row r="145">
      <c r="A145" s="19"/>
    </row>
    <row r="146">
      <c r="A146" s="19"/>
    </row>
    <row r="147">
      <c r="A147" s="19"/>
    </row>
    <row r="148">
      <c r="A148" s="19"/>
    </row>
    <row r="149">
      <c r="A149" s="19"/>
    </row>
    <row r="150">
      <c r="A150" s="19"/>
    </row>
    <row r="151">
      <c r="A151" s="19"/>
    </row>
    <row r="152">
      <c r="A152" s="19"/>
    </row>
    <row r="153">
      <c r="A153" s="19"/>
    </row>
    <row r="154">
      <c r="A154" s="19"/>
    </row>
    <row r="155">
      <c r="A155" s="19"/>
    </row>
    <row r="156">
      <c r="A156" s="19"/>
    </row>
    <row r="157">
      <c r="A157" s="19"/>
    </row>
    <row r="158">
      <c r="A158" s="19"/>
    </row>
    <row r="159">
      <c r="A159" s="19"/>
    </row>
    <row r="160">
      <c r="A160" s="19"/>
    </row>
    <row r="161">
      <c r="A161" s="19"/>
    </row>
    <row r="162">
      <c r="A162" s="19"/>
    </row>
    <row r="163">
      <c r="A163" s="19"/>
    </row>
    <row r="164">
      <c r="A164" s="19"/>
    </row>
    <row r="165">
      <c r="A165" s="19"/>
    </row>
    <row r="166">
      <c r="A166" s="19"/>
    </row>
    <row r="167">
      <c r="A167" s="19"/>
    </row>
    <row r="168">
      <c r="A168" s="19"/>
    </row>
    <row r="169">
      <c r="A169" s="19"/>
    </row>
    <row r="170">
      <c r="A170" s="19"/>
    </row>
    <row r="171">
      <c r="A171" s="19"/>
    </row>
    <row r="172">
      <c r="A172" s="19"/>
    </row>
    <row r="173">
      <c r="A173" s="19"/>
    </row>
    <row r="174">
      <c r="A174" s="19"/>
    </row>
    <row r="175">
      <c r="A175" s="19"/>
    </row>
    <row r="176">
      <c r="A176" s="19"/>
    </row>
    <row r="177">
      <c r="A177" s="19"/>
    </row>
    <row r="178">
      <c r="A178" s="19"/>
    </row>
    <row r="179">
      <c r="A179" s="19"/>
    </row>
    <row r="180">
      <c r="A180" s="19"/>
    </row>
    <row r="181">
      <c r="A181" s="19"/>
    </row>
    <row r="182">
      <c r="A182" s="19"/>
    </row>
    <row r="183">
      <c r="A183" s="19"/>
    </row>
    <row r="184">
      <c r="A184" s="19"/>
    </row>
    <row r="185">
      <c r="A185" s="19"/>
    </row>
    <row r="186">
      <c r="A186" s="19"/>
    </row>
    <row r="187">
      <c r="A187" s="19"/>
    </row>
    <row r="188">
      <c r="A188" s="19"/>
    </row>
    <row r="189">
      <c r="A189" s="19"/>
    </row>
    <row r="190">
      <c r="A190" s="19"/>
    </row>
    <row r="191">
      <c r="A191" s="19"/>
    </row>
    <row r="192">
      <c r="A192" s="19"/>
    </row>
    <row r="193">
      <c r="A193" s="19"/>
    </row>
    <row r="194">
      <c r="A194" s="19"/>
    </row>
    <row r="195">
      <c r="A195" s="19"/>
    </row>
    <row r="196">
      <c r="A196" s="19"/>
    </row>
    <row r="197">
      <c r="A197" s="19"/>
    </row>
    <row r="198">
      <c r="A198" s="19"/>
    </row>
    <row r="199">
      <c r="A199" s="19"/>
    </row>
    <row r="200">
      <c r="A200" s="19"/>
    </row>
    <row r="201">
      <c r="A201" s="19"/>
    </row>
    <row r="202">
      <c r="A202" s="19"/>
    </row>
    <row r="203">
      <c r="A203" s="19"/>
    </row>
    <row r="204">
      <c r="A204" s="19"/>
    </row>
    <row r="205">
      <c r="A205" s="19"/>
    </row>
    <row r="206">
      <c r="A206" s="19"/>
    </row>
    <row r="207">
      <c r="A207" s="19"/>
    </row>
    <row r="208">
      <c r="A208" s="19"/>
    </row>
    <row r="209">
      <c r="A209" s="19"/>
    </row>
    <row r="210">
      <c r="A210" s="19"/>
    </row>
    <row r="211">
      <c r="A211" s="19"/>
    </row>
    <row r="212">
      <c r="A212" s="19"/>
    </row>
    <row r="213">
      <c r="A213" s="19"/>
    </row>
    <row r="214">
      <c r="A214" s="19"/>
    </row>
    <row r="215">
      <c r="A215" s="19"/>
    </row>
    <row r="216">
      <c r="A216" s="19"/>
    </row>
    <row r="217">
      <c r="A217" s="19"/>
    </row>
    <row r="218">
      <c r="A218" s="19"/>
    </row>
    <row r="219">
      <c r="A219" s="19"/>
    </row>
    <row r="220">
      <c r="A220" s="19"/>
    </row>
    <row r="221">
      <c r="A221" s="19"/>
    </row>
    <row r="222">
      <c r="A222" s="19"/>
    </row>
    <row r="223">
      <c r="A223" s="19"/>
    </row>
    <row r="224">
      <c r="A224" s="19"/>
    </row>
    <row r="225">
      <c r="A225" s="19"/>
    </row>
    <row r="226">
      <c r="A226" s="19"/>
    </row>
    <row r="227">
      <c r="A227" s="19"/>
    </row>
    <row r="228">
      <c r="A228" s="19"/>
    </row>
    <row r="229">
      <c r="A229" s="19"/>
    </row>
    <row r="230">
      <c r="A230" s="19"/>
    </row>
    <row r="231">
      <c r="A231" s="19"/>
    </row>
    <row r="232">
      <c r="A232" s="19"/>
    </row>
    <row r="233">
      <c r="A233" s="19"/>
    </row>
    <row r="234">
      <c r="A234" s="19"/>
    </row>
    <row r="235">
      <c r="A235" s="19"/>
    </row>
    <row r="236">
      <c r="A236" s="19"/>
    </row>
    <row r="237">
      <c r="A237" s="19"/>
    </row>
    <row r="238">
      <c r="A238" s="19"/>
    </row>
    <row r="239">
      <c r="A239" s="19"/>
    </row>
    <row r="240">
      <c r="A240" s="19"/>
    </row>
    <row r="241">
      <c r="A241" s="19"/>
    </row>
    <row r="242">
      <c r="A242" s="19"/>
    </row>
    <row r="243">
      <c r="A243" s="19"/>
    </row>
    <row r="244">
      <c r="A244" s="19"/>
    </row>
    <row r="245">
      <c r="A245" s="19"/>
    </row>
    <row r="246">
      <c r="A246" s="19"/>
    </row>
    <row r="247">
      <c r="A247" s="19"/>
    </row>
    <row r="248">
      <c r="A248" s="19"/>
    </row>
    <row r="249">
      <c r="A249" s="19"/>
    </row>
    <row r="250">
      <c r="A250" s="19"/>
    </row>
    <row r="251">
      <c r="A251" s="19"/>
    </row>
    <row r="252">
      <c r="A252" s="19"/>
    </row>
    <row r="253">
      <c r="A253" s="19"/>
    </row>
    <row r="254">
      <c r="A254" s="19"/>
    </row>
    <row r="255">
      <c r="A255" s="19"/>
    </row>
    <row r="256">
      <c r="A256" s="19"/>
    </row>
    <row r="257">
      <c r="A257" s="19"/>
    </row>
    <row r="258">
      <c r="A258" s="19"/>
    </row>
    <row r="259">
      <c r="A259" s="19"/>
    </row>
    <row r="260">
      <c r="A260" s="19"/>
    </row>
    <row r="261">
      <c r="A261" s="19"/>
    </row>
    <row r="262">
      <c r="A262" s="19"/>
    </row>
    <row r="263">
      <c r="A263" s="19"/>
    </row>
    <row r="264">
      <c r="A264" s="19"/>
    </row>
    <row r="265">
      <c r="A265" s="19"/>
    </row>
    <row r="266">
      <c r="A266" s="19"/>
    </row>
    <row r="267">
      <c r="A267" s="19"/>
    </row>
    <row r="268">
      <c r="A268" s="19"/>
    </row>
    <row r="269">
      <c r="A269" s="19"/>
    </row>
    <row r="270">
      <c r="A270" s="19"/>
    </row>
    <row r="271">
      <c r="A271" s="19"/>
    </row>
    <row r="272">
      <c r="A272" s="19"/>
    </row>
    <row r="273">
      <c r="A273" s="19"/>
    </row>
    <row r="274">
      <c r="A274" s="19"/>
    </row>
    <row r="275">
      <c r="A275" s="19"/>
    </row>
    <row r="276">
      <c r="A276" s="19"/>
    </row>
    <row r="277">
      <c r="A277" s="19"/>
    </row>
    <row r="278">
      <c r="A278" s="19"/>
    </row>
    <row r="279">
      <c r="A279" s="19"/>
    </row>
    <row r="280">
      <c r="A280" s="19"/>
    </row>
    <row r="281">
      <c r="A281" s="19"/>
    </row>
    <row r="282">
      <c r="A282" s="19"/>
    </row>
    <row r="283">
      <c r="A283" s="19"/>
    </row>
    <row r="284">
      <c r="A284" s="19"/>
    </row>
    <row r="285">
      <c r="A285" s="19"/>
    </row>
    <row r="286">
      <c r="A286" s="19"/>
    </row>
    <row r="287">
      <c r="A287" s="19"/>
    </row>
    <row r="288">
      <c r="A288" s="19"/>
    </row>
    <row r="289">
      <c r="A289" s="19"/>
    </row>
    <row r="290">
      <c r="A290" s="19"/>
    </row>
    <row r="291">
      <c r="A291" s="19"/>
    </row>
    <row r="292">
      <c r="A292" s="19"/>
    </row>
    <row r="293">
      <c r="A293" s="19"/>
    </row>
    <row r="294">
      <c r="A294" s="19"/>
    </row>
    <row r="295">
      <c r="A295" s="19"/>
    </row>
    <row r="296">
      <c r="A296" s="19"/>
    </row>
    <row r="297">
      <c r="A297" s="19"/>
    </row>
    <row r="298">
      <c r="A298" s="19"/>
    </row>
    <row r="299">
      <c r="A299" s="19"/>
    </row>
    <row r="300">
      <c r="A300" s="19"/>
    </row>
    <row r="301">
      <c r="A301" s="19"/>
    </row>
    <row r="302">
      <c r="A302" s="19"/>
    </row>
    <row r="303">
      <c r="A303" s="19"/>
    </row>
    <row r="304">
      <c r="A304" s="19"/>
    </row>
    <row r="305">
      <c r="A305" s="19"/>
    </row>
    <row r="306">
      <c r="A306" s="19"/>
    </row>
    <row r="307">
      <c r="A307" s="19"/>
    </row>
    <row r="308">
      <c r="A308" s="19"/>
    </row>
    <row r="309">
      <c r="A309" s="19"/>
    </row>
    <row r="310">
      <c r="A310" s="19"/>
    </row>
    <row r="311">
      <c r="A311" s="19"/>
    </row>
    <row r="312">
      <c r="A312" s="19"/>
    </row>
    <row r="313">
      <c r="A313" s="19"/>
    </row>
    <row r="314">
      <c r="A314" s="19"/>
    </row>
    <row r="315">
      <c r="A315" s="19"/>
    </row>
    <row r="316">
      <c r="A316" s="19"/>
    </row>
    <row r="317">
      <c r="A317" s="19"/>
    </row>
    <row r="318">
      <c r="A318" s="19"/>
    </row>
    <row r="319">
      <c r="A319" s="19"/>
    </row>
    <row r="320">
      <c r="A320" s="19"/>
    </row>
    <row r="321">
      <c r="A321" s="19"/>
    </row>
    <row r="322">
      <c r="A322" s="19"/>
    </row>
    <row r="323">
      <c r="A323" s="19"/>
    </row>
    <row r="324">
      <c r="A324" s="19"/>
    </row>
    <row r="325">
      <c r="A325" s="19"/>
    </row>
    <row r="326">
      <c r="A326" s="19"/>
    </row>
    <row r="327">
      <c r="A327" s="19"/>
    </row>
    <row r="328">
      <c r="A328" s="19"/>
    </row>
    <row r="329">
      <c r="A329" s="19"/>
    </row>
    <row r="330">
      <c r="A330" s="19"/>
    </row>
    <row r="331">
      <c r="A331" s="19"/>
    </row>
    <row r="332">
      <c r="A332" s="19"/>
    </row>
    <row r="333">
      <c r="A333" s="19"/>
    </row>
    <row r="334">
      <c r="A334" s="19"/>
    </row>
    <row r="335">
      <c r="A335" s="19"/>
    </row>
    <row r="336">
      <c r="A336" s="19"/>
    </row>
    <row r="337">
      <c r="A337" s="19"/>
    </row>
    <row r="338">
      <c r="A338" s="19"/>
    </row>
    <row r="339">
      <c r="A339" s="19"/>
    </row>
    <row r="340">
      <c r="A340" s="19"/>
    </row>
    <row r="341">
      <c r="A341" s="19"/>
    </row>
    <row r="342">
      <c r="A342" s="19"/>
    </row>
    <row r="343">
      <c r="A343" s="19"/>
    </row>
    <row r="344">
      <c r="A344" s="19"/>
    </row>
    <row r="345">
      <c r="A345" s="19"/>
    </row>
    <row r="346">
      <c r="A346" s="19"/>
    </row>
    <row r="347">
      <c r="A347" s="19"/>
    </row>
    <row r="348">
      <c r="A348" s="19"/>
    </row>
    <row r="349">
      <c r="A349" s="19"/>
    </row>
    <row r="350">
      <c r="A350" s="19"/>
    </row>
    <row r="351">
      <c r="A351" s="19"/>
    </row>
    <row r="352">
      <c r="A352" s="19"/>
    </row>
    <row r="353">
      <c r="A353" s="19"/>
    </row>
    <row r="354">
      <c r="A354" s="19"/>
    </row>
    <row r="355">
      <c r="A355" s="19"/>
    </row>
    <row r="356">
      <c r="A356" s="19"/>
    </row>
    <row r="357">
      <c r="A357" s="19"/>
    </row>
    <row r="358">
      <c r="A358" s="19"/>
    </row>
    <row r="359">
      <c r="A359" s="19"/>
    </row>
    <row r="360">
      <c r="A360" s="19"/>
    </row>
    <row r="361">
      <c r="A361" s="19"/>
    </row>
    <row r="362">
      <c r="A362" s="19"/>
    </row>
    <row r="363">
      <c r="A363" s="19"/>
    </row>
    <row r="364">
      <c r="A364" s="19"/>
    </row>
    <row r="365">
      <c r="A365" s="19"/>
    </row>
    <row r="366">
      <c r="A366" s="19"/>
    </row>
    <row r="367">
      <c r="A367" s="19"/>
    </row>
    <row r="368">
      <c r="A368" s="19"/>
    </row>
    <row r="369">
      <c r="A369" s="19"/>
    </row>
    <row r="370">
      <c r="A370" s="19"/>
    </row>
    <row r="371">
      <c r="A371" s="19"/>
    </row>
    <row r="372">
      <c r="A372" s="19"/>
    </row>
    <row r="373">
      <c r="A373" s="19"/>
    </row>
    <row r="374">
      <c r="A374" s="19"/>
    </row>
    <row r="375">
      <c r="A375" s="19"/>
    </row>
    <row r="376">
      <c r="A376" s="19"/>
    </row>
    <row r="377">
      <c r="A377" s="19"/>
    </row>
    <row r="378">
      <c r="A378" s="19"/>
    </row>
    <row r="379">
      <c r="A379" s="19"/>
    </row>
    <row r="380">
      <c r="A380" s="19"/>
    </row>
    <row r="381">
      <c r="A381" s="19"/>
    </row>
    <row r="382">
      <c r="A382" s="19"/>
    </row>
    <row r="383">
      <c r="A383" s="19"/>
    </row>
    <row r="384">
      <c r="A384" s="19"/>
    </row>
    <row r="385">
      <c r="A385" s="19"/>
    </row>
    <row r="386">
      <c r="A386" s="19"/>
    </row>
    <row r="387">
      <c r="A387" s="19"/>
    </row>
    <row r="388">
      <c r="A388" s="19"/>
    </row>
    <row r="389">
      <c r="A389" s="19"/>
    </row>
    <row r="390">
      <c r="A390" s="19"/>
    </row>
    <row r="391">
      <c r="A391" s="19"/>
    </row>
    <row r="392">
      <c r="A392" s="19"/>
    </row>
    <row r="393">
      <c r="A393" s="19"/>
    </row>
    <row r="394">
      <c r="A394" s="19"/>
    </row>
    <row r="395">
      <c r="A395" s="19"/>
    </row>
    <row r="396">
      <c r="A396" s="19"/>
    </row>
    <row r="397">
      <c r="A397" s="19"/>
    </row>
    <row r="398">
      <c r="A398" s="19"/>
    </row>
    <row r="399">
      <c r="A399" s="19"/>
    </row>
    <row r="400">
      <c r="A400" s="19"/>
    </row>
    <row r="401">
      <c r="A401" s="19"/>
    </row>
    <row r="402">
      <c r="A402" s="19"/>
    </row>
    <row r="403">
      <c r="A403" s="19"/>
    </row>
    <row r="404">
      <c r="A404" s="19"/>
    </row>
    <row r="405">
      <c r="A405" s="19"/>
    </row>
    <row r="406">
      <c r="A406" s="19"/>
    </row>
    <row r="407">
      <c r="A407" s="19"/>
    </row>
    <row r="408">
      <c r="A408" s="19"/>
    </row>
    <row r="409">
      <c r="A409" s="19"/>
    </row>
    <row r="410">
      <c r="A410" s="19"/>
    </row>
    <row r="411">
      <c r="A411" s="19"/>
    </row>
    <row r="412">
      <c r="A412" s="19"/>
    </row>
    <row r="413">
      <c r="A413" s="19"/>
    </row>
    <row r="414">
      <c r="A414" s="19"/>
    </row>
    <row r="415">
      <c r="A415" s="19"/>
    </row>
    <row r="416">
      <c r="A416" s="19"/>
    </row>
    <row r="417">
      <c r="A417" s="19"/>
    </row>
    <row r="418">
      <c r="A418" s="19"/>
    </row>
    <row r="419">
      <c r="A419" s="19"/>
    </row>
    <row r="420">
      <c r="A420" s="19"/>
    </row>
    <row r="421">
      <c r="A421" s="19"/>
    </row>
    <row r="422">
      <c r="A422" s="19"/>
    </row>
    <row r="423">
      <c r="A423" s="19"/>
    </row>
    <row r="424">
      <c r="A424" s="19"/>
    </row>
    <row r="425">
      <c r="A425" s="19"/>
    </row>
    <row r="426">
      <c r="A426" s="19"/>
    </row>
    <row r="427">
      <c r="A427" s="19"/>
    </row>
    <row r="428">
      <c r="A428" s="19"/>
    </row>
    <row r="429">
      <c r="A429" s="19"/>
    </row>
    <row r="430">
      <c r="A430" s="19"/>
    </row>
    <row r="431">
      <c r="A431" s="19"/>
    </row>
    <row r="432">
      <c r="A432" s="19"/>
    </row>
    <row r="433">
      <c r="A433" s="19"/>
    </row>
    <row r="434">
      <c r="A434" s="19"/>
    </row>
    <row r="435">
      <c r="A435" s="19"/>
    </row>
    <row r="436">
      <c r="A436" s="19"/>
    </row>
    <row r="437">
      <c r="A437" s="19"/>
    </row>
    <row r="438">
      <c r="A438" s="19"/>
    </row>
    <row r="439">
      <c r="A439" s="19"/>
    </row>
    <row r="440">
      <c r="A440" s="19"/>
    </row>
    <row r="441">
      <c r="A441" s="19"/>
    </row>
    <row r="442">
      <c r="A442" s="19"/>
    </row>
    <row r="443">
      <c r="A443" s="19"/>
    </row>
    <row r="444">
      <c r="A444" s="19"/>
    </row>
    <row r="445">
      <c r="A445" s="19"/>
    </row>
    <row r="446">
      <c r="A446" s="19"/>
    </row>
    <row r="447">
      <c r="A447" s="19"/>
    </row>
    <row r="448">
      <c r="A448" s="19"/>
    </row>
    <row r="449">
      <c r="A449" s="19"/>
    </row>
    <row r="450">
      <c r="A450" s="19"/>
    </row>
    <row r="451">
      <c r="A451" s="19"/>
    </row>
    <row r="452">
      <c r="A452" s="19"/>
    </row>
    <row r="453">
      <c r="A453" s="19"/>
    </row>
    <row r="454">
      <c r="A454" s="19"/>
    </row>
    <row r="455">
      <c r="A455" s="19"/>
    </row>
    <row r="456">
      <c r="A456" s="19"/>
    </row>
    <row r="457">
      <c r="A457" s="19"/>
    </row>
    <row r="458">
      <c r="A458" s="19"/>
    </row>
    <row r="459">
      <c r="A459" s="19"/>
    </row>
    <row r="460">
      <c r="A460" s="19"/>
    </row>
    <row r="461">
      <c r="A461" s="19"/>
    </row>
    <row r="462">
      <c r="A462" s="19"/>
    </row>
    <row r="463">
      <c r="A463" s="19"/>
    </row>
    <row r="464">
      <c r="A464" s="19"/>
    </row>
    <row r="465">
      <c r="A465" s="19"/>
    </row>
    <row r="466">
      <c r="A466" s="19"/>
    </row>
    <row r="467">
      <c r="A467" s="19"/>
    </row>
    <row r="468">
      <c r="A468" s="19"/>
    </row>
    <row r="469">
      <c r="A469" s="19"/>
    </row>
    <row r="470">
      <c r="A470" s="19"/>
    </row>
    <row r="471">
      <c r="A471" s="19"/>
    </row>
    <row r="472">
      <c r="A472" s="19"/>
    </row>
    <row r="473">
      <c r="A473" s="19"/>
    </row>
    <row r="474">
      <c r="A474" s="19"/>
    </row>
    <row r="475">
      <c r="A475" s="19"/>
    </row>
    <row r="476">
      <c r="A476" s="19"/>
    </row>
    <row r="477">
      <c r="A477" s="19"/>
    </row>
    <row r="478">
      <c r="A478" s="19"/>
    </row>
    <row r="479">
      <c r="A479" s="19"/>
    </row>
    <row r="480">
      <c r="A480" s="19"/>
    </row>
    <row r="481">
      <c r="A481" s="19"/>
    </row>
    <row r="482">
      <c r="A482" s="19"/>
    </row>
    <row r="483">
      <c r="A483" s="19"/>
    </row>
    <row r="484">
      <c r="A484" s="19"/>
    </row>
    <row r="485">
      <c r="A485" s="19"/>
    </row>
    <row r="486">
      <c r="A486" s="19"/>
    </row>
    <row r="487">
      <c r="A487" s="19"/>
    </row>
    <row r="488">
      <c r="A488" s="19"/>
    </row>
    <row r="489">
      <c r="A489" s="19"/>
    </row>
    <row r="490">
      <c r="A490" s="19"/>
    </row>
    <row r="491">
      <c r="A491" s="19"/>
    </row>
    <row r="492">
      <c r="A492" s="19"/>
    </row>
    <row r="493">
      <c r="A493" s="19"/>
    </row>
    <row r="494">
      <c r="A494" s="19"/>
    </row>
    <row r="495">
      <c r="A495" s="19"/>
    </row>
    <row r="496">
      <c r="A496" s="19"/>
    </row>
    <row r="497">
      <c r="A497" s="19"/>
    </row>
    <row r="498">
      <c r="A498" s="19"/>
    </row>
    <row r="499">
      <c r="A499" s="19"/>
    </row>
    <row r="500">
      <c r="A500" s="19"/>
    </row>
    <row r="501">
      <c r="A501" s="19"/>
    </row>
    <row r="502">
      <c r="A502" s="19"/>
    </row>
    <row r="503">
      <c r="A503" s="19"/>
    </row>
    <row r="504">
      <c r="A504" s="19"/>
    </row>
    <row r="505">
      <c r="A505" s="19"/>
    </row>
    <row r="506">
      <c r="A506" s="19"/>
    </row>
    <row r="507">
      <c r="A507" s="19"/>
    </row>
    <row r="508">
      <c r="A508" s="19"/>
    </row>
    <row r="509">
      <c r="A509" s="19"/>
    </row>
    <row r="510">
      <c r="A510" s="19"/>
    </row>
    <row r="511">
      <c r="A511" s="19"/>
    </row>
    <row r="512">
      <c r="A512" s="19"/>
    </row>
    <row r="513">
      <c r="A513" s="19"/>
    </row>
    <row r="514">
      <c r="A514" s="19"/>
    </row>
    <row r="515">
      <c r="A515" s="19"/>
    </row>
    <row r="516">
      <c r="A516" s="19"/>
    </row>
    <row r="517">
      <c r="A517" s="19"/>
    </row>
    <row r="518">
      <c r="A518" s="19"/>
    </row>
    <row r="519">
      <c r="A519" s="19"/>
    </row>
    <row r="520">
      <c r="A520" s="19"/>
    </row>
    <row r="521">
      <c r="A521" s="19"/>
    </row>
    <row r="522">
      <c r="A522" s="19"/>
    </row>
    <row r="523">
      <c r="A523" s="19"/>
    </row>
    <row r="524">
      <c r="A524" s="19"/>
    </row>
    <row r="525">
      <c r="A525" s="19"/>
    </row>
    <row r="526">
      <c r="A526" s="19"/>
    </row>
    <row r="527">
      <c r="A527" s="19"/>
    </row>
    <row r="528">
      <c r="A528" s="19"/>
    </row>
    <row r="529">
      <c r="A529" s="19"/>
    </row>
    <row r="530">
      <c r="A530" s="19"/>
    </row>
    <row r="531">
      <c r="A531" s="19"/>
    </row>
    <row r="532">
      <c r="A532" s="19"/>
    </row>
    <row r="533">
      <c r="A533" s="19"/>
    </row>
    <row r="534">
      <c r="A534" s="19"/>
    </row>
    <row r="535">
      <c r="A535" s="19"/>
    </row>
    <row r="536">
      <c r="A536" s="19"/>
    </row>
    <row r="537">
      <c r="A537" s="19"/>
    </row>
    <row r="538">
      <c r="A538" s="19"/>
    </row>
    <row r="539">
      <c r="A539" s="19"/>
    </row>
    <row r="540">
      <c r="A540" s="19"/>
    </row>
    <row r="541">
      <c r="A541" s="19"/>
    </row>
    <row r="542">
      <c r="A542" s="19"/>
    </row>
    <row r="543">
      <c r="A543" s="19"/>
    </row>
    <row r="544">
      <c r="A544" s="19"/>
    </row>
    <row r="545">
      <c r="A545" s="19"/>
    </row>
    <row r="546">
      <c r="A546" s="19"/>
    </row>
    <row r="547">
      <c r="A547" s="19"/>
    </row>
    <row r="548">
      <c r="A548" s="19"/>
    </row>
    <row r="549">
      <c r="A549" s="19"/>
    </row>
    <row r="550">
      <c r="A550" s="19"/>
    </row>
    <row r="551">
      <c r="A551" s="19"/>
    </row>
    <row r="552">
      <c r="A552" s="19"/>
    </row>
    <row r="553">
      <c r="A553" s="19"/>
    </row>
    <row r="554">
      <c r="A554" s="19"/>
    </row>
    <row r="555">
      <c r="A555" s="19"/>
    </row>
    <row r="556">
      <c r="A556" s="19"/>
    </row>
    <row r="557">
      <c r="A557" s="19"/>
    </row>
    <row r="558">
      <c r="A558" s="19"/>
    </row>
    <row r="559">
      <c r="A559" s="19"/>
    </row>
    <row r="560">
      <c r="A560" s="19"/>
    </row>
    <row r="561">
      <c r="A561" s="19"/>
    </row>
    <row r="562">
      <c r="A562" s="19"/>
    </row>
    <row r="563">
      <c r="A563" s="19"/>
    </row>
    <row r="564">
      <c r="A564" s="19"/>
    </row>
    <row r="565">
      <c r="A565" s="19"/>
    </row>
    <row r="566">
      <c r="A566" s="19"/>
    </row>
    <row r="567">
      <c r="A567" s="19"/>
    </row>
    <row r="568">
      <c r="A568" s="19"/>
    </row>
    <row r="569">
      <c r="A569" s="19"/>
    </row>
    <row r="570">
      <c r="A570" s="19"/>
    </row>
    <row r="571">
      <c r="A571" s="19"/>
    </row>
    <row r="572">
      <c r="A572" s="19"/>
    </row>
    <row r="573">
      <c r="A573" s="19"/>
    </row>
    <row r="574">
      <c r="A574" s="19"/>
    </row>
    <row r="575">
      <c r="A575" s="19"/>
    </row>
    <row r="576">
      <c r="A576" s="19"/>
    </row>
    <row r="577">
      <c r="A577" s="19"/>
    </row>
    <row r="578">
      <c r="A578" s="19"/>
    </row>
    <row r="579">
      <c r="A579" s="19"/>
    </row>
    <row r="580">
      <c r="A580" s="19"/>
    </row>
    <row r="581">
      <c r="A581" s="19"/>
    </row>
    <row r="582">
      <c r="A582" s="19"/>
    </row>
    <row r="583">
      <c r="A583" s="19"/>
    </row>
    <row r="584">
      <c r="A584" s="19"/>
    </row>
    <row r="585">
      <c r="A585" s="19"/>
    </row>
    <row r="586">
      <c r="A586" s="19"/>
    </row>
    <row r="587">
      <c r="A587" s="19"/>
    </row>
    <row r="588">
      <c r="A588" s="19"/>
    </row>
    <row r="589">
      <c r="A589" s="19"/>
    </row>
    <row r="590">
      <c r="A590" s="19"/>
    </row>
    <row r="591">
      <c r="A591" s="19"/>
    </row>
    <row r="592">
      <c r="A592" s="19"/>
    </row>
    <row r="593">
      <c r="A593" s="19"/>
    </row>
    <row r="594">
      <c r="A594" s="19"/>
    </row>
    <row r="595">
      <c r="A595" s="19"/>
    </row>
    <row r="596">
      <c r="A596" s="19"/>
    </row>
    <row r="597">
      <c r="A597" s="19"/>
    </row>
    <row r="598">
      <c r="A598" s="19"/>
    </row>
    <row r="599">
      <c r="A599" s="19"/>
    </row>
    <row r="600">
      <c r="A600" s="19"/>
    </row>
    <row r="601">
      <c r="A601" s="19"/>
    </row>
    <row r="602">
      <c r="A602" s="19"/>
    </row>
    <row r="603">
      <c r="A603" s="19"/>
    </row>
    <row r="604">
      <c r="A604" s="19"/>
    </row>
    <row r="605">
      <c r="A605" s="19"/>
    </row>
    <row r="606">
      <c r="A606" s="19"/>
    </row>
    <row r="607">
      <c r="A607" s="19"/>
    </row>
    <row r="608">
      <c r="A608" s="19"/>
    </row>
    <row r="609">
      <c r="A609" s="19"/>
    </row>
    <row r="610">
      <c r="A610" s="19"/>
    </row>
    <row r="611">
      <c r="A611" s="19"/>
    </row>
    <row r="612">
      <c r="A612" s="19"/>
    </row>
    <row r="613">
      <c r="A613" s="19"/>
    </row>
    <row r="614">
      <c r="A614" s="19"/>
    </row>
    <row r="615">
      <c r="A615" s="19"/>
    </row>
    <row r="616">
      <c r="A616" s="19"/>
    </row>
    <row r="617">
      <c r="A617" s="19"/>
    </row>
    <row r="618">
      <c r="A618" s="19"/>
    </row>
    <row r="619">
      <c r="A619" s="19"/>
    </row>
    <row r="620">
      <c r="A620" s="19"/>
    </row>
    <row r="621">
      <c r="A621" s="19"/>
    </row>
    <row r="622">
      <c r="A622" s="19"/>
    </row>
    <row r="623">
      <c r="A623" s="19"/>
    </row>
    <row r="624">
      <c r="A624" s="19"/>
    </row>
    <row r="625">
      <c r="A625" s="19"/>
    </row>
    <row r="626">
      <c r="A626" s="19"/>
    </row>
    <row r="627">
      <c r="A627" s="19"/>
    </row>
    <row r="628">
      <c r="A628" s="19"/>
    </row>
    <row r="629">
      <c r="A629" s="19"/>
    </row>
    <row r="630">
      <c r="A630" s="19"/>
    </row>
    <row r="631">
      <c r="A631" s="19"/>
    </row>
    <row r="632">
      <c r="A632" s="19"/>
    </row>
    <row r="633">
      <c r="A633" s="19"/>
    </row>
    <row r="634">
      <c r="A634" s="19"/>
    </row>
    <row r="635">
      <c r="A635" s="19"/>
    </row>
    <row r="636">
      <c r="A636" s="19"/>
    </row>
    <row r="637">
      <c r="A637" s="19"/>
    </row>
    <row r="638">
      <c r="A638" s="19"/>
    </row>
    <row r="639">
      <c r="A639" s="19"/>
    </row>
    <row r="640">
      <c r="A640" s="19"/>
    </row>
    <row r="641">
      <c r="A641" s="19"/>
    </row>
    <row r="642">
      <c r="A642" s="19"/>
    </row>
    <row r="643">
      <c r="A643" s="19"/>
    </row>
    <row r="644">
      <c r="A644" s="19"/>
    </row>
    <row r="645">
      <c r="A645" s="19"/>
    </row>
    <row r="646">
      <c r="A646" s="19"/>
    </row>
    <row r="647">
      <c r="A647" s="19"/>
    </row>
    <row r="648">
      <c r="A648" s="19"/>
    </row>
    <row r="649">
      <c r="A649" s="19"/>
    </row>
    <row r="650">
      <c r="A650" s="19"/>
    </row>
    <row r="651">
      <c r="A651" s="19"/>
    </row>
    <row r="652">
      <c r="A652" s="19"/>
    </row>
    <row r="653">
      <c r="A653" s="19"/>
    </row>
    <row r="654">
      <c r="A654" s="19"/>
    </row>
    <row r="655">
      <c r="A655" s="19"/>
    </row>
    <row r="656">
      <c r="A656" s="19"/>
    </row>
    <row r="657">
      <c r="A657" s="19"/>
    </row>
    <row r="658">
      <c r="A658" s="19"/>
    </row>
    <row r="659">
      <c r="A659" s="19"/>
    </row>
    <row r="660">
      <c r="A660" s="19"/>
    </row>
    <row r="661">
      <c r="A661" s="19"/>
    </row>
    <row r="662">
      <c r="A662" s="19"/>
    </row>
    <row r="663">
      <c r="A663" s="19"/>
    </row>
    <row r="664">
      <c r="A664" s="19"/>
    </row>
    <row r="665">
      <c r="A665" s="19"/>
    </row>
    <row r="666">
      <c r="A666" s="19"/>
    </row>
    <row r="667">
      <c r="A667" s="19"/>
    </row>
    <row r="668">
      <c r="A668" s="19"/>
    </row>
    <row r="669">
      <c r="A669" s="19"/>
    </row>
    <row r="670">
      <c r="A670" s="19"/>
    </row>
    <row r="671">
      <c r="A671" s="19"/>
    </row>
    <row r="672">
      <c r="A672" s="19"/>
    </row>
    <row r="673">
      <c r="A673" s="19"/>
    </row>
    <row r="674">
      <c r="A674" s="19"/>
    </row>
    <row r="675">
      <c r="A675" s="19"/>
    </row>
    <row r="676">
      <c r="A676" s="19"/>
    </row>
    <row r="677">
      <c r="A677" s="19"/>
    </row>
    <row r="678">
      <c r="A678" s="19"/>
    </row>
    <row r="679">
      <c r="A679" s="19"/>
    </row>
    <row r="680">
      <c r="A680" s="19"/>
    </row>
    <row r="681">
      <c r="A681" s="19"/>
    </row>
    <row r="682">
      <c r="A682" s="19"/>
    </row>
    <row r="683">
      <c r="A683" s="19"/>
    </row>
    <row r="684">
      <c r="A684" s="19"/>
    </row>
    <row r="685">
      <c r="A685" s="19"/>
    </row>
    <row r="686">
      <c r="A686" s="19"/>
    </row>
    <row r="687">
      <c r="A687" s="19"/>
    </row>
    <row r="688">
      <c r="A688" s="19"/>
    </row>
    <row r="689">
      <c r="A689" s="19"/>
    </row>
    <row r="690">
      <c r="A690" s="19"/>
    </row>
    <row r="691">
      <c r="A691" s="19"/>
    </row>
    <row r="692">
      <c r="A692" s="19"/>
    </row>
    <row r="693">
      <c r="A693" s="19"/>
    </row>
    <row r="694">
      <c r="A694" s="19"/>
    </row>
    <row r="695">
      <c r="A695" s="19"/>
    </row>
    <row r="696">
      <c r="A696" s="19"/>
    </row>
    <row r="697">
      <c r="A697" s="19"/>
    </row>
    <row r="698">
      <c r="A698" s="19"/>
    </row>
    <row r="699">
      <c r="A699" s="19"/>
    </row>
    <row r="700">
      <c r="A700" s="19"/>
    </row>
    <row r="701">
      <c r="A701" s="19"/>
    </row>
    <row r="702">
      <c r="A702" s="19"/>
    </row>
    <row r="703">
      <c r="A703" s="19"/>
    </row>
    <row r="704">
      <c r="A704" s="19"/>
    </row>
    <row r="705">
      <c r="A705" s="19"/>
    </row>
    <row r="706">
      <c r="A706" s="19"/>
    </row>
    <row r="707">
      <c r="A707" s="19"/>
    </row>
    <row r="708">
      <c r="A708" s="19"/>
    </row>
    <row r="709">
      <c r="A709" s="19"/>
    </row>
    <row r="710">
      <c r="A710" s="19"/>
    </row>
    <row r="711">
      <c r="A711" s="19"/>
    </row>
    <row r="712">
      <c r="A712" s="19"/>
    </row>
    <row r="713">
      <c r="A713" s="19"/>
    </row>
    <row r="714">
      <c r="A714" s="19"/>
    </row>
    <row r="715">
      <c r="A715" s="19"/>
    </row>
    <row r="716">
      <c r="A716" s="19"/>
    </row>
    <row r="717">
      <c r="A717" s="19"/>
    </row>
    <row r="718">
      <c r="A718" s="19"/>
    </row>
    <row r="719">
      <c r="A719" s="19"/>
    </row>
    <row r="720">
      <c r="A720" s="19"/>
    </row>
    <row r="721">
      <c r="A721" s="19"/>
    </row>
    <row r="722">
      <c r="A722" s="19"/>
    </row>
    <row r="723">
      <c r="A723" s="19"/>
    </row>
    <row r="724">
      <c r="A724" s="19"/>
    </row>
    <row r="725">
      <c r="A725" s="19"/>
    </row>
    <row r="726">
      <c r="A726" s="19"/>
    </row>
    <row r="727">
      <c r="A727" s="19"/>
    </row>
    <row r="728">
      <c r="A728" s="19"/>
    </row>
    <row r="729">
      <c r="A729" s="19"/>
    </row>
    <row r="730">
      <c r="A730" s="19"/>
    </row>
    <row r="731">
      <c r="A731" s="19"/>
    </row>
    <row r="732">
      <c r="A732" s="19"/>
    </row>
    <row r="733">
      <c r="A733" s="19"/>
    </row>
    <row r="734">
      <c r="A734" s="19"/>
    </row>
    <row r="735">
      <c r="A735" s="19"/>
    </row>
    <row r="736">
      <c r="A736" s="19"/>
    </row>
    <row r="737">
      <c r="A737" s="19"/>
    </row>
    <row r="738">
      <c r="A738" s="19"/>
    </row>
    <row r="739">
      <c r="A739" s="19"/>
    </row>
    <row r="740">
      <c r="A740" s="19"/>
    </row>
    <row r="741">
      <c r="A741" s="19"/>
    </row>
    <row r="742">
      <c r="A742" s="19"/>
    </row>
    <row r="743">
      <c r="A743" s="19"/>
    </row>
    <row r="744">
      <c r="A744" s="19"/>
    </row>
    <row r="745">
      <c r="A745" s="19"/>
    </row>
    <row r="746">
      <c r="A746" s="19"/>
    </row>
    <row r="747">
      <c r="A747" s="19"/>
    </row>
    <row r="748">
      <c r="A748" s="19"/>
    </row>
    <row r="749">
      <c r="A749" s="19"/>
    </row>
    <row r="750">
      <c r="A750" s="19"/>
    </row>
    <row r="751">
      <c r="A751" s="19"/>
    </row>
    <row r="752">
      <c r="A752" s="19"/>
    </row>
    <row r="753">
      <c r="A753" s="19"/>
    </row>
    <row r="754">
      <c r="A754" s="19"/>
    </row>
    <row r="755">
      <c r="A755" s="19"/>
    </row>
    <row r="756">
      <c r="A756" s="19"/>
    </row>
    <row r="757">
      <c r="A757" s="19"/>
    </row>
    <row r="758">
      <c r="A758" s="19"/>
    </row>
    <row r="759">
      <c r="A759" s="19"/>
    </row>
    <row r="760">
      <c r="A760" s="19"/>
    </row>
    <row r="761">
      <c r="A761" s="19"/>
    </row>
    <row r="762">
      <c r="A762" s="19"/>
    </row>
    <row r="763">
      <c r="A763" s="19"/>
    </row>
    <row r="764">
      <c r="A764" s="19"/>
    </row>
    <row r="765">
      <c r="A765" s="19"/>
    </row>
    <row r="766">
      <c r="A766" s="19"/>
    </row>
    <row r="767">
      <c r="A767" s="19"/>
    </row>
    <row r="768">
      <c r="A768" s="19"/>
    </row>
    <row r="769">
      <c r="A769" s="19"/>
    </row>
    <row r="770">
      <c r="A770" s="19"/>
    </row>
    <row r="771">
      <c r="A771" s="19"/>
    </row>
    <row r="772">
      <c r="A772" s="19"/>
    </row>
    <row r="773">
      <c r="A773" s="19"/>
    </row>
    <row r="774">
      <c r="A774" s="19"/>
    </row>
    <row r="775">
      <c r="A775" s="19"/>
    </row>
    <row r="776">
      <c r="A776" s="19"/>
    </row>
    <row r="777">
      <c r="A777" s="19"/>
    </row>
    <row r="778">
      <c r="A778" s="19"/>
    </row>
    <row r="779">
      <c r="A779" s="19"/>
    </row>
    <row r="780">
      <c r="A780" s="19"/>
    </row>
    <row r="781">
      <c r="A781" s="19"/>
    </row>
    <row r="782">
      <c r="A782" s="19"/>
    </row>
    <row r="783">
      <c r="A783" s="19"/>
    </row>
    <row r="784">
      <c r="A784" s="19"/>
    </row>
    <row r="785">
      <c r="A785" s="19"/>
    </row>
    <row r="786">
      <c r="A786" s="19"/>
    </row>
    <row r="787">
      <c r="A787" s="19"/>
    </row>
    <row r="788">
      <c r="A788" s="19"/>
    </row>
    <row r="789">
      <c r="A789" s="19"/>
    </row>
    <row r="790">
      <c r="A790" s="19"/>
    </row>
    <row r="791">
      <c r="A791" s="19"/>
    </row>
    <row r="792">
      <c r="A792" s="19"/>
    </row>
    <row r="793">
      <c r="A793" s="19"/>
    </row>
    <row r="794">
      <c r="A794" s="19"/>
    </row>
    <row r="795">
      <c r="A795" s="19"/>
    </row>
    <row r="796">
      <c r="A796" s="19"/>
    </row>
    <row r="797">
      <c r="A797" s="19"/>
    </row>
    <row r="798">
      <c r="A798" s="19"/>
    </row>
    <row r="799">
      <c r="A799" s="19"/>
    </row>
    <row r="800">
      <c r="A800" s="19"/>
    </row>
    <row r="801">
      <c r="A801" s="19"/>
    </row>
    <row r="802">
      <c r="A802" s="19"/>
    </row>
    <row r="803">
      <c r="A803" s="19"/>
    </row>
    <row r="804">
      <c r="A804" s="19"/>
    </row>
    <row r="805">
      <c r="A805" s="19"/>
    </row>
    <row r="806">
      <c r="A806" s="19"/>
    </row>
    <row r="807">
      <c r="A807" s="19"/>
    </row>
    <row r="808">
      <c r="A808" s="19"/>
    </row>
    <row r="809">
      <c r="A809" s="19"/>
    </row>
    <row r="810">
      <c r="A810" s="19"/>
    </row>
    <row r="811">
      <c r="A811" s="19"/>
    </row>
    <row r="812">
      <c r="A812" s="19"/>
    </row>
    <row r="813">
      <c r="A813" s="19"/>
    </row>
    <row r="814">
      <c r="A814" s="19"/>
    </row>
    <row r="815">
      <c r="A815" s="19"/>
    </row>
    <row r="816">
      <c r="A816" s="19"/>
    </row>
    <row r="817">
      <c r="A817" s="19"/>
    </row>
    <row r="818">
      <c r="A818" s="19"/>
    </row>
    <row r="819">
      <c r="A819" s="19"/>
    </row>
    <row r="820">
      <c r="A820" s="19"/>
    </row>
    <row r="821">
      <c r="A821" s="19"/>
    </row>
    <row r="822">
      <c r="A822" s="19"/>
    </row>
    <row r="823">
      <c r="A823" s="19"/>
    </row>
    <row r="824">
      <c r="A824" s="19"/>
    </row>
    <row r="825">
      <c r="A825" s="19"/>
    </row>
    <row r="826">
      <c r="A826" s="19"/>
    </row>
    <row r="827">
      <c r="A827" s="19"/>
    </row>
    <row r="828">
      <c r="A828" s="19"/>
    </row>
    <row r="829">
      <c r="A829" s="19"/>
    </row>
    <row r="830">
      <c r="A830" s="19"/>
    </row>
    <row r="831">
      <c r="A831" s="19"/>
    </row>
    <row r="832">
      <c r="A832" s="19"/>
    </row>
    <row r="833">
      <c r="A833" s="19"/>
    </row>
    <row r="834">
      <c r="A834" s="19"/>
    </row>
    <row r="835">
      <c r="A835" s="19"/>
    </row>
    <row r="836">
      <c r="A836" s="19"/>
    </row>
    <row r="837">
      <c r="A837" s="19"/>
    </row>
    <row r="838">
      <c r="A838" s="19"/>
    </row>
    <row r="839">
      <c r="A839" s="19"/>
    </row>
    <row r="840">
      <c r="A840" s="19"/>
    </row>
    <row r="841">
      <c r="A841" s="19"/>
    </row>
    <row r="842">
      <c r="A842" s="19"/>
    </row>
    <row r="843">
      <c r="A843" s="19"/>
    </row>
    <row r="844">
      <c r="A844" s="19"/>
    </row>
    <row r="845">
      <c r="A845" s="19"/>
    </row>
    <row r="846">
      <c r="A846" s="19"/>
    </row>
    <row r="847">
      <c r="A847" s="19"/>
    </row>
    <row r="848">
      <c r="A848" s="19"/>
    </row>
    <row r="849">
      <c r="A849" s="19"/>
    </row>
    <row r="850">
      <c r="A850" s="19"/>
    </row>
    <row r="851">
      <c r="A851" s="19"/>
    </row>
    <row r="852">
      <c r="A852" s="19"/>
    </row>
    <row r="853">
      <c r="A853" s="19"/>
    </row>
    <row r="854">
      <c r="A854" s="19"/>
    </row>
    <row r="855">
      <c r="A855" s="19"/>
    </row>
    <row r="856">
      <c r="A856" s="19"/>
    </row>
    <row r="857">
      <c r="A857" s="19"/>
    </row>
    <row r="858">
      <c r="A858" s="19"/>
    </row>
    <row r="859">
      <c r="A859" s="19"/>
    </row>
    <row r="860">
      <c r="A860" s="19"/>
    </row>
    <row r="861">
      <c r="A861" s="19"/>
    </row>
    <row r="862">
      <c r="A862" s="19"/>
    </row>
    <row r="863">
      <c r="A863" s="19"/>
    </row>
    <row r="864">
      <c r="A864" s="19"/>
    </row>
    <row r="865">
      <c r="A865" s="19"/>
    </row>
    <row r="866">
      <c r="A866" s="19"/>
    </row>
    <row r="867">
      <c r="A867" s="19"/>
    </row>
    <row r="868">
      <c r="A868" s="19"/>
    </row>
    <row r="869">
      <c r="A869" s="19"/>
    </row>
    <row r="870">
      <c r="A870" s="19"/>
    </row>
    <row r="871">
      <c r="A871" s="19"/>
    </row>
    <row r="872">
      <c r="A872" s="19"/>
    </row>
    <row r="873">
      <c r="A873" s="19"/>
    </row>
    <row r="874">
      <c r="A874" s="19"/>
    </row>
    <row r="875">
      <c r="A875" s="19"/>
    </row>
    <row r="876">
      <c r="A876" s="19"/>
    </row>
    <row r="877">
      <c r="A877" s="19"/>
    </row>
    <row r="878">
      <c r="A878" s="19"/>
    </row>
    <row r="879">
      <c r="A879" s="19"/>
    </row>
    <row r="880">
      <c r="A880" s="19"/>
    </row>
    <row r="881">
      <c r="A881" s="19"/>
    </row>
    <row r="882">
      <c r="A882" s="19"/>
    </row>
    <row r="883">
      <c r="A883" s="19"/>
    </row>
    <row r="884">
      <c r="A884" s="19"/>
    </row>
    <row r="885">
      <c r="A885" s="19"/>
    </row>
    <row r="886">
      <c r="A886" s="19"/>
    </row>
    <row r="887">
      <c r="A887" s="19"/>
    </row>
    <row r="888">
      <c r="A888" s="19"/>
    </row>
    <row r="889">
      <c r="A889" s="19"/>
    </row>
    <row r="890">
      <c r="A890" s="19"/>
    </row>
    <row r="891">
      <c r="A891" s="19"/>
    </row>
    <row r="892">
      <c r="A892" s="19"/>
    </row>
    <row r="893">
      <c r="A893" s="19"/>
    </row>
    <row r="894">
      <c r="A894" s="19"/>
    </row>
    <row r="895">
      <c r="A895" s="19"/>
    </row>
    <row r="896">
      <c r="A896" s="19"/>
    </row>
    <row r="897">
      <c r="A897" s="19"/>
    </row>
    <row r="898">
      <c r="A898" s="19"/>
    </row>
    <row r="899">
      <c r="A899" s="19"/>
    </row>
    <row r="900">
      <c r="A900" s="19"/>
    </row>
    <row r="901">
      <c r="A901" s="19"/>
    </row>
    <row r="902">
      <c r="A902" s="19"/>
    </row>
    <row r="903">
      <c r="A903" s="19"/>
    </row>
    <row r="904">
      <c r="A904" s="19"/>
    </row>
    <row r="905">
      <c r="A905" s="19"/>
    </row>
    <row r="906">
      <c r="A906" s="19"/>
    </row>
    <row r="907">
      <c r="A907" s="19"/>
    </row>
    <row r="908">
      <c r="A908" s="19"/>
    </row>
    <row r="909">
      <c r="A909" s="19"/>
    </row>
    <row r="910">
      <c r="A910" s="19"/>
    </row>
    <row r="911">
      <c r="A911" s="19"/>
    </row>
    <row r="912">
      <c r="A912" s="19"/>
    </row>
    <row r="913">
      <c r="A913" s="19"/>
    </row>
    <row r="914">
      <c r="A914" s="19"/>
    </row>
    <row r="915">
      <c r="A915" s="19"/>
    </row>
    <row r="916">
      <c r="A916" s="19"/>
    </row>
    <row r="917">
      <c r="A917" s="19"/>
    </row>
    <row r="918">
      <c r="A918" s="19"/>
    </row>
    <row r="919">
      <c r="A919" s="19"/>
    </row>
    <row r="920">
      <c r="A920" s="19"/>
    </row>
    <row r="921">
      <c r="A921" s="19"/>
    </row>
    <row r="922">
      <c r="A922" s="19"/>
    </row>
    <row r="923">
      <c r="A923" s="19"/>
    </row>
    <row r="924">
      <c r="A924" s="19"/>
    </row>
    <row r="925">
      <c r="A925" s="19"/>
    </row>
    <row r="926">
      <c r="A926" s="19"/>
    </row>
    <row r="927">
      <c r="A927" s="19"/>
    </row>
    <row r="928">
      <c r="A928" s="19"/>
    </row>
    <row r="929">
      <c r="A929" s="19"/>
    </row>
    <row r="930">
      <c r="A930" s="19"/>
    </row>
    <row r="931">
      <c r="A931" s="19"/>
    </row>
    <row r="932">
      <c r="A932" s="19"/>
    </row>
    <row r="933">
      <c r="A933" s="19"/>
    </row>
    <row r="934">
      <c r="A934" s="19"/>
    </row>
    <row r="935">
      <c r="A935" s="19"/>
    </row>
    <row r="936">
      <c r="A936" s="19"/>
    </row>
    <row r="937">
      <c r="A937" s="19"/>
    </row>
    <row r="938">
      <c r="A938" s="19"/>
    </row>
    <row r="939">
      <c r="A939" s="19"/>
    </row>
    <row r="940">
      <c r="A940" s="19"/>
    </row>
    <row r="941">
      <c r="A941" s="19"/>
    </row>
    <row r="942">
      <c r="A942" s="19"/>
    </row>
    <row r="943">
      <c r="A943" s="19"/>
    </row>
    <row r="944">
      <c r="A944" s="19"/>
    </row>
    <row r="945">
      <c r="A945" s="19"/>
    </row>
    <row r="946">
      <c r="A946" s="19"/>
    </row>
    <row r="947">
      <c r="A947" s="19"/>
    </row>
    <row r="948">
      <c r="A948" s="19"/>
    </row>
    <row r="949">
      <c r="A949" s="19"/>
    </row>
    <row r="950">
      <c r="A950" s="19"/>
    </row>
    <row r="951">
      <c r="A951" s="19"/>
    </row>
    <row r="952">
      <c r="A952" s="19"/>
    </row>
    <row r="953">
      <c r="A953" s="19"/>
    </row>
    <row r="954">
      <c r="A954" s="19"/>
    </row>
    <row r="955">
      <c r="A955" s="19"/>
    </row>
    <row r="956">
      <c r="A956" s="19"/>
    </row>
    <row r="957">
      <c r="A957" s="19"/>
    </row>
    <row r="958">
      <c r="A958" s="19"/>
    </row>
    <row r="959">
      <c r="A959" s="19"/>
    </row>
    <row r="960">
      <c r="A960" s="19"/>
    </row>
    <row r="961">
      <c r="A961" s="19"/>
    </row>
    <row r="962">
      <c r="A962" s="19"/>
    </row>
    <row r="963">
      <c r="A963" s="19"/>
    </row>
    <row r="964">
      <c r="A964" s="19"/>
    </row>
    <row r="965">
      <c r="A965" s="19"/>
    </row>
    <row r="966">
      <c r="A966" s="19"/>
    </row>
    <row r="967">
      <c r="A967" s="19"/>
    </row>
    <row r="968">
      <c r="A968" s="19"/>
    </row>
    <row r="969">
      <c r="A969" s="19"/>
    </row>
    <row r="970">
      <c r="A970" s="19"/>
    </row>
    <row r="971">
      <c r="A971" s="19"/>
    </row>
    <row r="972">
      <c r="A972" s="19"/>
    </row>
    <row r="973">
      <c r="A973" s="19"/>
    </row>
    <row r="974">
      <c r="A974" s="19"/>
    </row>
    <row r="975">
      <c r="A975" s="19"/>
    </row>
    <row r="976">
      <c r="A976" s="19"/>
    </row>
    <row r="977">
      <c r="A977" s="19"/>
    </row>
    <row r="978">
      <c r="A978" s="19"/>
    </row>
    <row r="979">
      <c r="A979" s="19"/>
    </row>
    <row r="980">
      <c r="A980" s="19"/>
    </row>
    <row r="981">
      <c r="A981" s="19"/>
    </row>
    <row r="982">
      <c r="A982" s="19"/>
    </row>
    <row r="983">
      <c r="A983" s="19"/>
    </row>
    <row r="984">
      <c r="A984" s="19"/>
    </row>
    <row r="985">
      <c r="A985" s="19"/>
    </row>
    <row r="986">
      <c r="A986" s="19"/>
    </row>
    <row r="987">
      <c r="A987" s="19"/>
    </row>
    <row r="988">
      <c r="A988" s="19"/>
    </row>
    <row r="989">
      <c r="A989" s="19"/>
    </row>
    <row r="990">
      <c r="A990" s="19"/>
    </row>
    <row r="991">
      <c r="A991" s="19"/>
    </row>
    <row r="992">
      <c r="A992" s="19"/>
    </row>
    <row r="993">
      <c r="A993" s="19"/>
    </row>
    <row r="994">
      <c r="A994" s="19"/>
    </row>
    <row r="995">
      <c r="A995" s="19"/>
    </row>
    <row r="996">
      <c r="A996" s="19"/>
    </row>
    <row r="997">
      <c r="A997" s="19"/>
    </row>
    <row r="998">
      <c r="A998" s="19"/>
    </row>
    <row r="999">
      <c r="A999" s="19"/>
    </row>
    <row r="1000">
      <c r="A1000" s="19"/>
    </row>
  </sheetData>
  <mergeCells count="1">
    <mergeCell ref="F3:I3"/>
  </mergeCells>
  <drawing r:id="rId1"/>
</worksheet>
</file>