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  <sheet state="visible" name="View_Print" sheetId="2" r:id="rId5"/>
    <sheet state="visible" name="Log" sheetId="3" r:id="rId6"/>
    <sheet state="visible" name="Update" sheetId="4" r:id="rId7"/>
    <sheet state="visible" name="Data" sheetId="5" r:id="rId8"/>
  </sheets>
  <definedNames>
    <definedName hidden="1" localSheetId="2" name="_xlnm._FilterDatabase">Log!$A$9:$O$98</definedName>
  </definedNames>
  <calcPr/>
</workbook>
</file>

<file path=xl/sharedStrings.xml><?xml version="1.0" encoding="utf-8"?>
<sst xmlns="http://schemas.openxmlformats.org/spreadsheetml/2006/main" count="82" uniqueCount="52">
  <si>
    <t>BILL TO 1:</t>
  </si>
  <si>
    <t>BILL TO 2:</t>
  </si>
  <si>
    <t>BILL TO 3:</t>
  </si>
  <si>
    <t>BILL TO 4:</t>
  </si>
  <si>
    <t>Log 11</t>
  </si>
  <si>
    <t>Update 3</t>
  </si>
  <si>
    <t>GEORGIA B. NORTHWAY</t>
  </si>
  <si>
    <t>BILL TO:</t>
  </si>
  <si>
    <t>Lawyer 3</t>
  </si>
  <si>
    <t>Firm</t>
  </si>
  <si>
    <t>Street</t>
  </si>
  <si>
    <t>Jane Doe</t>
  </si>
  <si>
    <t>City, State, Zip</t>
  </si>
  <si>
    <t>COOK, BARKETT, PONDER &amp; WOLZ, L.C.</t>
  </si>
  <si>
    <t>Phone</t>
  </si>
  <si>
    <t>1610 N. Kingshighway, Suite 201</t>
  </si>
  <si>
    <t>Cape Girardeau, MO 63701</t>
  </si>
  <si>
    <t>In Re:</t>
  </si>
  <si>
    <t>573.335.6651</t>
  </si>
  <si>
    <t>Case No.:</t>
  </si>
  <si>
    <t>Darren D. Drum v. RMC, LLC, d/b/a Ready-Mix Concrete and Derek Farmer</t>
  </si>
  <si>
    <t xml:space="preserve">Date of Job: </t>
  </si>
  <si>
    <t>21CG-CC00304</t>
  </si>
  <si>
    <t>Video-Recorded</t>
  </si>
  <si>
    <t>Zoom Deposition of:  Fred Semke, on behalf of the Plaintiffs.</t>
  </si>
  <si>
    <t>pgs. 1 Orig &amp; 1 cc @</t>
  </si>
  <si>
    <t xml:space="preserve">Attendance of Reporter . . . . . . . . . . . . . . . . . . . . . . . . . . . . .  </t>
  </si>
  <si>
    <t xml:space="preserve">(1:00 - 5:00, 5:00-6:46) </t>
  </si>
  <si>
    <t>TOTAL:</t>
  </si>
  <si>
    <t>Lawyer 4</t>
  </si>
  <si>
    <t>John Smith</t>
  </si>
  <si>
    <t>BAKER, STERCHI, COWDEN &amp; RICE, LLC</t>
  </si>
  <si>
    <t>100 N. Broadway, 21st Floor</t>
  </si>
  <si>
    <t>St. Louis, MO 63102</t>
  </si>
  <si>
    <t xml:space="preserve">In Re: </t>
  </si>
  <si>
    <t>314.345.5000</t>
  </si>
  <si>
    <t>Date of Job:</t>
  </si>
  <si>
    <t xml:space="preserve">Laptop Fee: </t>
  </si>
  <si>
    <t>GRAND TOTAL:</t>
  </si>
  <si>
    <t>Invoice No.</t>
  </si>
  <si>
    <t>Date Paid:</t>
  </si>
  <si>
    <t>PDF Link</t>
  </si>
  <si>
    <t>Mileage</t>
  </si>
  <si>
    <t>Expenses</t>
  </si>
  <si>
    <t>Invoice No.- Case No.:- Date of Job: - Mileage- In Re:- GRAND TOTAL:- BILL TO 1:- BILL TO 2:- BILL TO 3:- BILL TO 4:- Log 11- Expenses</t>
  </si>
  <si>
    <t>Invoice Log</t>
  </si>
  <si>
    <t>Date</t>
  </si>
  <si>
    <t>To View/Print over 10,000 more than your last 10 records try</t>
  </si>
  <si>
    <t>Check out our Template Sharing Page</t>
  </si>
  <si>
    <t>Total Mileage</t>
  </si>
  <si>
    <t>Total Billings</t>
  </si>
  <si>
    <t>Total Expenses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</si>
</sst>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d, yyyy"/>
    <numFmt numFmtId="165" formatCode="&quot;$&quot;#,##0.00"/>
    <numFmt numFmtId="166" formatCode="M/d/yyyy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00"/>
      <name val="Arial"/>
      <scheme val="minor"/>
    </font>
    <font>
      <sz val="12.0"/>
      <color rgb="FF000000"/>
      <name val="Arial"/>
      <scheme val="minor"/>
    </font>
    <font>
      <sz val="12.0"/>
      <color theme="1"/>
      <name val="Arial"/>
      <scheme val="minor"/>
    </font>
    <font>
      <sz val="10.0"/>
      <color rgb="FF1F1F1F"/>
      <name val="Arial"/>
      <scheme val="minor"/>
    </font>
    <font>
      <sz val="11.0"/>
      <color rgb="FF1F1F1F"/>
      <name val="Arial"/>
      <scheme val="minor"/>
    </font>
    <font>
      <u/>
      <sz val="12.0"/>
      <color rgb="FF000000"/>
      <name val="Arial"/>
      <scheme val="minor"/>
    </font>
    <font>
      <sz val="12.0"/>
      <color rgb="FF1F1F1F"/>
      <name val="Arial"/>
      <scheme val="minor"/>
    </font>
    <font>
      <sz val="10.0"/>
      <color theme="1"/>
      <name val="Arial"/>
      <scheme val="minor"/>
    </font>
    <font>
      <u/>
      <color rgb="FF0000FF"/>
    </font>
    <font>
      <b/>
      <sz val="14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Font="1"/>
    <xf borderId="1" fillId="0" fontId="1" numFmtId="0" xfId="0" applyBorder="1" applyFont="1"/>
    <xf borderId="1" fillId="0" fontId="1" numFmtId="164" xfId="0" applyBorder="1" applyFont="1" applyNumberFormat="1"/>
    <xf borderId="1" fillId="0" fontId="1" numFmtId="165" xfId="0" applyBorder="1" applyFont="1" applyNumberFormat="1"/>
    <xf borderId="0" fillId="3" fontId="2" numFmtId="0" xfId="0" applyAlignment="1" applyFill="1" applyFont="1">
      <alignment readingOrder="0"/>
    </xf>
    <xf borderId="2" fillId="3" fontId="1" numFmtId="0" xfId="0" applyBorder="1" applyFont="1"/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Font="1"/>
    <xf borderId="2" fillId="4" fontId="1" numFmtId="0" xfId="0" applyBorder="1" applyFill="1" applyFont="1"/>
    <xf borderId="3" fillId="4" fontId="1" numFmtId="0" xfId="0" applyBorder="1" applyFont="1"/>
    <xf borderId="0" fillId="3" fontId="2" numFmtId="0" xfId="0" applyFont="1"/>
    <xf borderId="0" fillId="4" fontId="1" numFmtId="0" xfId="0" applyFont="1"/>
    <xf borderId="4" fillId="4" fontId="1" numFmtId="0" xfId="0" applyBorder="1" applyFont="1"/>
    <xf borderId="0" fillId="3" fontId="3" numFmtId="0" xfId="0" applyFont="1"/>
    <xf borderId="0" fillId="3" fontId="5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borderId="0" fillId="3" fontId="0" numFmtId="0" xfId="0" applyFont="1"/>
    <xf borderId="0" fillId="3" fontId="3" numFmtId="165" xfId="0" applyAlignment="1" applyFont="1" applyNumberFormat="1">
      <alignment readingOrder="0"/>
    </xf>
    <xf borderId="0" fillId="3" fontId="7" numFmtId="0" xfId="0" applyAlignment="1" applyFont="1">
      <alignment readingOrder="0"/>
    </xf>
    <xf borderId="0" fillId="3" fontId="8" numFmtId="165" xfId="0" applyAlignment="1" applyFont="1" applyNumberFormat="1">
      <alignment readingOrder="0"/>
    </xf>
    <xf borderId="5" fillId="3" fontId="3" numFmtId="0" xfId="0" applyBorder="1" applyFont="1"/>
    <xf borderId="5" fillId="3" fontId="1" numFmtId="0" xfId="0" applyBorder="1" applyFont="1"/>
    <xf borderId="0" fillId="3" fontId="9" numFmtId="0" xfId="0" applyAlignment="1" applyFont="1">
      <alignment readingOrder="0"/>
    </xf>
    <xf borderId="0" fillId="3" fontId="3" numFmtId="0" xfId="0" applyAlignment="1" applyFont="1">
      <alignment horizontal="right" readingOrder="0"/>
    </xf>
    <xf borderId="0" fillId="3" fontId="4" numFmtId="165" xfId="0" applyAlignment="1" applyFont="1" applyNumberFormat="1">
      <alignment readingOrder="0"/>
    </xf>
    <xf borderId="0" fillId="3" fontId="3" numFmtId="0" xfId="0" applyAlignment="1" applyFont="1">
      <alignment horizontal="right"/>
    </xf>
    <xf borderId="0" fillId="3" fontId="2" numFmtId="0" xfId="0" applyAlignment="1" applyFont="1">
      <alignment horizontal="right" readingOrder="0"/>
    </xf>
    <xf borderId="0" fillId="3" fontId="1" numFmtId="165" xfId="0" applyAlignment="1" applyFont="1" applyNumberFormat="1">
      <alignment readingOrder="0"/>
    </xf>
    <xf borderId="0" fillId="4" fontId="1" numFmtId="0" xfId="0" applyAlignment="1" applyFont="1">
      <alignment readingOrder="0"/>
    </xf>
    <xf borderId="0" fillId="3" fontId="2" numFmtId="0" xfId="0" applyAlignment="1" applyFont="1">
      <alignment horizontal="right"/>
    </xf>
    <xf borderId="6" fillId="3" fontId="1" numFmtId="0" xfId="0" applyBorder="1" applyFont="1"/>
    <xf borderId="5" fillId="4" fontId="1" numFmtId="0" xfId="0" applyBorder="1" applyFont="1"/>
    <xf borderId="7" fillId="4" fontId="1" numFmtId="0" xfId="0" applyBorder="1" applyFont="1"/>
    <xf borderId="0" fillId="0" fontId="1" numFmtId="0" xfId="0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7" fillId="0" fontId="1" numFmtId="0" xfId="0" applyBorder="1" applyFont="1"/>
    <xf borderId="0" fillId="0" fontId="10" numFmtId="0" xfId="0" applyFont="1"/>
    <xf borderId="0" fillId="0" fontId="1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4" xfId="0" applyFont="1" applyNumberFormat="1"/>
    <xf borderId="0" fillId="0" fontId="1" numFmtId="166" xfId="0" applyFont="1" applyNumberFormat="1"/>
    <xf borderId="5" fillId="5" fontId="1" numFmtId="0" xfId="0" applyBorder="1" applyFill="1" applyFont="1"/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G45</f>
        <v>Invoice No.</v>
      </c>
      <c r="B1" s="1" t="str">
        <f>A14</f>
        <v>Case No.:</v>
      </c>
      <c r="C1" s="1" t="str">
        <f>A15</f>
        <v>Date of Job: </v>
      </c>
      <c r="D1" s="1" t="str">
        <f>G47</f>
        <v>Mileage</v>
      </c>
      <c r="E1" s="1" t="str">
        <f>A12</f>
        <v>In Re:</v>
      </c>
      <c r="F1" s="1" t="str">
        <f>J43</f>
        <v>GRAND TOTAL: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tr">
        <f>J47</f>
        <v>Expenses</v>
      </c>
      <c r="M1" s="1" t="str">
        <f>L45</f>
        <v>PDF Link</v>
      </c>
      <c r="N1" s="1" t="str">
        <f>J45</f>
        <v>Date Paid:</v>
      </c>
      <c r="O1" s="1" t="s">
        <v>5</v>
      </c>
      <c r="P1" s="2"/>
      <c r="Q1" s="2"/>
    </row>
    <row r="2">
      <c r="A2" s="3">
        <f>H45</f>
        <v>172999</v>
      </c>
      <c r="B2" s="3" t="str">
        <f>B14</f>
        <v>21CG-CC00304</v>
      </c>
      <c r="C2" s="4">
        <f>B15</f>
        <v>45575</v>
      </c>
      <c r="D2" s="3">
        <f>H47</f>
        <v>129</v>
      </c>
      <c r="E2" s="3" t="str">
        <f>B12</f>
        <v>Darren D. Drum v. RMC, LLC, d/b/a Ready-Mix Concrete and Derek Farmer</v>
      </c>
      <c r="F2" s="5">
        <f>K43</f>
        <v>824.2</v>
      </c>
      <c r="G2" s="3" t="str">
        <f>B7</f>
        <v>COOK, BARKETT, PONDER &amp; WOLZ, L.C.</v>
      </c>
      <c r="H2" s="3" t="str">
        <f>B27</f>
        <v>BAKER, STERCHI, COWDEN &amp; RICE, LLC</v>
      </c>
      <c r="I2" s="3" t="str">
        <f>H4</f>
        <v>Firm</v>
      </c>
      <c r="J2" s="3" t="str">
        <f>H24</f>
        <v>Firm</v>
      </c>
      <c r="K2" s="3"/>
      <c r="L2" s="3">
        <f>K47</f>
        <v>24.36</v>
      </c>
      <c r="M2" s="3"/>
      <c r="N2" s="3"/>
      <c r="O2" s="3"/>
      <c r="P2" s="2"/>
      <c r="Q2" s="2"/>
    </row>
    <row r="3">
      <c r="A3" s="6" t="s">
        <v>6</v>
      </c>
      <c r="C3" s="7"/>
      <c r="D3" s="7"/>
      <c r="E3" s="7"/>
      <c r="F3" s="7"/>
      <c r="G3" s="8" t="s">
        <v>7</v>
      </c>
      <c r="H3" s="9" t="s">
        <v>8</v>
      </c>
      <c r="K3" s="10"/>
      <c r="L3" s="10"/>
      <c r="M3" s="11"/>
      <c r="N3" s="11"/>
      <c r="O3" s="11"/>
      <c r="P3" s="11"/>
      <c r="Q3" s="12"/>
    </row>
    <row r="4">
      <c r="A4" s="13"/>
      <c r="B4" s="10"/>
      <c r="C4" s="10"/>
      <c r="D4" s="10"/>
      <c r="E4" s="10"/>
      <c r="F4" s="10"/>
      <c r="G4" s="8"/>
      <c r="H4" s="8" t="s">
        <v>9</v>
      </c>
      <c r="L4" s="10"/>
      <c r="M4" s="14"/>
      <c r="N4" s="14"/>
      <c r="O4" s="14"/>
      <c r="P4" s="14"/>
      <c r="Q4" s="15"/>
    </row>
    <row r="5">
      <c r="A5" s="13"/>
      <c r="B5" s="10"/>
      <c r="C5" s="10"/>
      <c r="D5" s="10"/>
      <c r="E5" s="10"/>
      <c r="F5" s="10"/>
      <c r="G5" s="8"/>
      <c r="H5" s="8" t="s">
        <v>10</v>
      </c>
      <c r="K5" s="10"/>
      <c r="L5" s="10"/>
      <c r="M5" s="14"/>
      <c r="N5" s="14"/>
      <c r="O5" s="14"/>
      <c r="P5" s="14"/>
      <c r="Q5" s="15"/>
    </row>
    <row r="6">
      <c r="A6" s="8" t="s">
        <v>7</v>
      </c>
      <c r="B6" s="9" t="s">
        <v>11</v>
      </c>
      <c r="E6" s="10"/>
      <c r="F6" s="10"/>
      <c r="G6" s="8"/>
      <c r="H6" s="8" t="s">
        <v>12</v>
      </c>
      <c r="K6" s="10"/>
      <c r="L6" s="10"/>
      <c r="M6" s="14"/>
      <c r="N6" s="14"/>
      <c r="O6" s="14"/>
      <c r="P6" s="14"/>
      <c r="Q6" s="15"/>
    </row>
    <row r="7">
      <c r="A7" s="8"/>
      <c r="B7" s="8" t="s">
        <v>13</v>
      </c>
      <c r="F7" s="10"/>
      <c r="G7" s="8"/>
      <c r="H7" s="8" t="s">
        <v>14</v>
      </c>
      <c r="K7" s="10"/>
      <c r="L7" s="10"/>
      <c r="M7" s="14"/>
      <c r="N7" s="14"/>
      <c r="O7" s="14"/>
      <c r="P7" s="14"/>
      <c r="Q7" s="15"/>
    </row>
    <row r="8">
      <c r="A8" s="8"/>
      <c r="B8" s="8" t="s">
        <v>15</v>
      </c>
      <c r="E8" s="10"/>
      <c r="F8" s="10"/>
      <c r="G8" s="16"/>
      <c r="H8" s="10"/>
      <c r="I8" s="10"/>
      <c r="J8" s="10"/>
      <c r="K8" s="10"/>
      <c r="L8" s="10"/>
      <c r="M8" s="14"/>
      <c r="N8" s="14"/>
      <c r="O8" s="14"/>
      <c r="P8" s="14"/>
      <c r="Q8" s="15"/>
    </row>
    <row r="9">
      <c r="A9" s="8"/>
      <c r="B9" s="8" t="s">
        <v>16</v>
      </c>
      <c r="E9" s="10"/>
      <c r="F9" s="10"/>
      <c r="G9" s="8" t="s">
        <v>17</v>
      </c>
      <c r="H9" s="17" t="str">
        <f>B12</f>
        <v>Darren D. Drum v. RMC, LLC, d/b/a Ready-Mix Concrete and Derek Farmer</v>
      </c>
      <c r="M9" s="14"/>
      <c r="N9" s="14"/>
      <c r="O9" s="14"/>
      <c r="P9" s="14"/>
      <c r="Q9" s="15"/>
    </row>
    <row r="10">
      <c r="A10" s="8"/>
      <c r="B10" s="8" t="s">
        <v>18</v>
      </c>
      <c r="E10" s="10"/>
      <c r="F10" s="10"/>
      <c r="G10" s="16"/>
      <c r="H10" s="10"/>
      <c r="I10" s="10"/>
      <c r="J10" s="10"/>
      <c r="K10" s="10"/>
      <c r="L10" s="10"/>
      <c r="M10" s="14"/>
      <c r="N10" s="14"/>
      <c r="O10" s="14"/>
      <c r="P10" s="14"/>
      <c r="Q10" s="15"/>
    </row>
    <row r="11">
      <c r="A11" s="16"/>
      <c r="B11" s="10"/>
      <c r="C11" s="10"/>
      <c r="D11" s="10"/>
      <c r="E11" s="10"/>
      <c r="F11" s="10"/>
      <c r="G11" s="8" t="s">
        <v>19</v>
      </c>
      <c r="H11" s="18" t="str">
        <f t="shared" ref="H11:H12" si="1">B14</f>
        <v>21CG-CC00304</v>
      </c>
      <c r="K11" s="10"/>
      <c r="L11" s="10"/>
      <c r="M11" s="14"/>
      <c r="N11" s="14"/>
      <c r="O11" s="14"/>
      <c r="P11" s="14"/>
      <c r="Q11" s="15"/>
    </row>
    <row r="12">
      <c r="A12" s="8" t="s">
        <v>17</v>
      </c>
      <c r="B12" s="19" t="s">
        <v>20</v>
      </c>
      <c r="G12" s="8" t="s">
        <v>21</v>
      </c>
      <c r="H12" s="20">
        <f t="shared" si="1"/>
        <v>45575</v>
      </c>
      <c r="K12" s="10"/>
      <c r="L12" s="10"/>
      <c r="M12" s="14"/>
      <c r="N12" s="14"/>
      <c r="O12" s="14"/>
      <c r="P12" s="14"/>
      <c r="Q12" s="15"/>
    </row>
    <row r="13">
      <c r="A13" s="16"/>
      <c r="B13" s="10"/>
      <c r="C13" s="10"/>
      <c r="D13" s="10"/>
      <c r="E13" s="10"/>
      <c r="F13" s="10"/>
      <c r="G13" s="16"/>
      <c r="H13" s="10"/>
      <c r="I13" s="10"/>
      <c r="J13" s="10"/>
      <c r="K13" s="10"/>
      <c r="L13" s="10"/>
      <c r="M13" s="14"/>
      <c r="N13" s="14"/>
      <c r="O13" s="14"/>
      <c r="P13" s="14"/>
      <c r="Q13" s="15"/>
    </row>
    <row r="14">
      <c r="A14" s="8" t="s">
        <v>19</v>
      </c>
      <c r="B14" s="18" t="s">
        <v>22</v>
      </c>
      <c r="E14" s="10"/>
      <c r="F14" s="10"/>
      <c r="G14" s="6" t="s">
        <v>23</v>
      </c>
      <c r="I14" s="10"/>
      <c r="J14" s="10"/>
      <c r="K14" s="10"/>
      <c r="L14" s="10"/>
      <c r="M14" s="14"/>
      <c r="N14" s="14"/>
      <c r="O14" s="14"/>
      <c r="P14" s="14"/>
      <c r="Q14" s="15"/>
    </row>
    <row r="15">
      <c r="A15" s="8" t="s">
        <v>21</v>
      </c>
      <c r="B15" s="20">
        <v>45575.0</v>
      </c>
      <c r="E15" s="10"/>
      <c r="F15" s="10"/>
      <c r="G15" s="8" t="s">
        <v>24</v>
      </c>
      <c r="L15" s="10"/>
      <c r="M15" s="14"/>
      <c r="N15" s="14"/>
      <c r="O15" s="14"/>
      <c r="P15" s="14"/>
      <c r="Q15" s="15"/>
    </row>
    <row r="16">
      <c r="A16" s="16"/>
      <c r="B16" s="10"/>
      <c r="C16" s="10"/>
      <c r="D16" s="10"/>
      <c r="E16" s="10"/>
      <c r="F16" s="10"/>
      <c r="G16" s="21"/>
      <c r="H16" s="10"/>
      <c r="I16" s="10"/>
      <c r="J16" s="10"/>
      <c r="K16" s="10"/>
      <c r="L16" s="10"/>
      <c r="M16" s="14"/>
      <c r="N16" s="14"/>
      <c r="O16" s="14"/>
      <c r="P16" s="14"/>
      <c r="Q16" s="15"/>
    </row>
    <row r="17">
      <c r="A17" s="6" t="s">
        <v>23</v>
      </c>
      <c r="C17" s="10"/>
      <c r="D17" s="10"/>
      <c r="E17" s="10"/>
      <c r="F17" s="10"/>
      <c r="G17" s="8"/>
      <c r="H17" s="8" t="s">
        <v>25</v>
      </c>
      <c r="J17" s="22">
        <v>3.9</v>
      </c>
      <c r="K17" s="22">
        <f>SUM(G17*J17)</f>
        <v>0</v>
      </c>
      <c r="L17" s="10"/>
      <c r="M17" s="14"/>
      <c r="N17" s="14"/>
      <c r="O17" s="14"/>
      <c r="P17" s="14"/>
      <c r="Q17" s="15"/>
    </row>
    <row r="18">
      <c r="A18" s="8" t="s">
        <v>24</v>
      </c>
      <c r="F18" s="10"/>
      <c r="G18" s="23" t="s">
        <v>26</v>
      </c>
      <c r="K18" s="24"/>
      <c r="L18" s="10"/>
      <c r="M18" s="14"/>
      <c r="N18" s="14"/>
      <c r="O18" s="14"/>
      <c r="P18" s="14"/>
      <c r="Q18" s="15"/>
    </row>
    <row r="19">
      <c r="A19" s="16"/>
      <c r="B19" s="10"/>
      <c r="C19" s="10"/>
      <c r="D19" s="10"/>
      <c r="E19" s="10"/>
      <c r="F19" s="10"/>
      <c r="G19" s="8" t="s">
        <v>27</v>
      </c>
      <c r="J19" s="8" t="s">
        <v>28</v>
      </c>
      <c r="K19" s="22">
        <f>SUM(K17:K18)</f>
        <v>0</v>
      </c>
      <c r="L19" s="10"/>
      <c r="M19" s="14"/>
      <c r="N19" s="14"/>
      <c r="O19" s="14"/>
      <c r="P19" s="14"/>
      <c r="Q19" s="15"/>
    </row>
    <row r="20">
      <c r="A20" s="8">
        <v>120.0</v>
      </c>
      <c r="B20" s="8" t="s">
        <v>25</v>
      </c>
      <c r="D20" s="22">
        <v>1.89</v>
      </c>
      <c r="E20" s="22">
        <f>SUM(A20*D20)</f>
        <v>226.8</v>
      </c>
      <c r="F20" s="10"/>
      <c r="G20" s="16"/>
      <c r="H20" s="10"/>
      <c r="I20" s="10"/>
      <c r="J20" s="10"/>
      <c r="K20" s="10"/>
      <c r="L20" s="10"/>
      <c r="M20" s="14"/>
      <c r="N20" s="14"/>
      <c r="O20" s="14"/>
      <c r="P20" s="14"/>
      <c r="Q20" s="15"/>
    </row>
    <row r="21">
      <c r="A21" s="23" t="s">
        <v>26</v>
      </c>
      <c r="E21" s="24">
        <v>245.0</v>
      </c>
      <c r="F21" s="10"/>
      <c r="G21" s="25"/>
      <c r="H21" s="26"/>
      <c r="I21" s="26"/>
      <c r="J21" s="26"/>
      <c r="K21" s="26"/>
      <c r="L21" s="10"/>
      <c r="M21" s="14"/>
      <c r="N21" s="14"/>
      <c r="O21" s="14"/>
      <c r="P21" s="14"/>
      <c r="Q21" s="15"/>
    </row>
    <row r="22">
      <c r="A22" s="8" t="s">
        <v>27</v>
      </c>
      <c r="D22" s="8" t="s">
        <v>28</v>
      </c>
      <c r="E22" s="22">
        <f>Sum(E20+E21)</f>
        <v>471.8</v>
      </c>
      <c r="F22" s="10"/>
      <c r="G22" s="16"/>
      <c r="H22" s="10"/>
      <c r="I22" s="10"/>
      <c r="J22" s="10"/>
      <c r="K22" s="10"/>
      <c r="L22" s="10"/>
      <c r="M22" s="14"/>
      <c r="N22" s="14"/>
      <c r="O22" s="14"/>
      <c r="P22" s="14"/>
      <c r="Q22" s="15"/>
    </row>
    <row r="23">
      <c r="A23" s="16"/>
      <c r="B23" s="10"/>
      <c r="C23" s="10"/>
      <c r="D23" s="10"/>
      <c r="E23" s="10"/>
      <c r="F23" s="10"/>
      <c r="G23" s="8" t="s">
        <v>7</v>
      </c>
      <c r="H23" s="9" t="s">
        <v>29</v>
      </c>
      <c r="L23" s="10"/>
      <c r="M23" s="14"/>
      <c r="N23" s="14"/>
      <c r="O23" s="14"/>
      <c r="P23" s="14"/>
      <c r="Q23" s="15"/>
    </row>
    <row r="24">
      <c r="A24" s="25"/>
      <c r="B24" s="26"/>
      <c r="C24" s="26"/>
      <c r="D24" s="26"/>
      <c r="E24" s="26"/>
      <c r="F24" s="10"/>
      <c r="G24" s="8"/>
      <c r="H24" s="8" t="s">
        <v>9</v>
      </c>
      <c r="K24" s="8"/>
      <c r="L24" s="10"/>
      <c r="M24" s="14"/>
      <c r="N24" s="14"/>
      <c r="O24" s="14"/>
      <c r="P24" s="14"/>
      <c r="Q24" s="15"/>
    </row>
    <row r="25">
      <c r="A25" s="16"/>
      <c r="B25" s="10"/>
      <c r="C25" s="10"/>
      <c r="D25" s="10"/>
      <c r="E25" s="10"/>
      <c r="F25" s="10"/>
      <c r="G25" s="8"/>
      <c r="H25" s="8" t="s">
        <v>10</v>
      </c>
      <c r="K25" s="8"/>
      <c r="L25" s="10"/>
      <c r="M25" s="14"/>
      <c r="N25" s="14"/>
      <c r="O25" s="14"/>
      <c r="P25" s="14"/>
      <c r="Q25" s="15"/>
    </row>
    <row r="26">
      <c r="A26" s="8" t="s">
        <v>7</v>
      </c>
      <c r="B26" s="9" t="s">
        <v>30</v>
      </c>
      <c r="F26" s="10"/>
      <c r="G26" s="8"/>
      <c r="H26" s="8" t="s">
        <v>12</v>
      </c>
      <c r="K26" s="8"/>
      <c r="L26" s="10"/>
      <c r="M26" s="14"/>
      <c r="N26" s="14"/>
      <c r="O26" s="14"/>
      <c r="P26" s="14"/>
      <c r="Q26" s="15"/>
    </row>
    <row r="27">
      <c r="A27" s="8"/>
      <c r="B27" s="8" t="s">
        <v>31</v>
      </c>
      <c r="F27" s="10"/>
      <c r="G27" s="8"/>
      <c r="H27" s="8" t="s">
        <v>14</v>
      </c>
      <c r="K27" s="8"/>
      <c r="L27" s="10"/>
      <c r="M27" s="14"/>
      <c r="N27" s="14"/>
      <c r="O27" s="14"/>
      <c r="P27" s="14"/>
      <c r="Q27" s="15"/>
    </row>
    <row r="28">
      <c r="A28" s="8"/>
      <c r="B28" s="8" t="s">
        <v>32</v>
      </c>
      <c r="F28" s="10"/>
      <c r="G28" s="16"/>
      <c r="H28" s="10"/>
      <c r="I28" s="10"/>
      <c r="J28" s="10"/>
      <c r="K28" s="10"/>
      <c r="L28" s="10"/>
      <c r="M28" s="14"/>
      <c r="N28" s="14"/>
      <c r="O28" s="14"/>
      <c r="P28" s="14"/>
      <c r="Q28" s="15"/>
    </row>
    <row r="29">
      <c r="A29" s="8"/>
      <c r="B29" s="8" t="s">
        <v>33</v>
      </c>
      <c r="F29" s="10"/>
      <c r="G29" s="8" t="s">
        <v>34</v>
      </c>
      <c r="H29" s="27" t="str">
        <f>B12</f>
        <v>Darren D. Drum v. RMC, LLC, d/b/a Ready-Mix Concrete and Derek Farmer</v>
      </c>
      <c r="M29" s="14"/>
      <c r="N29" s="14"/>
      <c r="O29" s="14"/>
      <c r="P29" s="14"/>
      <c r="Q29" s="15"/>
    </row>
    <row r="30">
      <c r="A30" s="8"/>
      <c r="B30" s="8" t="s">
        <v>35</v>
      </c>
      <c r="F30" s="10"/>
      <c r="G30" s="16"/>
      <c r="H30" s="10"/>
      <c r="I30" s="10"/>
      <c r="J30" s="10"/>
      <c r="K30" s="10"/>
      <c r="L30" s="10"/>
      <c r="M30" s="14"/>
      <c r="N30" s="14"/>
      <c r="O30" s="14"/>
      <c r="P30" s="14"/>
      <c r="Q30" s="15"/>
    </row>
    <row r="31">
      <c r="A31" s="16"/>
      <c r="B31" s="10"/>
      <c r="C31" s="10"/>
      <c r="D31" s="10"/>
      <c r="E31" s="10"/>
      <c r="F31" s="10"/>
      <c r="G31" s="8" t="s">
        <v>19</v>
      </c>
      <c r="H31" s="18" t="str">
        <f t="shared" ref="H31:H32" si="2">B14</f>
        <v>21CG-CC00304</v>
      </c>
      <c r="J31" s="10"/>
      <c r="K31" s="10"/>
      <c r="L31" s="10"/>
      <c r="M31" s="14"/>
      <c r="N31" s="14"/>
      <c r="O31" s="14"/>
      <c r="P31" s="14"/>
      <c r="Q31" s="15"/>
    </row>
    <row r="32">
      <c r="A32" s="8" t="s">
        <v>34</v>
      </c>
      <c r="B32" s="18" t="str">
        <f>B12</f>
        <v>Darren D. Drum v. RMC, LLC, d/b/a Ready-Mix Concrete and Derek Farmer</v>
      </c>
      <c r="G32" s="8" t="s">
        <v>36</v>
      </c>
      <c r="H32" s="20">
        <f t="shared" si="2"/>
        <v>45575</v>
      </c>
      <c r="J32" s="10"/>
      <c r="K32" s="10"/>
      <c r="L32" s="10"/>
      <c r="M32" s="14"/>
      <c r="N32" s="14"/>
      <c r="O32" s="14"/>
      <c r="P32" s="14"/>
      <c r="Q32" s="15"/>
    </row>
    <row r="33">
      <c r="A33" s="16"/>
      <c r="B33" s="10"/>
      <c r="C33" s="10"/>
      <c r="D33" s="10"/>
      <c r="E33" s="10"/>
      <c r="F33" s="10"/>
      <c r="G33" s="16"/>
      <c r="H33" s="10"/>
      <c r="I33" s="10"/>
      <c r="J33" s="10"/>
      <c r="K33" s="10"/>
      <c r="L33" s="10"/>
      <c r="M33" s="14"/>
      <c r="N33" s="14"/>
      <c r="O33" s="14"/>
      <c r="P33" s="14"/>
      <c r="Q33" s="15"/>
    </row>
    <row r="34">
      <c r="A34" s="8" t="s">
        <v>19</v>
      </c>
      <c r="B34" s="18" t="s">
        <v>22</v>
      </c>
      <c r="D34" s="10"/>
      <c r="E34" s="10"/>
      <c r="F34" s="10"/>
      <c r="G34" s="6" t="s">
        <v>23</v>
      </c>
      <c r="I34" s="10"/>
      <c r="J34" s="10"/>
      <c r="K34" s="10"/>
      <c r="L34" s="10"/>
      <c r="M34" s="14"/>
      <c r="N34" s="14"/>
      <c r="O34" s="14"/>
      <c r="P34" s="14"/>
      <c r="Q34" s="15"/>
    </row>
    <row r="35">
      <c r="A35" s="8" t="s">
        <v>36</v>
      </c>
      <c r="B35" s="20">
        <f>B15</f>
        <v>45575</v>
      </c>
      <c r="D35" s="10"/>
      <c r="E35" s="10"/>
      <c r="F35" s="10"/>
      <c r="G35" s="8" t="s">
        <v>24</v>
      </c>
      <c r="M35" s="14"/>
      <c r="N35" s="14"/>
      <c r="O35" s="14"/>
      <c r="P35" s="14"/>
      <c r="Q35" s="15"/>
    </row>
    <row r="36">
      <c r="A36" s="16"/>
      <c r="B36" s="10"/>
      <c r="C36" s="10"/>
      <c r="D36" s="10"/>
      <c r="E36" s="10"/>
      <c r="F36" s="10"/>
      <c r="G36" s="16"/>
      <c r="H36" s="10"/>
      <c r="I36" s="10"/>
      <c r="J36" s="10"/>
      <c r="K36" s="10"/>
      <c r="L36" s="10"/>
      <c r="M36" s="14"/>
      <c r="N36" s="14"/>
      <c r="O36" s="14"/>
      <c r="P36" s="14"/>
      <c r="Q36" s="15"/>
    </row>
    <row r="37">
      <c r="A37" s="6" t="s">
        <v>23</v>
      </c>
      <c r="C37" s="10"/>
      <c r="D37" s="10"/>
      <c r="E37" s="10"/>
      <c r="F37" s="10"/>
      <c r="G37" s="8"/>
      <c r="H37" s="8" t="s">
        <v>25</v>
      </c>
      <c r="J37" s="22">
        <v>1.89</v>
      </c>
      <c r="K37" s="22">
        <f>SUM(G37*J37)</f>
        <v>0</v>
      </c>
      <c r="L37" s="10"/>
      <c r="M37" s="14"/>
      <c r="N37" s="14"/>
      <c r="O37" s="14"/>
      <c r="P37" s="14"/>
      <c r="Q37" s="15"/>
    </row>
    <row r="38">
      <c r="A38" s="8" t="s">
        <v>24</v>
      </c>
      <c r="G38" s="22"/>
      <c r="H38" s="10"/>
      <c r="I38" s="10"/>
      <c r="J38" s="10"/>
      <c r="K38" s="10"/>
      <c r="L38" s="10"/>
      <c r="M38" s="14"/>
      <c r="N38" s="14"/>
      <c r="O38" s="14"/>
      <c r="P38" s="14"/>
      <c r="Q38" s="15"/>
    </row>
    <row r="39">
      <c r="A39" s="16"/>
      <c r="B39" s="10"/>
      <c r="C39" s="10"/>
      <c r="D39" s="10"/>
      <c r="E39" s="10"/>
      <c r="F39" s="10"/>
      <c r="G39" s="16"/>
      <c r="H39" s="10"/>
      <c r="I39" s="10"/>
      <c r="J39" s="10"/>
      <c r="K39" s="10"/>
      <c r="L39" s="10"/>
      <c r="M39" s="14"/>
      <c r="N39" s="14"/>
      <c r="O39" s="14"/>
      <c r="P39" s="14"/>
      <c r="Q39" s="15"/>
    </row>
    <row r="40">
      <c r="A40" s="8">
        <v>160.0</v>
      </c>
      <c r="B40" s="8" t="s">
        <v>25</v>
      </c>
      <c r="D40" s="22">
        <v>1.89</v>
      </c>
      <c r="E40" s="22">
        <f>SUM(A40*D40)</f>
        <v>302.4</v>
      </c>
      <c r="F40" s="10"/>
      <c r="G40" s="28"/>
      <c r="H40" s="10"/>
      <c r="I40" s="10"/>
      <c r="J40" s="28" t="s">
        <v>37</v>
      </c>
      <c r="K40" s="29"/>
      <c r="L40" s="10"/>
      <c r="M40" s="14"/>
      <c r="N40" s="14"/>
      <c r="O40" s="14"/>
      <c r="P40" s="14"/>
      <c r="Q40" s="15"/>
    </row>
    <row r="41">
      <c r="A41" s="22"/>
      <c r="B41" s="10"/>
      <c r="C41" s="10"/>
      <c r="D41" s="10"/>
      <c r="E41" s="10"/>
      <c r="F41" s="10"/>
      <c r="G41" s="30"/>
      <c r="H41" s="10"/>
      <c r="I41" s="10"/>
      <c r="J41" s="10"/>
      <c r="K41" s="10"/>
      <c r="L41" s="10"/>
      <c r="M41" s="14"/>
      <c r="N41" s="14"/>
      <c r="O41" s="14"/>
      <c r="P41" s="14"/>
      <c r="Q41" s="15"/>
    </row>
    <row r="42">
      <c r="A42" s="16"/>
      <c r="B42" s="10"/>
      <c r="C42" s="10"/>
      <c r="D42" s="10"/>
      <c r="E42" s="10"/>
      <c r="F42" s="10"/>
      <c r="G42" s="30"/>
      <c r="H42" s="10"/>
      <c r="I42" s="10"/>
      <c r="J42" s="10"/>
      <c r="K42" s="10"/>
      <c r="L42" s="10"/>
      <c r="M42" s="14"/>
      <c r="N42" s="14"/>
      <c r="O42" s="14"/>
      <c r="P42" s="14"/>
      <c r="Q42" s="15"/>
    </row>
    <row r="43">
      <c r="A43" s="28"/>
      <c r="B43" s="10"/>
      <c r="C43" s="10"/>
      <c r="D43" s="28" t="s">
        <v>37</v>
      </c>
      <c r="E43" s="29">
        <v>50.0</v>
      </c>
      <c r="F43" s="10"/>
      <c r="G43" s="31"/>
      <c r="H43" s="10"/>
      <c r="I43" s="10"/>
      <c r="J43" s="18" t="s">
        <v>38</v>
      </c>
      <c r="K43" s="32">
        <f>Sum(K40+K37+K18+K17+E46)</f>
        <v>824.2</v>
      </c>
      <c r="L43" s="10"/>
      <c r="M43" s="14"/>
      <c r="N43" s="14"/>
      <c r="O43" s="14"/>
      <c r="P43" s="14"/>
      <c r="Q43" s="15"/>
    </row>
    <row r="44">
      <c r="A44" s="30"/>
      <c r="B44" s="10"/>
      <c r="C44" s="10"/>
      <c r="D44" s="10"/>
      <c r="E44" s="10"/>
      <c r="F44" s="10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5"/>
    </row>
    <row r="45">
      <c r="A45" s="30"/>
      <c r="B45" s="10"/>
      <c r="C45" s="10"/>
      <c r="D45" s="10"/>
      <c r="E45" s="10"/>
      <c r="F45" s="10"/>
      <c r="G45" s="33" t="s">
        <v>39</v>
      </c>
      <c r="H45" s="18">
        <v>172999.0</v>
      </c>
      <c r="I45" s="14"/>
      <c r="J45" s="33" t="s">
        <v>40</v>
      </c>
      <c r="K45" s="14"/>
      <c r="L45" s="33" t="s">
        <v>41</v>
      </c>
      <c r="M45" s="14"/>
      <c r="N45" s="14"/>
      <c r="O45" s="14"/>
      <c r="P45" s="14"/>
      <c r="Q45" s="15"/>
    </row>
    <row r="46">
      <c r="A46" s="31"/>
      <c r="B46" s="10"/>
      <c r="C46" s="10"/>
      <c r="D46" s="18" t="s">
        <v>38</v>
      </c>
      <c r="E46" s="32">
        <f>Sum(E43+E40+E21+E20)</f>
        <v>824.2</v>
      </c>
      <c r="F46" s="10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5"/>
    </row>
    <row r="47">
      <c r="A47" s="34"/>
      <c r="B47" s="10"/>
      <c r="C47" s="10"/>
      <c r="D47" s="10"/>
      <c r="E47" s="10"/>
      <c r="F47" s="10"/>
      <c r="G47" s="33" t="s">
        <v>42</v>
      </c>
      <c r="H47" s="18">
        <v>129.0</v>
      </c>
      <c r="I47" s="14"/>
      <c r="J47" s="33" t="s">
        <v>43</v>
      </c>
      <c r="K47" s="18">
        <v>24.36</v>
      </c>
      <c r="L47" s="14"/>
      <c r="M47" s="14"/>
      <c r="N47" s="14"/>
      <c r="O47" s="14"/>
      <c r="P47" s="14"/>
      <c r="Q47" s="15"/>
    </row>
    <row r="48">
      <c r="A48" s="35"/>
      <c r="B48" s="26"/>
      <c r="C48" s="26"/>
      <c r="D48" s="26"/>
      <c r="E48" s="26"/>
      <c r="F48" s="2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7"/>
    </row>
  </sheetData>
  <mergeCells count="49">
    <mergeCell ref="A3:B3"/>
    <mergeCell ref="H3:J3"/>
    <mergeCell ref="H4:K4"/>
    <mergeCell ref="H5:J5"/>
    <mergeCell ref="B6:D6"/>
    <mergeCell ref="H6:J6"/>
    <mergeCell ref="H7:J7"/>
    <mergeCell ref="B7:E7"/>
    <mergeCell ref="B8:D8"/>
    <mergeCell ref="B9:D9"/>
    <mergeCell ref="H9:L9"/>
    <mergeCell ref="B10:D10"/>
    <mergeCell ref="H11:J11"/>
    <mergeCell ref="H12:J12"/>
    <mergeCell ref="B12:F12"/>
    <mergeCell ref="B14:D14"/>
    <mergeCell ref="G14:H14"/>
    <mergeCell ref="B15:D15"/>
    <mergeCell ref="G15:K15"/>
    <mergeCell ref="A17:B17"/>
    <mergeCell ref="H17:I17"/>
    <mergeCell ref="A18:E18"/>
    <mergeCell ref="G18:J18"/>
    <mergeCell ref="G19:I19"/>
    <mergeCell ref="B20:C20"/>
    <mergeCell ref="A21:D21"/>
    <mergeCell ref="A22:C22"/>
    <mergeCell ref="H23:K23"/>
    <mergeCell ref="H24:J24"/>
    <mergeCell ref="H25:J25"/>
    <mergeCell ref="B26:E26"/>
    <mergeCell ref="H26:J26"/>
    <mergeCell ref="B27:E27"/>
    <mergeCell ref="H27:J27"/>
    <mergeCell ref="B28:E28"/>
    <mergeCell ref="B34:C34"/>
    <mergeCell ref="B35:C35"/>
    <mergeCell ref="A37:B37"/>
    <mergeCell ref="A38:F38"/>
    <mergeCell ref="B40:C40"/>
    <mergeCell ref="G34:H34"/>
    <mergeCell ref="H37:I37"/>
    <mergeCell ref="B29:E29"/>
    <mergeCell ref="H29:L29"/>
    <mergeCell ref="B30:E30"/>
    <mergeCell ref="H31:I31"/>
    <mergeCell ref="B32:F32"/>
    <mergeCell ref="H32:I32"/>
    <mergeCell ref="G35:L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2" t="str">
        <f>View_Print!B2</f>
        <v>Invoice No.- Case No.:- Date of Job: - Mileage- In Re:- GRAND TOTAL:- BILL TO 1:- BILL TO 2:- BILL TO 3:- BILL TO 4:- Log 11- Expenses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 t="str">
        <f>Input!M1</f>
        <v>PDF Link</v>
      </c>
      <c r="N1" s="2" t="str">
        <f>Input!N1</f>
        <v>Date Paid:</v>
      </c>
      <c r="O1" s="2" t="str">
        <f>Input!O1</f>
        <v>Update 3</v>
      </c>
      <c r="P1" s="2"/>
      <c r="Q1" s="2"/>
    </row>
    <row r="2">
      <c r="A2" s="2"/>
      <c r="B2" s="33" t="s">
        <v>44</v>
      </c>
      <c r="M2" s="38" t="str">
        <f>VLOOKUP(A1,Update!$A$1:$P$9,2,FALSE)</f>
        <v>#N/A</v>
      </c>
      <c r="N2" s="38" t="str">
        <f>VLOOKUP(A1,Update!$A$1:$P$9,3,FALSE)</f>
        <v>#N/A</v>
      </c>
      <c r="O2" s="38" t="str">
        <f>VLOOKUP(A1,Update!$A$1:$P$9,4,FALSE)</f>
        <v>#N/A</v>
      </c>
      <c r="P2" s="2"/>
      <c r="Q2" s="2"/>
    </row>
    <row r="3">
      <c r="A3" s="6"/>
      <c r="C3" s="7"/>
      <c r="D3" s="7"/>
      <c r="E3" s="7"/>
      <c r="F3" s="7"/>
      <c r="G3" s="8"/>
      <c r="H3" s="9"/>
      <c r="K3" s="10"/>
      <c r="L3" s="10"/>
      <c r="M3" s="39" t="str">
        <f>VLOOKUP(A1,Data!$A$1:$AFS$9,48,FALSE)</f>
        <v/>
      </c>
      <c r="N3" s="39" t="str">
        <f>VLOOKUP(A1,Data!$A$1:$AFS$9,49,FALSE)</f>
        <v/>
      </c>
      <c r="O3" s="39" t="str">
        <f>VLOOKUP(A1,Data!$A$1:$AFS$9,50,FALSE)</f>
        <v/>
      </c>
      <c r="P3" s="39" t="str">
        <f>VLOOKUP(A1,Data!$A$1:$AFS$9,51,FALSE)</f>
        <v/>
      </c>
      <c r="Q3" s="40" t="str">
        <f>VLOOKUP(A1,Data!$A$1:$AFS$9,52,FALSE)</f>
        <v/>
      </c>
    </row>
    <row r="4">
      <c r="A4" s="13"/>
      <c r="B4" s="10"/>
      <c r="C4" s="10"/>
      <c r="D4" s="10"/>
      <c r="E4" s="10"/>
      <c r="F4" s="10"/>
      <c r="G4" s="8"/>
      <c r="H4" s="8"/>
      <c r="L4" s="10"/>
      <c r="M4" s="38" t="str">
        <f>VLOOKUP(A1,Data!$A$1:$AFS$9,65,FALSE)</f>
        <v/>
      </c>
      <c r="N4" s="38" t="str">
        <f>VLOOKUP(A1,Data!$A$1:$AFS$9,66,FALSE)</f>
        <v/>
      </c>
      <c r="O4" s="38" t="str">
        <f>VLOOKUP(A1,Data!$A$1:$AFS$9,67,FALSE)</f>
        <v/>
      </c>
      <c r="P4" s="38" t="str">
        <f>VLOOKUP(A1,Data!$A$1:$AFS$9,68,FALSE)</f>
        <v/>
      </c>
      <c r="Q4" s="41" t="str">
        <f>VLOOKUP(A1,Data!$A$1:$AFS$9,69,FALSE)</f>
        <v/>
      </c>
    </row>
    <row r="5">
      <c r="A5" s="13"/>
      <c r="B5" s="10"/>
      <c r="C5" s="10"/>
      <c r="D5" s="10"/>
      <c r="E5" s="10"/>
      <c r="F5" s="10"/>
      <c r="G5" s="8"/>
      <c r="H5" s="8"/>
      <c r="K5" s="10"/>
      <c r="L5" s="10"/>
      <c r="M5" s="38" t="str">
        <f>VLOOKUP(A1,Data!$A$1:$AFS$9,82,FALSE)</f>
        <v/>
      </c>
      <c r="N5" s="38" t="str">
        <f>VLOOKUP(A1,Data!$A$1:$AFS$9,83,FALSE)</f>
        <v/>
      </c>
      <c r="O5" s="38" t="str">
        <f>VLOOKUP(A1,Data!$A$1:$AFS$9,84,FALSE)</f>
        <v/>
      </c>
      <c r="P5" s="38" t="str">
        <f>VLOOKUP(A1,Data!$A$1:$AFS$9,85,FALSE)</f>
        <v/>
      </c>
      <c r="Q5" s="41" t="str">
        <f>VLOOKUP(A1,Data!$A$1:$AFS$9,86,FALSE)</f>
        <v/>
      </c>
    </row>
    <row r="6">
      <c r="A6" s="8"/>
      <c r="B6" s="9"/>
      <c r="E6" s="10"/>
      <c r="F6" s="10"/>
      <c r="G6" s="8"/>
      <c r="H6" s="8"/>
      <c r="K6" s="10"/>
      <c r="L6" s="10"/>
      <c r="M6" s="38" t="str">
        <f>VLOOKUP(A1,Data!$A$1:$AFS$9,99,FALSE)</f>
        <v/>
      </c>
      <c r="N6" s="38" t="str">
        <f>VLOOKUP(A1,Data!$A$1:$AFS$9,100,FALSE)</f>
        <v/>
      </c>
      <c r="O6" s="38" t="str">
        <f>VLOOKUP(A1,Data!$A$1:$AFS$9,101,FALSE)</f>
        <v/>
      </c>
      <c r="P6" s="38" t="str">
        <f>VLOOKUP(A1,Data!$A$1:$AFS$9,102,FALSE)</f>
        <v/>
      </c>
      <c r="Q6" s="41" t="str">
        <f>VLOOKUP(A1,Data!$A$1:$AFS$9,103,FALSE)</f>
        <v/>
      </c>
    </row>
    <row r="7">
      <c r="A7" s="8"/>
      <c r="B7" s="8"/>
      <c r="F7" s="10"/>
      <c r="G7" s="8"/>
      <c r="H7" s="8"/>
      <c r="K7" s="10"/>
      <c r="L7" s="10"/>
      <c r="M7" s="38" t="str">
        <f>VLOOKUP(A1,Data!$A$1:$AFS$9,116,FALSE)</f>
        <v/>
      </c>
      <c r="N7" s="38" t="str">
        <f>VLOOKUP(A1,Data!$A$1:$AFS$9,117,FALSE)</f>
        <v/>
      </c>
      <c r="O7" s="38" t="str">
        <f>VLOOKUP(A1,Data!$A$1:$AFS$9,118,FALSE)</f>
        <v/>
      </c>
      <c r="P7" s="38" t="str">
        <f>VLOOKUP(A1,Data!$A$1:$AFS$9,119,FALSE)</f>
        <v/>
      </c>
      <c r="Q7" s="41" t="str">
        <f>VLOOKUP(A1,Data!$A$1:$AFS$9,120,FALSE)</f>
        <v/>
      </c>
    </row>
    <row r="8">
      <c r="A8" s="8"/>
      <c r="B8" s="8"/>
      <c r="E8" s="10"/>
      <c r="F8" s="10"/>
      <c r="G8" s="16"/>
      <c r="H8" s="10"/>
      <c r="I8" s="10"/>
      <c r="J8" s="10"/>
      <c r="K8" s="10"/>
      <c r="L8" s="10"/>
      <c r="M8" s="38" t="str">
        <f>VLOOKUP(A1,Data!$A$1:$AFS$9,133,FALSE)</f>
        <v/>
      </c>
      <c r="N8" s="38" t="str">
        <f>VLOOKUP(A1,Data!$A$1:$AFS$9,134,FALSE)</f>
        <v/>
      </c>
      <c r="O8" s="38" t="str">
        <f>VLOOKUP(A1,Data!$A$1:$AFS$9,135,FALSE)</f>
        <v/>
      </c>
      <c r="P8" s="38" t="str">
        <f>VLOOKUP(A1,Data!$A$1:$AFS$9,136,FALSE)</f>
        <v/>
      </c>
      <c r="Q8" s="41" t="str">
        <f>VLOOKUP(A1,Data!$A$1:$AFS$9,137,FALSE)</f>
        <v/>
      </c>
    </row>
    <row r="9">
      <c r="A9" s="8"/>
      <c r="B9" s="8"/>
      <c r="E9" s="10"/>
      <c r="F9" s="10"/>
      <c r="G9" s="8"/>
      <c r="H9" s="17"/>
      <c r="M9" s="38" t="str">
        <f>VLOOKUP(A1,Data!$A$1:$AFS$9,150,FALSE)</f>
        <v/>
      </c>
      <c r="N9" s="38" t="str">
        <f>VLOOKUP(A1,Data!$A$1:$AFS$9,151,FALSE)</f>
        <v/>
      </c>
      <c r="O9" s="38" t="str">
        <f>VLOOKUP(A1,Data!$A$1:$AFS$9,152,FALSE)</f>
        <v/>
      </c>
      <c r="P9" s="38" t="str">
        <f>VLOOKUP(A1,Data!$A$1:$AFS$9,153,FALSE)</f>
        <v/>
      </c>
      <c r="Q9" s="41" t="str">
        <f>VLOOKUP(A1,Data!$A$1:$AFS$9,154,FALSE)</f>
        <v/>
      </c>
    </row>
    <row r="10">
      <c r="A10" s="8"/>
      <c r="B10" s="8"/>
      <c r="E10" s="10"/>
      <c r="F10" s="10"/>
      <c r="G10" s="16"/>
      <c r="H10" s="10"/>
      <c r="I10" s="10"/>
      <c r="J10" s="10"/>
      <c r="K10" s="10"/>
      <c r="L10" s="10"/>
      <c r="M10" s="38" t="str">
        <f>VLOOKUP(A1,Data!$A$1:$AFS$9,167,FALSE)</f>
        <v/>
      </c>
      <c r="N10" s="38" t="str">
        <f>VLOOKUP(A1,Data!$A$1:$AFS$9,168,FALSE)</f>
        <v/>
      </c>
      <c r="O10" s="38" t="str">
        <f>VLOOKUP(A1,Data!$A$1:$AFS$9,169,FALSE)</f>
        <v/>
      </c>
      <c r="P10" s="38" t="str">
        <f>VLOOKUP(A1,Data!$A$1:$AFS$9,170,FALSE)</f>
        <v/>
      </c>
      <c r="Q10" s="41" t="str">
        <f>VLOOKUP(A1,Data!$A$1:$AFS$9,171,FALSE)</f>
        <v/>
      </c>
    </row>
    <row r="11">
      <c r="A11" s="16"/>
      <c r="B11" s="10"/>
      <c r="C11" s="10"/>
      <c r="D11" s="10"/>
      <c r="E11" s="10"/>
      <c r="F11" s="10"/>
      <c r="G11" s="8"/>
      <c r="H11" s="18"/>
      <c r="K11" s="10"/>
      <c r="L11" s="10"/>
      <c r="M11" s="38" t="str">
        <f>VLOOKUP(A1,Data!$A$1:$AFS$9,184,FALSE)</f>
        <v/>
      </c>
      <c r="N11" s="38" t="str">
        <f>VLOOKUP(A1,Data!$A$1:$AFS$9,185,FALSE)</f>
        <v/>
      </c>
      <c r="O11" s="38" t="str">
        <f>VLOOKUP(A1,Data!$A$1:$AFS$9,186,FALSE)</f>
        <v/>
      </c>
      <c r="P11" s="38" t="str">
        <f>VLOOKUP(A1,Data!$A$1:$AFS$9,187,FALSE)</f>
        <v/>
      </c>
      <c r="Q11" s="41" t="str">
        <f>VLOOKUP(A1,Data!$A$1:$AFS$9,188,FALSE)</f>
        <v/>
      </c>
    </row>
    <row r="12">
      <c r="A12" s="8"/>
      <c r="B12" s="19"/>
      <c r="G12" s="8"/>
      <c r="H12" s="20"/>
      <c r="K12" s="10"/>
      <c r="L12" s="10"/>
      <c r="M12" s="38" t="str">
        <f>VLOOKUP(A1,Data!$A$1:$AFS$9,201,FALSE)</f>
        <v/>
      </c>
      <c r="N12" s="38" t="str">
        <f>VLOOKUP(A1,Data!$A$1:$AFS$9,202,FALSE)</f>
        <v/>
      </c>
      <c r="O12" s="38" t="str">
        <f>VLOOKUP(A1,Data!$A$1:$AFS$9,203,FALSE)</f>
        <v/>
      </c>
      <c r="P12" s="38" t="str">
        <f>VLOOKUP(A1,Data!$A$1:$AFS$9,204,FALSE)</f>
        <v/>
      </c>
      <c r="Q12" s="41" t="str">
        <f>VLOOKUP(A1,Data!$A$1:$AFS$9,205,FALSE)</f>
        <v/>
      </c>
    </row>
    <row r="13">
      <c r="A13" s="16"/>
      <c r="B13" s="10"/>
      <c r="C13" s="10"/>
      <c r="D13" s="10"/>
      <c r="E13" s="10"/>
      <c r="F13" s="10"/>
      <c r="G13" s="16"/>
      <c r="H13" s="10"/>
      <c r="I13" s="10"/>
      <c r="J13" s="10"/>
      <c r="K13" s="10"/>
      <c r="L13" s="10"/>
      <c r="M13" s="38" t="str">
        <f>VLOOKUP(A1,Data!$A$1:$AFS$9,218,FALSE)</f>
        <v/>
      </c>
      <c r="N13" s="38" t="str">
        <f>VLOOKUP(A1,Data!$A$1:$AFS$9,219,FALSE)</f>
        <v/>
      </c>
      <c r="O13" s="38" t="str">
        <f>VLOOKUP(A1,Data!$A$1:$AFS$9,220,FALSE)</f>
        <v/>
      </c>
      <c r="P13" s="38" t="str">
        <f>VLOOKUP(A1,Data!$A$1:$AFS$9,221,FALSE)</f>
        <v/>
      </c>
      <c r="Q13" s="41" t="str">
        <f>VLOOKUP(A1,Data!$A$1:$AFS$9,222,FALSE)</f>
        <v/>
      </c>
    </row>
    <row r="14">
      <c r="A14" s="8"/>
      <c r="B14" s="18"/>
      <c r="E14" s="10"/>
      <c r="F14" s="10"/>
      <c r="G14" s="6"/>
      <c r="I14" s="10"/>
      <c r="J14" s="10"/>
      <c r="K14" s="10"/>
      <c r="L14" s="10"/>
      <c r="M14" s="38" t="str">
        <f>VLOOKUP(A1,Data!$A$1:$AFS$9,235,FALSE)</f>
        <v/>
      </c>
      <c r="N14" s="38" t="str">
        <f>VLOOKUP(A1,Data!$A$1:$AFS$9,236,FALSE)</f>
        <v/>
      </c>
      <c r="O14" s="38" t="str">
        <f>VLOOKUP(A1,Data!$A$1:$AFS$9,237,FALSE)</f>
        <v/>
      </c>
      <c r="P14" s="38" t="str">
        <f>VLOOKUP(A1,Data!$A$1:$AFS$9,238,FALSE)</f>
        <v/>
      </c>
      <c r="Q14" s="41" t="str">
        <f>VLOOKUP(A1,Data!$A$1:$AFS$9,239,FALSE)</f>
        <v/>
      </c>
    </row>
    <row r="15">
      <c r="A15" s="8"/>
      <c r="B15" s="20"/>
      <c r="E15" s="10"/>
      <c r="F15" s="10"/>
      <c r="G15" s="8"/>
      <c r="L15" s="10"/>
      <c r="M15" s="38" t="str">
        <f>VLOOKUP(A1,Data!$A$1:$AFS$9,252,FALSE)</f>
        <v/>
      </c>
      <c r="N15" s="38" t="str">
        <f>VLOOKUP(A1,Data!$A$1:$AFS$9,253,FALSE)</f>
        <v/>
      </c>
      <c r="O15" s="38" t="str">
        <f>VLOOKUP(A1,Data!$A$1:$AFS$9,254,FALSE)</f>
        <v/>
      </c>
      <c r="P15" s="38" t="str">
        <f>VLOOKUP(A1,Data!$A$1:$AFS$9,255,FALSE)</f>
        <v/>
      </c>
      <c r="Q15" s="41" t="str">
        <f>VLOOKUP(A1,Data!$A$1:$AFS$9,256,FALSE)</f>
        <v/>
      </c>
    </row>
    <row r="16">
      <c r="A16" s="16"/>
      <c r="B16" s="10"/>
      <c r="C16" s="10"/>
      <c r="D16" s="10"/>
      <c r="E16" s="10"/>
      <c r="F16" s="10"/>
      <c r="G16" s="21"/>
      <c r="H16" s="10"/>
      <c r="I16" s="10"/>
      <c r="J16" s="10"/>
      <c r="K16" s="10"/>
      <c r="L16" s="10"/>
      <c r="M16" s="38" t="str">
        <f>VLOOKUP(A1,Data!$A$1:$AFS$9,269,FALSE)</f>
        <v/>
      </c>
      <c r="N16" s="38" t="str">
        <f>VLOOKUP(A1,Data!$A$1:$AFS$9,270,FALSE)</f>
        <v/>
      </c>
      <c r="O16" s="38" t="str">
        <f>VLOOKUP(A1,Data!$A$1:$AFS$9,271,FALSE)</f>
        <v/>
      </c>
      <c r="P16" s="38" t="str">
        <f>VLOOKUP(A1,Data!$A$1:$AFS$9,272,FALSE)</f>
        <v/>
      </c>
      <c r="Q16" s="41" t="str">
        <f>VLOOKUP(A1,Data!$A$1:$AFS$9,273,FALSE)</f>
        <v/>
      </c>
    </row>
    <row r="17">
      <c r="A17" s="6"/>
      <c r="C17" s="10"/>
      <c r="D17" s="10"/>
      <c r="E17" s="10"/>
      <c r="F17" s="10"/>
      <c r="G17" s="8"/>
      <c r="H17" s="8"/>
      <c r="J17" s="22"/>
      <c r="K17" s="22"/>
      <c r="L17" s="10"/>
      <c r="M17" s="38" t="str">
        <f>VLOOKUP(A1,Data!$A$1:$AFS$9,286,FALSE)</f>
        <v/>
      </c>
      <c r="N17" s="38" t="str">
        <f>VLOOKUP(A1,Data!$A$1:$AFS$9,287,FALSE)</f>
        <v/>
      </c>
      <c r="O17" s="38" t="str">
        <f>VLOOKUP(A1,Data!$A$1:$AFS$9,288,FALSE)</f>
        <v/>
      </c>
      <c r="P17" s="38" t="str">
        <f>VLOOKUP(A1,Data!$A$1:$AFS$9,289,FALSE)</f>
        <v/>
      </c>
      <c r="Q17" s="41" t="str">
        <f>VLOOKUP(A1,Data!$A$1:$AFS$9,290,FALSE)</f>
        <v/>
      </c>
    </row>
    <row r="18">
      <c r="A18" s="8"/>
      <c r="F18" s="10"/>
      <c r="G18" s="23"/>
      <c r="K18" s="24"/>
      <c r="L18" s="10"/>
      <c r="M18" s="38" t="str">
        <f>VLOOKUP(A1,Data!$A$1:$AFS$9,303,FALSE)</f>
        <v/>
      </c>
      <c r="N18" s="38" t="str">
        <f>VLOOKUP(A1,Data!$A$1:$AFS$9,304,FALSE)</f>
        <v/>
      </c>
      <c r="O18" s="38" t="str">
        <f>VLOOKUP(A1,Data!$A$1:$AFS$9,305,FALSE)</f>
        <v/>
      </c>
      <c r="P18" s="38" t="str">
        <f>VLOOKUP(A1,Data!$A$1:$AFS$9,306,FALSE)</f>
        <v/>
      </c>
      <c r="Q18" s="41" t="str">
        <f>VLOOKUP(A1,Data!$A$1:$AFS$9,307,FALSE)</f>
        <v/>
      </c>
    </row>
    <row r="19">
      <c r="A19" s="16"/>
      <c r="B19" s="10"/>
      <c r="C19" s="10"/>
      <c r="D19" s="10"/>
      <c r="E19" s="10"/>
      <c r="F19" s="10"/>
      <c r="G19" s="8"/>
      <c r="J19" s="8"/>
      <c r="K19" s="22"/>
      <c r="L19" s="10"/>
      <c r="M19" s="38" t="str">
        <f>VLOOKUP(A1,Data!$A$1:$AFS$9,320,FALSE)</f>
        <v/>
      </c>
      <c r="N19" s="38" t="str">
        <f>VLOOKUP(A1,Data!$A$1:$AFS$9,321,FALSE)</f>
        <v/>
      </c>
      <c r="O19" s="38" t="str">
        <f>VLOOKUP(A1,Data!$A$1:$AFS$9,322,FALSE)</f>
        <v/>
      </c>
      <c r="P19" s="38" t="str">
        <f>VLOOKUP(A1,Data!$A$1:$AFS$9,323,FALSE)</f>
        <v/>
      </c>
      <c r="Q19" s="41" t="str">
        <f>VLOOKUP(A1,Data!$A$1:$AFS$9,324,FALSE)</f>
        <v/>
      </c>
    </row>
    <row r="20">
      <c r="A20" s="8"/>
      <c r="B20" s="8"/>
      <c r="D20" s="22"/>
      <c r="E20" s="22"/>
      <c r="F20" s="10"/>
      <c r="G20" s="16"/>
      <c r="H20" s="10"/>
      <c r="I20" s="10"/>
      <c r="J20" s="10"/>
      <c r="K20" s="10"/>
      <c r="L20" s="10"/>
      <c r="M20" s="38" t="str">
        <f>VLOOKUP(A1,Data!$A$1:$AFS$9,337,FALSE)</f>
        <v/>
      </c>
      <c r="N20" s="38" t="str">
        <f>VLOOKUP(A1,Data!$A$1:$AFS$9,338,FALSE)</f>
        <v/>
      </c>
      <c r="O20" s="38" t="str">
        <f>VLOOKUP(A1,Data!$A$1:$AFS$9,339,FALSE)</f>
        <v/>
      </c>
      <c r="P20" s="38" t="str">
        <f>VLOOKUP(A1,Data!$A$1:$AFS$9,340,FALSE)</f>
        <v/>
      </c>
      <c r="Q20" s="41" t="str">
        <f>VLOOKUP(A1,Data!$A$1:$AFS$9,341,FALSE)</f>
        <v/>
      </c>
    </row>
    <row r="21">
      <c r="A21" s="23"/>
      <c r="E21" s="24"/>
      <c r="F21" s="10"/>
      <c r="G21" s="25"/>
      <c r="H21" s="26"/>
      <c r="I21" s="26"/>
      <c r="J21" s="26"/>
      <c r="K21" s="26"/>
      <c r="L21" s="10"/>
      <c r="M21" s="38" t="str">
        <f>VLOOKUP(A1,Data!$A$1:$AFS$9,354,FALSE)</f>
        <v/>
      </c>
      <c r="N21" s="38" t="str">
        <f>VLOOKUP(A1,Data!$A$1:$AFS$9,355,FALSE)</f>
        <v/>
      </c>
      <c r="O21" s="38" t="str">
        <f>VLOOKUP(A1,Data!$A$1:$AFS$9,356,FALSE)</f>
        <v/>
      </c>
      <c r="P21" s="38" t="str">
        <f>VLOOKUP(A1,Data!$A$1:$AFS$9,357,FALSE)</f>
        <v/>
      </c>
      <c r="Q21" s="41" t="str">
        <f>VLOOKUP(A1,Data!$A$1:$AFS$9,358,FALSE)</f>
        <v/>
      </c>
    </row>
    <row r="22">
      <c r="A22" s="8"/>
      <c r="D22" s="8"/>
      <c r="E22" s="22"/>
      <c r="F22" s="10"/>
      <c r="G22" s="16"/>
      <c r="H22" s="10"/>
      <c r="I22" s="10"/>
      <c r="J22" s="10"/>
      <c r="K22" s="10"/>
      <c r="L22" s="10"/>
      <c r="M22" s="38" t="str">
        <f>VLOOKUP(A1,Data!$A$1:$AFS$9,371,FALSE)</f>
        <v/>
      </c>
      <c r="N22" s="38" t="str">
        <f>VLOOKUP(A1,Data!$A$1:$AFS$9,372,FALSE)</f>
        <v/>
      </c>
      <c r="O22" s="38" t="str">
        <f>VLOOKUP(A1,Data!$A$1:$AFS$9,373,FALSE)</f>
        <v/>
      </c>
      <c r="P22" s="38" t="str">
        <f>VLOOKUP(A1,Data!$A$1:$AFS$9,374,FALSE)</f>
        <v/>
      </c>
      <c r="Q22" s="41" t="str">
        <f>VLOOKUP(A1,Data!$A$1:$AFS$9,375,FALSE)</f>
        <v/>
      </c>
    </row>
    <row r="23">
      <c r="A23" s="16"/>
      <c r="B23" s="10"/>
      <c r="C23" s="10"/>
      <c r="D23" s="10"/>
      <c r="E23" s="10"/>
      <c r="F23" s="10"/>
      <c r="G23" s="8"/>
      <c r="H23" s="9"/>
      <c r="L23" s="10"/>
      <c r="M23" s="38" t="str">
        <f>VLOOKUP(A1,Data!$A$1:$AFS$9,388,FALSE)</f>
        <v/>
      </c>
      <c r="N23" s="38" t="str">
        <f>VLOOKUP(A1,Data!$A$1:$AFS$9,389,FALSE)</f>
        <v/>
      </c>
      <c r="O23" s="38" t="str">
        <f>VLOOKUP(A1,Data!$A$1:$AFS$9,390,FALSE)</f>
        <v/>
      </c>
      <c r="P23" s="38" t="str">
        <f>VLOOKUP(A1,Data!$A$1:$AFS$9,391,FALSE)</f>
        <v/>
      </c>
      <c r="Q23" s="41" t="str">
        <f>VLOOKUP(A1,Data!$A$1:$AFS$9,392,FALSE)</f>
        <v/>
      </c>
    </row>
    <row r="24">
      <c r="A24" s="25"/>
      <c r="B24" s="26"/>
      <c r="C24" s="26"/>
      <c r="D24" s="26"/>
      <c r="E24" s="26"/>
      <c r="F24" s="10"/>
      <c r="G24" s="8"/>
      <c r="H24" s="8"/>
      <c r="K24" s="8"/>
      <c r="L24" s="10"/>
      <c r="M24" s="38" t="str">
        <f>VLOOKUP(A1,Data!$A$1:$AFS$9,405,FALSE)</f>
        <v/>
      </c>
      <c r="N24" s="38" t="str">
        <f>VLOOKUP(A1,Data!$A$1:$AFS$9,406,FALSE)</f>
        <v/>
      </c>
      <c r="O24" s="38" t="str">
        <f>VLOOKUP(A1,Data!$A$1:$AFS$9,407,FALSE)</f>
        <v/>
      </c>
      <c r="P24" s="38" t="str">
        <f>VLOOKUP(A1,Data!$A$1:$AFS$9,408,FALSE)</f>
        <v/>
      </c>
      <c r="Q24" s="41" t="str">
        <f>VLOOKUP(A1,Data!$A$1:$AFS$9,409,FALSE)</f>
        <v/>
      </c>
    </row>
    <row r="25">
      <c r="A25" s="16"/>
      <c r="B25" s="10"/>
      <c r="C25" s="10"/>
      <c r="D25" s="10"/>
      <c r="E25" s="10"/>
      <c r="F25" s="10"/>
      <c r="G25" s="8"/>
      <c r="H25" s="8"/>
      <c r="K25" s="8"/>
      <c r="L25" s="10"/>
      <c r="M25" s="38" t="str">
        <f>VLOOKUP(A1,Data!$A$1:$AFS$9,422,FALSE)</f>
        <v/>
      </c>
      <c r="N25" s="38" t="str">
        <f>VLOOKUP(A1,Data!$A$1:$AFS$9,423,FALSE)</f>
        <v/>
      </c>
      <c r="O25" s="38" t="str">
        <f>VLOOKUP(A1,Data!$A$1:$AFS$9,424,FALSE)</f>
        <v/>
      </c>
      <c r="P25" s="38" t="str">
        <f>VLOOKUP(A1,Data!$A$1:$AFS$9,425,FALSE)</f>
        <v/>
      </c>
      <c r="Q25" s="41" t="str">
        <f>VLOOKUP(A1,Data!$A$1:$AFS$9,426,FALSE)</f>
        <v/>
      </c>
    </row>
    <row r="26">
      <c r="A26" s="8"/>
      <c r="B26" s="9"/>
      <c r="F26" s="10"/>
      <c r="G26" s="8"/>
      <c r="H26" s="8"/>
      <c r="K26" s="8"/>
      <c r="L26" s="10"/>
      <c r="M26" s="38" t="str">
        <f>VLOOKUP(A1,Data!$A$1:$AFS$9,439,FALSE)</f>
        <v/>
      </c>
      <c r="N26" s="38" t="str">
        <f>VLOOKUP(A1,Data!$A$1:$AFS$9,440,FALSE)</f>
        <v/>
      </c>
      <c r="O26" s="38" t="str">
        <f>VLOOKUP(A1,Data!$A$1:$AFS$9,441,FALSE)</f>
        <v/>
      </c>
      <c r="P26" s="38" t="str">
        <f>VLOOKUP(A1,Data!$A$1:$AFS$9,442,FALSE)</f>
        <v/>
      </c>
      <c r="Q26" s="41" t="str">
        <f>VLOOKUP(A1,Data!$A$1:$AFS$9,443,FALSE)</f>
        <v/>
      </c>
    </row>
    <row r="27">
      <c r="A27" s="8"/>
      <c r="B27" s="8"/>
      <c r="F27" s="10"/>
      <c r="G27" s="8"/>
      <c r="H27" s="8"/>
      <c r="K27" s="8"/>
      <c r="L27" s="10"/>
      <c r="M27" s="38" t="str">
        <f>VLOOKUP(A1,Data!$A$1:$AFS$9,456,FALSE)</f>
        <v/>
      </c>
      <c r="N27" s="38" t="str">
        <f>VLOOKUP(A1,Data!$A$1:$AFS$9,457,FALSE)</f>
        <v/>
      </c>
      <c r="O27" s="38" t="str">
        <f>VLOOKUP(A1,Data!$A$1:$AFS$9,458,FALSE)</f>
        <v/>
      </c>
      <c r="P27" s="38" t="str">
        <f>VLOOKUP(A1,Data!$A$1:$AFS$9,459,FALSE)</f>
        <v/>
      </c>
      <c r="Q27" s="41" t="str">
        <f>VLOOKUP(A1,Data!$A$1:$AFS$9,460,FALSE)</f>
        <v/>
      </c>
    </row>
    <row r="28">
      <c r="A28" s="8"/>
      <c r="B28" s="8"/>
      <c r="F28" s="10"/>
      <c r="G28" s="16"/>
      <c r="H28" s="10"/>
      <c r="I28" s="10"/>
      <c r="J28" s="10"/>
      <c r="K28" s="10"/>
      <c r="L28" s="10"/>
      <c r="M28" s="38" t="str">
        <f>VLOOKUP(A1,Data!$A$1:$AFS$9,473,FALSE)</f>
        <v/>
      </c>
      <c r="N28" s="38" t="str">
        <f>VLOOKUP(A1,Data!$A$1:$AFS$9,474,FALSE)</f>
        <v/>
      </c>
      <c r="O28" s="38" t="str">
        <f>VLOOKUP(A1,Data!$A$1:$AFS$9,475,FALSE)</f>
        <v/>
      </c>
      <c r="P28" s="38" t="str">
        <f>VLOOKUP(A1,Data!$A$1:$AFS$9,476,FALSE)</f>
        <v/>
      </c>
      <c r="Q28" s="41" t="str">
        <f>VLOOKUP(A1,Data!$A$1:$AFS$9,477,FALSE)</f>
        <v/>
      </c>
    </row>
    <row r="29">
      <c r="A29" s="8"/>
      <c r="B29" s="8"/>
      <c r="F29" s="10"/>
      <c r="G29" s="8"/>
      <c r="H29" s="27"/>
      <c r="M29" s="38" t="str">
        <f>VLOOKUP(A1,Data!$A$1:$AFS$9,490,FALSE)</f>
        <v/>
      </c>
      <c r="N29" s="38" t="str">
        <f>VLOOKUP(A1,Data!$A$1:$AFS$9,491,FALSE)</f>
        <v/>
      </c>
      <c r="O29" s="38" t="str">
        <f>VLOOKUP(A1,Data!$A$1:$AFS$9,492,FALSE)</f>
        <v/>
      </c>
      <c r="P29" s="38" t="str">
        <f>VLOOKUP(A1,Data!$A$1:$AFS$9,493,FALSE)</f>
        <v/>
      </c>
      <c r="Q29" s="41" t="str">
        <f>VLOOKUP(A1,Data!$A$1:$AFS$9,494,FALSE)</f>
        <v/>
      </c>
    </row>
    <row r="30">
      <c r="A30" s="8"/>
      <c r="B30" s="8"/>
      <c r="F30" s="10"/>
      <c r="G30" s="16"/>
      <c r="H30" s="10"/>
      <c r="I30" s="10"/>
      <c r="J30" s="10"/>
      <c r="K30" s="10"/>
      <c r="L30" s="10"/>
      <c r="M30" s="38" t="str">
        <f>VLOOKUP(A1,Data!$A$1:$AFS$9,507,FALSE)</f>
        <v/>
      </c>
      <c r="N30" s="38" t="str">
        <f>VLOOKUP(A1,Data!$A$1:$AFS$9,508,FALSE)</f>
        <v/>
      </c>
      <c r="O30" s="38" t="str">
        <f>VLOOKUP(A1,Data!$A$1:$AFS$9,509,FALSE)</f>
        <v/>
      </c>
      <c r="P30" s="38" t="str">
        <f>VLOOKUP(A1,Data!$A$1:$AFS$9,510,FALSE)</f>
        <v/>
      </c>
      <c r="Q30" s="41" t="str">
        <f>VLOOKUP(A1,Data!$A$1:$AFS$9,511,FALSE)</f>
        <v/>
      </c>
    </row>
    <row r="31">
      <c r="A31" s="16"/>
      <c r="B31" s="10"/>
      <c r="C31" s="10"/>
      <c r="D31" s="10"/>
      <c r="E31" s="10"/>
      <c r="F31" s="10"/>
      <c r="G31" s="8"/>
      <c r="H31" s="18"/>
      <c r="J31" s="10"/>
      <c r="K31" s="10"/>
      <c r="L31" s="10"/>
      <c r="M31" s="38" t="str">
        <f>VLOOKUP(A1,Data!$A$1:$AFS$9,524,FALSE)</f>
        <v/>
      </c>
      <c r="N31" s="38" t="str">
        <f>VLOOKUP(A1,Data!$A$1:$AFS$9,525,FALSE)</f>
        <v/>
      </c>
      <c r="O31" s="38" t="str">
        <f>VLOOKUP(A1,Data!$A$1:$AFS$9,526,FALSE)</f>
        <v/>
      </c>
      <c r="P31" s="38" t="str">
        <f>VLOOKUP(A1,Data!$A$1:$AFS$9,527,FALSE)</f>
        <v/>
      </c>
      <c r="Q31" s="41" t="str">
        <f>VLOOKUP(A1,Data!$A$1:$AFS$9,528,FALSE)</f>
        <v/>
      </c>
    </row>
    <row r="32">
      <c r="A32" s="8"/>
      <c r="B32" s="18"/>
      <c r="G32" s="8"/>
      <c r="H32" s="20"/>
      <c r="J32" s="10"/>
      <c r="K32" s="10"/>
      <c r="L32" s="10"/>
      <c r="M32" s="38" t="str">
        <f>VLOOKUP(A1,Data!$A$1:$AFS$9,541,FALSE)</f>
        <v/>
      </c>
      <c r="N32" s="38" t="str">
        <f>VLOOKUP(A1,Data!$A$1:$AFS$9,542,FALSE)</f>
        <v/>
      </c>
      <c r="O32" s="38" t="str">
        <f>VLOOKUP(A1,Data!$A$1:$AFS$9,543,FALSE)</f>
        <v/>
      </c>
      <c r="P32" s="38" t="str">
        <f>VLOOKUP(A1,Data!$A$1:$AFS$9,544,FALSE)</f>
        <v/>
      </c>
      <c r="Q32" s="41" t="str">
        <f>VLOOKUP(A1,Data!$A$1:$AFS$9,545,FALSE)</f>
        <v/>
      </c>
    </row>
    <row r="33">
      <c r="A33" s="16"/>
      <c r="B33" s="10"/>
      <c r="C33" s="10"/>
      <c r="D33" s="10"/>
      <c r="E33" s="10"/>
      <c r="F33" s="10"/>
      <c r="G33" s="16"/>
      <c r="H33" s="10"/>
      <c r="I33" s="10"/>
      <c r="J33" s="10"/>
      <c r="K33" s="10"/>
      <c r="L33" s="10"/>
      <c r="M33" s="38" t="str">
        <f>VLOOKUP(A1,Data!$A$1:$AFS$9,558,FALSE)</f>
        <v/>
      </c>
      <c r="N33" s="38" t="str">
        <f>VLOOKUP(A1,Data!$A$1:$AFS$9,559,FALSE)</f>
        <v/>
      </c>
      <c r="O33" s="38" t="str">
        <f>VLOOKUP(A1,Data!$A$1:$AFS$9,560,FALSE)</f>
        <v/>
      </c>
      <c r="P33" s="38" t="str">
        <f>VLOOKUP(A1,Data!$A$1:$AFS$9,561,FALSE)</f>
        <v/>
      </c>
      <c r="Q33" s="41" t="str">
        <f>VLOOKUP(A1,Data!$A$1:$AFS$9,562,FALSE)</f>
        <v/>
      </c>
    </row>
    <row r="34">
      <c r="A34" s="8"/>
      <c r="B34" s="18"/>
      <c r="D34" s="10"/>
      <c r="E34" s="10"/>
      <c r="F34" s="10"/>
      <c r="G34" s="6"/>
      <c r="I34" s="10"/>
      <c r="J34" s="10"/>
      <c r="K34" s="10"/>
      <c r="L34" s="10"/>
      <c r="M34" s="38" t="str">
        <f>VLOOKUP(A1,Data!$A$1:$AFS$9,575,FALSE)</f>
        <v/>
      </c>
      <c r="N34" s="38" t="str">
        <f>VLOOKUP(A1,Data!$A$1:$AFS$9,576,FALSE)</f>
        <v/>
      </c>
      <c r="O34" s="38" t="str">
        <f>VLOOKUP(A1,Data!$A$1:$AFS$9,577,FALSE)</f>
        <v/>
      </c>
      <c r="P34" s="38" t="str">
        <f>VLOOKUP(A1,Data!$A$1:$AFS$9,578,FALSE)</f>
        <v/>
      </c>
      <c r="Q34" s="41" t="str">
        <f>VLOOKUP(A1,Data!$A$1:$AFS$9,579,FALSE)</f>
        <v/>
      </c>
    </row>
    <row r="35">
      <c r="A35" s="8"/>
      <c r="B35" s="20"/>
      <c r="D35" s="10"/>
      <c r="E35" s="10"/>
      <c r="F35" s="10"/>
      <c r="G35" s="8"/>
      <c r="M35" s="38" t="str">
        <f>VLOOKUP(A1,Data!$A$1:$AFS$9,592,FALSE)</f>
        <v/>
      </c>
      <c r="N35" s="38" t="str">
        <f>VLOOKUP(A1,Data!$A$1:$AFS$9,593,FALSE)</f>
        <v/>
      </c>
      <c r="O35" s="38" t="str">
        <f>VLOOKUP(A1,Data!$A$1:$AFS$9,594,FALSE)</f>
        <v/>
      </c>
      <c r="P35" s="38" t="str">
        <f>VLOOKUP(A1,Data!$A$1:$AFS$9,595,FALSE)</f>
        <v/>
      </c>
      <c r="Q35" s="41" t="str">
        <f>VLOOKUP(A1,Data!$A$1:$AFS$9,596,FALSE)</f>
        <v/>
      </c>
    </row>
    <row r="36">
      <c r="A36" s="16"/>
      <c r="B36" s="10"/>
      <c r="C36" s="10"/>
      <c r="D36" s="10"/>
      <c r="E36" s="10"/>
      <c r="F36" s="10"/>
      <c r="G36" s="16"/>
      <c r="H36" s="10"/>
      <c r="I36" s="10"/>
      <c r="J36" s="10"/>
      <c r="K36" s="10"/>
      <c r="L36" s="10"/>
      <c r="M36" s="38" t="str">
        <f>VLOOKUP(A1,Data!$A$1:$AFS$9,609,FALSE)</f>
        <v/>
      </c>
      <c r="N36" s="38" t="str">
        <f>VLOOKUP(A1,Data!$A$1:$AFS$9,610,FALSE)</f>
        <v/>
      </c>
      <c r="O36" s="38" t="str">
        <f>VLOOKUP(A1,Data!$A$1:$AFS$9,611,FALSE)</f>
        <v/>
      </c>
      <c r="P36" s="38" t="str">
        <f>VLOOKUP(A1,Data!$A$1:$AFS$9,612,FALSE)</f>
        <v/>
      </c>
      <c r="Q36" s="41" t="str">
        <f>VLOOKUP(A1,Data!$A$1:$AFS$9,613,FALSE)</f>
        <v/>
      </c>
    </row>
    <row r="37">
      <c r="A37" s="6"/>
      <c r="C37" s="10"/>
      <c r="D37" s="10"/>
      <c r="E37" s="10"/>
      <c r="F37" s="10"/>
      <c r="G37" s="8"/>
      <c r="H37" s="8"/>
      <c r="J37" s="22"/>
      <c r="K37" s="22"/>
      <c r="L37" s="10"/>
      <c r="M37" s="38" t="str">
        <f>VLOOKUP(A1,Data!$A$1:$AFS$9,626,FALSE)</f>
        <v/>
      </c>
      <c r="N37" s="38" t="str">
        <f>VLOOKUP(A1,Data!$A$1:$AFS$9,627,FALSE)</f>
        <v/>
      </c>
      <c r="O37" s="38" t="str">
        <f>VLOOKUP(A1,Data!$A$1:$AFS$9,628,FALSE)</f>
        <v/>
      </c>
      <c r="P37" s="38" t="str">
        <f>VLOOKUP(A1,Data!$A$1:$AFS$9,629,FALSE)</f>
        <v/>
      </c>
      <c r="Q37" s="41" t="str">
        <f>VLOOKUP(A1,Data!$A$1:$AFS$9,630,FALSE)</f>
        <v/>
      </c>
    </row>
    <row r="38">
      <c r="A38" s="8"/>
      <c r="G38" s="22"/>
      <c r="H38" s="10"/>
      <c r="I38" s="10"/>
      <c r="J38" s="10"/>
      <c r="K38" s="10"/>
      <c r="L38" s="10"/>
      <c r="M38" s="38" t="str">
        <f>VLOOKUP(A1,Data!$A$1:$AFS$9,643,FALSE)</f>
        <v/>
      </c>
      <c r="N38" s="38" t="str">
        <f>VLOOKUP(A1,Data!$A$1:$AFS$9,644,FALSE)</f>
        <v/>
      </c>
      <c r="O38" s="38" t="str">
        <f>VLOOKUP(A1,Data!$A$1:$AFS$9,645,FALSE)</f>
        <v/>
      </c>
      <c r="P38" s="38" t="str">
        <f>VLOOKUP(A1,Data!$A$1:$AFS$9,646,FALSE)</f>
        <v/>
      </c>
      <c r="Q38" s="41" t="str">
        <f>VLOOKUP(A1,Data!$A$1:$AFS$9,647,FALSE)</f>
        <v/>
      </c>
    </row>
    <row r="39">
      <c r="A39" s="16"/>
      <c r="B39" s="10"/>
      <c r="C39" s="10"/>
      <c r="D39" s="10"/>
      <c r="E39" s="10"/>
      <c r="F39" s="10"/>
      <c r="G39" s="16"/>
      <c r="H39" s="10"/>
      <c r="I39" s="10"/>
      <c r="J39" s="10"/>
      <c r="K39" s="10"/>
      <c r="L39" s="10"/>
      <c r="M39" s="38" t="str">
        <f>VLOOKUP(A1,Data!$A$1:$AFS$9,660,FALSE)</f>
        <v/>
      </c>
      <c r="N39" s="38" t="str">
        <f>VLOOKUP(A1,Data!$A$1:$AFS$9,661,FALSE)</f>
        <v/>
      </c>
      <c r="O39" s="38" t="str">
        <f>VLOOKUP(A1,Data!$A$1:$AFS$9,662,FALSE)</f>
        <v/>
      </c>
      <c r="P39" s="38" t="str">
        <f>VLOOKUP(A1,Data!$A$1:$AFS$9,663,FALSE)</f>
        <v/>
      </c>
      <c r="Q39" s="41" t="str">
        <f>VLOOKUP(A1,Data!$A$1:$AFS$9,664,FALSE)</f>
        <v/>
      </c>
    </row>
    <row r="40">
      <c r="A40" s="8"/>
      <c r="B40" s="8"/>
      <c r="D40" s="22"/>
      <c r="E40" s="22"/>
      <c r="F40" s="10"/>
      <c r="G40" s="28"/>
      <c r="H40" s="10"/>
      <c r="I40" s="10"/>
      <c r="J40" s="28"/>
      <c r="K40" s="29"/>
      <c r="L40" s="10"/>
      <c r="M40" s="38" t="str">
        <f>VLOOKUP(A1,Data!$A$1:$AFS$9,677,FALSE)</f>
        <v/>
      </c>
      <c r="N40" s="38" t="str">
        <f>VLOOKUP(A1,Data!$A$1:$AFS$9,678,FALSE)</f>
        <v/>
      </c>
      <c r="O40" s="38" t="str">
        <f>VLOOKUP(A1,Data!$A$1:$AFS$9,679,FALSE)</f>
        <v/>
      </c>
      <c r="P40" s="38" t="str">
        <f>VLOOKUP(A1,Data!$A$1:$AFS$9,680,FALSE)</f>
        <v/>
      </c>
      <c r="Q40" s="41" t="str">
        <f>VLOOKUP(A1,Data!$A$1:$AFS$9,681,FALSE)</f>
        <v/>
      </c>
    </row>
    <row r="41">
      <c r="A41" s="22"/>
      <c r="B41" s="10"/>
      <c r="C41" s="10"/>
      <c r="D41" s="10"/>
      <c r="E41" s="10"/>
      <c r="F41" s="10"/>
      <c r="G41" s="30"/>
      <c r="H41" s="10"/>
      <c r="I41" s="10"/>
      <c r="J41" s="10"/>
      <c r="K41" s="10"/>
      <c r="L41" s="10"/>
      <c r="M41" s="38" t="str">
        <f>VLOOKUP(A1,Data!$A$1:$AFS$9,694,FALSE)</f>
        <v/>
      </c>
      <c r="N41" s="38" t="str">
        <f>VLOOKUP(A1,Data!$A$1:$AFS$9,695,FALSE)</f>
        <v/>
      </c>
      <c r="O41" s="38" t="str">
        <f>VLOOKUP(A1,Data!$A$1:$AFS$9,696,FALSE)</f>
        <v/>
      </c>
      <c r="P41" s="38" t="str">
        <f>VLOOKUP(A1,Data!$A$1:$AFS$9,697,FALSE)</f>
        <v/>
      </c>
      <c r="Q41" s="41" t="str">
        <f>VLOOKUP(A1,Data!$A$1:$AFS$9,698,FALSE)</f>
        <v/>
      </c>
    </row>
    <row r="42">
      <c r="A42" s="16"/>
      <c r="B42" s="10"/>
      <c r="C42" s="10"/>
      <c r="D42" s="10"/>
      <c r="E42" s="10"/>
      <c r="F42" s="10"/>
      <c r="G42" s="30"/>
      <c r="H42" s="10"/>
      <c r="I42" s="10"/>
      <c r="J42" s="10"/>
      <c r="K42" s="10"/>
      <c r="L42" s="10"/>
      <c r="M42" s="38" t="str">
        <f>VLOOKUP(A1,Data!$A$1:$AFS$9,711,FALSE)</f>
        <v/>
      </c>
      <c r="N42" s="38" t="str">
        <f>VLOOKUP(A1,Data!$A$1:$AFS$9,712,FALSE)</f>
        <v/>
      </c>
      <c r="O42" s="38" t="str">
        <f>VLOOKUP(A1,Data!$A$1:$AFS$9,713,FALSE)</f>
        <v/>
      </c>
      <c r="P42" s="38" t="str">
        <f>VLOOKUP(A1,Data!$A$1:$AFS$9,714,FALSE)</f>
        <v/>
      </c>
      <c r="Q42" s="41" t="str">
        <f>VLOOKUP(A1,Data!$A$1:$AFS$9,715,FALSE)</f>
        <v/>
      </c>
    </row>
    <row r="43">
      <c r="A43" s="28"/>
      <c r="B43" s="10"/>
      <c r="C43" s="10"/>
      <c r="D43" s="28"/>
      <c r="E43" s="29"/>
      <c r="F43" s="10"/>
      <c r="G43" s="31"/>
      <c r="H43" s="10"/>
      <c r="I43" s="10"/>
      <c r="J43" s="18"/>
      <c r="K43" s="32"/>
      <c r="L43" s="10"/>
      <c r="M43" s="38" t="str">
        <f>VLOOKUP(A1,Data!$A$1:$AFS$9,728,FALSE)</f>
        <v/>
      </c>
      <c r="N43" s="38" t="str">
        <f>VLOOKUP(A1,Data!$A$1:$AFS$9,729,FALSE)</f>
        <v/>
      </c>
      <c r="O43" s="38" t="str">
        <f>VLOOKUP(A1,Data!$A$1:$AFS$9,730,FALSE)</f>
        <v/>
      </c>
      <c r="P43" s="38" t="str">
        <f>VLOOKUP(A1,Data!$A$1:$AFS$9,731,FALSE)</f>
        <v/>
      </c>
      <c r="Q43" s="41" t="str">
        <f>VLOOKUP(A1,Data!$A$1:$AFS$9,732,FALSE)</f>
        <v/>
      </c>
    </row>
    <row r="44">
      <c r="A44" s="30"/>
      <c r="B44" s="10"/>
      <c r="C44" s="10"/>
      <c r="D44" s="10"/>
      <c r="E44" s="10"/>
      <c r="F44" s="10"/>
      <c r="G44" s="14"/>
      <c r="H44" s="14"/>
      <c r="I44" s="14"/>
      <c r="J44" s="14"/>
      <c r="K44" s="14"/>
      <c r="L44" s="14"/>
      <c r="M44" s="38" t="str">
        <f>VLOOKUP(A1,Data!$A$1:$AFS$9,745,FALSE)</f>
        <v/>
      </c>
      <c r="N44" s="38" t="str">
        <f>VLOOKUP(A1,Data!$A$1:$AFS$9,746,FALSE)</f>
        <v/>
      </c>
      <c r="O44" s="38" t="str">
        <f>VLOOKUP(A1,Data!$A$1:$AFS$9,747,FALSE)</f>
        <v/>
      </c>
      <c r="P44" s="38" t="str">
        <f>VLOOKUP(A1,Data!$A$1:$AFS$9,748,FALSE)</f>
        <v/>
      </c>
      <c r="Q44" s="41" t="str">
        <f>VLOOKUP(A1,Data!$A$1:$AFS$9,749,FALSE)</f>
        <v/>
      </c>
    </row>
    <row r="45">
      <c r="A45" s="30"/>
      <c r="B45" s="10"/>
      <c r="C45" s="10"/>
      <c r="D45" s="10"/>
      <c r="E45" s="10"/>
      <c r="F45" s="10"/>
      <c r="G45" s="33"/>
      <c r="H45" s="18"/>
      <c r="I45" s="14"/>
      <c r="J45" s="33"/>
      <c r="K45" s="14" t="str">
        <f>N2</f>
        <v>#N/A</v>
      </c>
      <c r="L45" s="33"/>
      <c r="M45" s="38" t="str">
        <f>M2</f>
        <v>#N/A</v>
      </c>
      <c r="N45" s="38" t="str">
        <f>VLOOKUP(A1,Data!$A$1:$AFS$9,763,FALSE)</f>
        <v/>
      </c>
      <c r="O45" s="38" t="str">
        <f>VLOOKUP(A1,Data!$A$1:$AFS$9,764,FALSE)</f>
        <v/>
      </c>
      <c r="P45" s="38" t="str">
        <f>VLOOKUP(A1,Data!$A$1:$AFS$9,765,FALSE)</f>
        <v/>
      </c>
      <c r="Q45" s="41" t="str">
        <f>VLOOKUP(A1,Data!$A$1:$AFS$9,766,FALSE)</f>
        <v/>
      </c>
    </row>
    <row r="46">
      <c r="A46" s="31"/>
      <c r="B46" s="10"/>
      <c r="C46" s="10"/>
      <c r="D46" s="18"/>
      <c r="E46" s="32"/>
      <c r="F46" s="10"/>
      <c r="G46" s="14"/>
      <c r="H46" s="14"/>
      <c r="I46" s="14"/>
      <c r="J46" s="14"/>
      <c r="K46" s="14"/>
      <c r="L46" s="14"/>
      <c r="M46" s="38" t="str">
        <f>VLOOKUP(A1,Data!$A$1:$AFS$9,779,FALSE)</f>
        <v/>
      </c>
      <c r="N46" s="38" t="str">
        <f>VLOOKUP(A1,Data!$A$1:$AFS$9,780,FALSE)</f>
        <v/>
      </c>
      <c r="O46" s="38" t="str">
        <f>VLOOKUP(A1,Data!$A$1:$AFS$9,781,FALSE)</f>
        <v/>
      </c>
      <c r="P46" s="38" t="str">
        <f>VLOOKUP(A1,Data!$A$1:$AFS$9,782,FALSE)</f>
        <v/>
      </c>
      <c r="Q46" s="41" t="str">
        <f>VLOOKUP(A1,Data!$A$1:$AFS$9,783,FALSE)</f>
        <v/>
      </c>
    </row>
    <row r="47">
      <c r="A47" s="34"/>
      <c r="B47" s="10"/>
      <c r="C47" s="10"/>
      <c r="D47" s="10"/>
      <c r="E47" s="10"/>
      <c r="F47" s="10"/>
      <c r="G47" s="33"/>
      <c r="H47" s="18"/>
      <c r="I47" s="14"/>
      <c r="J47" s="33"/>
      <c r="K47" s="18"/>
      <c r="L47" s="14"/>
      <c r="M47" s="38" t="str">
        <f>VLOOKUP(A1,Data!$A$1:$AFS$9,796,FALSE)</f>
        <v/>
      </c>
      <c r="N47" s="38" t="str">
        <f>VLOOKUP(A1,Data!$A$1:$AFS$9,797,FALSE)</f>
        <v/>
      </c>
      <c r="O47" s="38" t="str">
        <f>VLOOKUP(A1,Data!$A$1:$AFS$9,798,FALSE)</f>
        <v/>
      </c>
      <c r="P47" s="38" t="str">
        <f>VLOOKUP(A1,Data!$A$1:$AFS$9,799,FALSE)</f>
        <v/>
      </c>
      <c r="Q47" s="41" t="str">
        <f>VLOOKUP(A1,Data!$A$1:$AFS$9,800,FALSE)</f>
        <v/>
      </c>
    </row>
    <row r="48">
      <c r="A48" s="35"/>
      <c r="B48" s="26"/>
      <c r="C48" s="26"/>
      <c r="D48" s="26"/>
      <c r="E48" s="26"/>
      <c r="F48" s="26"/>
      <c r="G48" s="36"/>
      <c r="H48" s="36"/>
      <c r="I48" s="36"/>
      <c r="J48" s="36"/>
      <c r="K48" s="36"/>
      <c r="L48" s="36"/>
      <c r="M48" s="42" t="str">
        <f>VLOOKUP(A1,Data!$A$1:$AFS$9,813,FALSE)</f>
        <v/>
      </c>
      <c r="N48" s="42" t="str">
        <f>VLOOKUP(A1,Data!$A$1:$AFS$9,814,FALSE)</f>
        <v/>
      </c>
      <c r="O48" s="42" t="str">
        <f>VLOOKUP(A1,Data!$A$1:$AFS$9,815,FALSE)</f>
        <v/>
      </c>
      <c r="P48" s="42" t="str">
        <f>VLOOKUP(A1,Data!$A$1:$AFS$9,816,FALSE)</f>
        <v/>
      </c>
      <c r="Q48" s="43" t="str">
        <f>VLOOKUP(A1,Data!$A$1:$AFS$9,817,FALSE)</f>
        <v/>
      </c>
    </row>
  </sheetData>
  <mergeCells count="50">
    <mergeCell ref="H6:J6"/>
    <mergeCell ref="H7:J7"/>
    <mergeCell ref="H9:L9"/>
    <mergeCell ref="H11:J11"/>
    <mergeCell ref="H12:J12"/>
    <mergeCell ref="B2:L2"/>
    <mergeCell ref="A3:B3"/>
    <mergeCell ref="H3:J3"/>
    <mergeCell ref="H4:K4"/>
    <mergeCell ref="H5:J5"/>
    <mergeCell ref="B6:D6"/>
    <mergeCell ref="B7:E7"/>
    <mergeCell ref="B8:D8"/>
    <mergeCell ref="B9:D9"/>
    <mergeCell ref="B10:D10"/>
    <mergeCell ref="B12:F12"/>
    <mergeCell ref="B14:D14"/>
    <mergeCell ref="G14:H14"/>
    <mergeCell ref="G15:K15"/>
    <mergeCell ref="B15:D15"/>
    <mergeCell ref="A17:B17"/>
    <mergeCell ref="H17:I17"/>
    <mergeCell ref="A18:E18"/>
    <mergeCell ref="G18:J18"/>
    <mergeCell ref="G19:I19"/>
    <mergeCell ref="B20:C20"/>
    <mergeCell ref="H26:J26"/>
    <mergeCell ref="H27:J27"/>
    <mergeCell ref="A21:D21"/>
    <mergeCell ref="A22:C22"/>
    <mergeCell ref="H23:K23"/>
    <mergeCell ref="H24:J24"/>
    <mergeCell ref="H25:J25"/>
    <mergeCell ref="B26:E26"/>
    <mergeCell ref="B27:E27"/>
    <mergeCell ref="B34:C34"/>
    <mergeCell ref="G34:H34"/>
    <mergeCell ref="B35:C35"/>
    <mergeCell ref="G35:L35"/>
    <mergeCell ref="A37:B37"/>
    <mergeCell ref="H37:I37"/>
    <mergeCell ref="A38:F38"/>
    <mergeCell ref="B40:C40"/>
    <mergeCell ref="B28:E28"/>
    <mergeCell ref="B29:E29"/>
    <mergeCell ref="H29:L29"/>
    <mergeCell ref="B30:E30"/>
    <mergeCell ref="H31:I31"/>
    <mergeCell ref="B32:F32"/>
    <mergeCell ref="H32:I32"/>
  </mergeCells>
  <dataValidations>
    <dataValidation type="list" allowBlank="1" showErrorMessage="1" sqref="B2">
      <formula1>Data!$A:$A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5" max="5" width="56.38"/>
    <col customWidth="1" min="6" max="6" width="14.88"/>
    <col hidden="1" min="11" max="11" width="12.63"/>
  </cols>
  <sheetData>
    <row r="1">
      <c r="A1" s="44" t="str">
        <f>HYPERLINK("https://workspace.google.com/marketplace/app/datamate/609263591431","Please review DataMate")</f>
        <v>Please review DataMate</v>
      </c>
    </row>
    <row r="2">
      <c r="A2" s="45" t="s">
        <v>45</v>
      </c>
    </row>
    <row r="3">
      <c r="A3" s="46" t="s">
        <v>46</v>
      </c>
      <c r="B3" s="47">
        <f>TODAY()</f>
        <v>45599</v>
      </c>
    </row>
    <row r="6">
      <c r="A6" s="46" t="s">
        <v>47</v>
      </c>
      <c r="E6" s="44" t="str">
        <f>HYPERLINK("https://workspace.google.com/marketplace/app/datamateapp/603766531216","DataMateApp")</f>
        <v>DataMateApp</v>
      </c>
    </row>
    <row r="7">
      <c r="A7" s="46" t="s">
        <v>48</v>
      </c>
      <c r="D7" s="44" t="str">
        <f>HYPERLINK("https://datamateapp.github.io/TEMPLATES.html","TEMPLATES")</f>
        <v>TEMPLATES</v>
      </c>
    </row>
    <row r="8">
      <c r="C8" s="46" t="s">
        <v>49</v>
      </c>
      <c r="D8" s="38">
        <f>SUM(D10:D1003)</f>
        <v>0</v>
      </c>
      <c r="E8" s="46" t="s">
        <v>50</v>
      </c>
      <c r="F8" s="38">
        <f>SUM(F10:F1003)</f>
        <v>0</v>
      </c>
      <c r="J8" s="46" t="s">
        <v>51</v>
      </c>
      <c r="K8" s="46" t="s">
        <v>51</v>
      </c>
      <c r="L8" s="38">
        <f>SUM(L10:L1003)</f>
        <v>0</v>
      </c>
    </row>
    <row r="9">
      <c r="A9" s="38" t="str">
        <f>Input!A1</f>
        <v>Invoice No.</v>
      </c>
      <c r="B9" s="38" t="str">
        <f>Input!B1</f>
        <v>Case No.:</v>
      </c>
      <c r="C9" s="38" t="str">
        <f>Input!C1</f>
        <v>Date of Job: </v>
      </c>
      <c r="D9" s="38" t="str">
        <f>Input!D1</f>
        <v>Mileage</v>
      </c>
      <c r="E9" s="38" t="str">
        <f>Input!E1</f>
        <v>In Re:</v>
      </c>
      <c r="F9" s="38" t="str">
        <f>Input!F1</f>
        <v>GRAND TOTAL:</v>
      </c>
      <c r="G9" s="38" t="str">
        <f>Input!G1</f>
        <v>BILL TO 1:</v>
      </c>
      <c r="H9" s="38" t="str">
        <f>Input!H1</f>
        <v>BILL TO 2:</v>
      </c>
      <c r="I9" s="38" t="str">
        <f>Input!I1</f>
        <v>BILL TO 3:</v>
      </c>
      <c r="J9" s="38" t="str">
        <f>Input!J1</f>
        <v>BILL TO 4:</v>
      </c>
      <c r="K9" s="38" t="str">
        <f>Input!K1</f>
        <v>Log 11</v>
      </c>
      <c r="L9" s="38" t="str">
        <f>Input!L1</f>
        <v>Expenses</v>
      </c>
      <c r="M9" s="38" t="str">
        <f>Input!M1</f>
        <v>PDF Link</v>
      </c>
      <c r="N9" s="38" t="str">
        <f>Input!N1</f>
        <v>Date Paid:</v>
      </c>
      <c r="O9" s="38" t="str">
        <f>Input!O1</f>
        <v>Update 3</v>
      </c>
    </row>
    <row r="10">
      <c r="A10" s="38" t="str">
        <f>Data!S2</f>
        <v/>
      </c>
      <c r="B10" s="38" t="str">
        <f>Data!T2</f>
        <v/>
      </c>
      <c r="C10" s="48" t="str">
        <f>Data!U2</f>
        <v/>
      </c>
      <c r="D10" s="38" t="str">
        <f>Data!V2</f>
        <v/>
      </c>
      <c r="E10" s="38" t="str">
        <f>Data!W2</f>
        <v/>
      </c>
      <c r="F10" s="38" t="str">
        <f>Data!X2</f>
        <v/>
      </c>
      <c r="G10" s="38" t="str">
        <f>Data!Y2</f>
        <v/>
      </c>
      <c r="H10" s="38" t="str">
        <f>Data!Z2</f>
        <v/>
      </c>
      <c r="I10" s="38" t="str">
        <f>Data!AA2</f>
        <v/>
      </c>
      <c r="J10" s="38" t="str">
        <f>Data!AB2</f>
        <v/>
      </c>
      <c r="K10" s="38" t="str">
        <f>Data!AC2</f>
        <v/>
      </c>
      <c r="L10" s="38" t="str">
        <f>Data!AD2</f>
        <v/>
      </c>
      <c r="M10" s="38" t="str">
        <f>Data!AE2</f>
        <v/>
      </c>
      <c r="N10" s="38" t="str">
        <f>Data!AF2</f>
        <v/>
      </c>
      <c r="O10" s="38" t="str">
        <f>Data!AG2</f>
        <v/>
      </c>
    </row>
    <row r="11">
      <c r="A11" s="38" t="str">
        <f>Data!S3</f>
        <v/>
      </c>
      <c r="B11" s="38" t="str">
        <f>Data!T3</f>
        <v/>
      </c>
      <c r="C11" s="48" t="str">
        <f>Data!U3</f>
        <v/>
      </c>
      <c r="D11" s="38" t="str">
        <f>Data!V3</f>
        <v/>
      </c>
      <c r="E11" s="38" t="str">
        <f>Data!W3</f>
        <v/>
      </c>
      <c r="F11" s="38" t="str">
        <f>Data!X3</f>
        <v/>
      </c>
      <c r="G11" s="38" t="str">
        <f>Data!Y3</f>
        <v/>
      </c>
      <c r="H11" s="38" t="str">
        <f>Data!Z3</f>
        <v/>
      </c>
      <c r="I11" s="38" t="str">
        <f>Data!AA3</f>
        <v/>
      </c>
      <c r="J11" s="38" t="str">
        <f>Data!AB3</f>
        <v/>
      </c>
      <c r="K11" s="38" t="str">
        <f>Data!AC3</f>
        <v/>
      </c>
      <c r="L11" s="38" t="str">
        <f>Data!AD3</f>
        <v/>
      </c>
      <c r="M11" s="38" t="str">
        <f>Data!AE3</f>
        <v/>
      </c>
      <c r="N11" s="38" t="str">
        <f>Data!AF3</f>
        <v/>
      </c>
      <c r="O11" s="38" t="str">
        <f>Data!AG3</f>
        <v/>
      </c>
    </row>
    <row r="12">
      <c r="A12" s="38" t="str">
        <f>Data!S4</f>
        <v/>
      </c>
      <c r="B12" s="38" t="str">
        <f>Data!T4</f>
        <v/>
      </c>
      <c r="C12" s="48" t="str">
        <f>Data!U4</f>
        <v/>
      </c>
      <c r="D12" s="38" t="str">
        <f>Data!V4</f>
        <v/>
      </c>
      <c r="E12" s="38" t="str">
        <f>Data!W4</f>
        <v/>
      </c>
      <c r="F12" s="38" t="str">
        <f>Data!X4</f>
        <v/>
      </c>
      <c r="G12" s="38" t="str">
        <f>Data!Y4</f>
        <v/>
      </c>
      <c r="H12" s="38" t="str">
        <f>Data!Z4</f>
        <v/>
      </c>
      <c r="I12" s="38" t="str">
        <f>Data!AA4</f>
        <v/>
      </c>
      <c r="J12" s="38" t="str">
        <f>Data!AB4</f>
        <v/>
      </c>
      <c r="K12" s="38" t="str">
        <f>Data!AC4</f>
        <v/>
      </c>
      <c r="L12" s="38" t="str">
        <f>Data!AD4</f>
        <v/>
      </c>
      <c r="M12" s="38" t="str">
        <f>Data!AE4</f>
        <v/>
      </c>
      <c r="N12" s="38" t="str">
        <f>Data!AF4</f>
        <v/>
      </c>
      <c r="O12" s="38" t="str">
        <f>Data!AG4</f>
        <v/>
      </c>
    </row>
  </sheetData>
  <autoFilter ref="$A$9:$O$98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9"/>
      <c r="B1" s="42" t="str">
        <f>View_Print!M1</f>
        <v>PDF Link</v>
      </c>
      <c r="C1" s="42" t="str">
        <f>View_Print!N1</f>
        <v>Date Paid:</v>
      </c>
      <c r="D1" s="42" t="str">
        <f>View_Print!O1</f>
        <v>Update 3</v>
      </c>
      <c r="E1" s="49" t="str">
        <f>Input!A1</f>
        <v>Invoice No.</v>
      </c>
      <c r="F1" s="49" t="str">
        <f>Input!B1</f>
        <v>Case No.:</v>
      </c>
      <c r="G1" s="49" t="str">
        <f>Input!C1</f>
        <v>Date of Job: </v>
      </c>
      <c r="H1" s="49" t="str">
        <f>Input!D1</f>
        <v>Mileage</v>
      </c>
      <c r="I1" s="49" t="str">
        <f>Input!E1</f>
        <v>In Re:</v>
      </c>
      <c r="J1" s="49" t="str">
        <f>Input!F1</f>
        <v>GRAND TOTAL:</v>
      </c>
      <c r="K1" s="49" t="str">
        <f>Input!G1</f>
        <v>BILL TO 1:</v>
      </c>
      <c r="L1" s="49" t="str">
        <f>Input!H1</f>
        <v>BILL TO 2:</v>
      </c>
      <c r="M1" s="50" t="str">
        <f>Input!I1</f>
        <v>BILL TO 3:</v>
      </c>
      <c r="N1" s="50" t="str">
        <f>Input!J1</f>
        <v>BILL TO 4:</v>
      </c>
      <c r="O1" s="50" t="str">
        <f>Input!K1</f>
        <v>Log 11</v>
      </c>
      <c r="P1" s="50" t="str">
        <f>Input!L1</f>
        <v>Expenses</v>
      </c>
      <c r="Q1" s="50"/>
    </row>
    <row r="2">
      <c r="A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</row>
    <row r="3">
      <c r="A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</row>
    <row r="4">
      <c r="A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</row>
    <row r="5">
      <c r="A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</row>
    <row r="6">
      <c r="A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</row>
    <row r="7">
      <c r="A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</row>
    <row r="8">
      <c r="A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</row>
    <row r="9">
      <c r="A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</row>
    <row r="10">
      <c r="A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</row>
    <row r="11">
      <c r="A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</row>
    <row r="12">
      <c r="A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</row>
    <row r="13">
      <c r="A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</row>
    <row r="14">
      <c r="A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</row>
    <row r="15">
      <c r="A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</row>
    <row r="16">
      <c r="A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</row>
    <row r="17">
      <c r="A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</row>
    <row r="18">
      <c r="A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</row>
    <row r="19">
      <c r="A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</row>
    <row r="20">
      <c r="A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</row>
    <row r="21">
      <c r="A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</row>
    <row r="22">
      <c r="A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</row>
    <row r="23">
      <c r="A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</row>
    <row r="24">
      <c r="A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</row>
    <row r="25">
      <c r="A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</row>
    <row r="26">
      <c r="A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</row>
    <row r="27">
      <c r="A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</row>
    <row r="28">
      <c r="A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</row>
    <row r="29">
      <c r="A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</row>
    <row r="30">
      <c r="A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</row>
    <row r="31">
      <c r="A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</row>
    <row r="32">
      <c r="A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</row>
    <row r="33">
      <c r="A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</row>
    <row r="34">
      <c r="A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</row>
    <row r="35">
      <c r="A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</row>
    <row r="36">
      <c r="A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</row>
    <row r="37">
      <c r="A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</row>
    <row r="38">
      <c r="A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</row>
    <row r="39">
      <c r="A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</row>
    <row r="40">
      <c r="A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</row>
    <row r="41">
      <c r="A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</row>
    <row r="42">
      <c r="A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</row>
    <row r="43">
      <c r="A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</row>
    <row r="44">
      <c r="A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</row>
    <row r="45">
      <c r="A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</row>
    <row r="46">
      <c r="A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</row>
    <row r="47">
      <c r="A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</row>
    <row r="48">
      <c r="A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</row>
    <row r="49">
      <c r="A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</row>
    <row r="50">
      <c r="A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</row>
    <row r="51">
      <c r="A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</row>
    <row r="52">
      <c r="A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</row>
    <row r="53">
      <c r="A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</row>
    <row r="54">
      <c r="A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</row>
    <row r="55">
      <c r="A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</row>
    <row r="56">
      <c r="A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</row>
    <row r="57">
      <c r="A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</row>
    <row r="58">
      <c r="A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</row>
    <row r="59">
      <c r="A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</row>
    <row r="60">
      <c r="A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</row>
    <row r="61">
      <c r="A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</row>
    <row r="62">
      <c r="A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</row>
    <row r="63">
      <c r="A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</row>
    <row r="64">
      <c r="A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</row>
    <row r="65">
      <c r="A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</row>
    <row r="66">
      <c r="A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</row>
    <row r="67">
      <c r="A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</row>
    <row r="68">
      <c r="A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</row>
    <row r="69">
      <c r="A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</row>
    <row r="70">
      <c r="A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</row>
    <row r="71">
      <c r="A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</row>
    <row r="72">
      <c r="A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</row>
    <row r="73">
      <c r="A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</row>
    <row r="74">
      <c r="A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</row>
    <row r="75">
      <c r="A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</row>
    <row r="76">
      <c r="A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</row>
    <row r="77">
      <c r="A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</row>
    <row r="78">
      <c r="A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</row>
    <row r="79">
      <c r="A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</row>
    <row r="80">
      <c r="A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</row>
    <row r="81">
      <c r="A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</row>
    <row r="82">
      <c r="A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</row>
    <row r="83">
      <c r="A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</row>
    <row r="84">
      <c r="A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</row>
    <row r="85">
      <c r="A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</row>
    <row r="86">
      <c r="A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</row>
    <row r="87">
      <c r="A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</row>
    <row r="88">
      <c r="A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</row>
    <row r="89">
      <c r="A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</row>
    <row r="90">
      <c r="A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</row>
    <row r="91">
      <c r="A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</row>
    <row r="92">
      <c r="A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</row>
    <row r="93">
      <c r="A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</row>
    <row r="94">
      <c r="A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</row>
    <row r="95">
      <c r="A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</row>
    <row r="96">
      <c r="A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</row>
    <row r="97">
      <c r="A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</row>
    <row r="98">
      <c r="A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</row>
    <row r="99">
      <c r="A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</row>
    <row r="100">
      <c r="A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</row>
    <row r="101">
      <c r="A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</row>
    <row r="102">
      <c r="A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</row>
    <row r="103">
      <c r="A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</row>
    <row r="104">
      <c r="A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</row>
    <row r="105">
      <c r="A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</row>
    <row r="106">
      <c r="A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</row>
    <row r="107">
      <c r="A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</row>
    <row r="108">
      <c r="A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</row>
    <row r="109">
      <c r="A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</row>
    <row r="110">
      <c r="A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</row>
    <row r="111">
      <c r="A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</row>
    <row r="112">
      <c r="A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</row>
    <row r="113">
      <c r="A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</row>
    <row r="114">
      <c r="A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</row>
    <row r="115">
      <c r="A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</row>
    <row r="116">
      <c r="A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</row>
    <row r="117">
      <c r="A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</row>
    <row r="118">
      <c r="A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</row>
    <row r="119">
      <c r="A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</row>
    <row r="120">
      <c r="A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</row>
    <row r="121">
      <c r="A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</row>
    <row r="122">
      <c r="A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</row>
    <row r="123">
      <c r="A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</row>
    <row r="124">
      <c r="A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</row>
    <row r="125">
      <c r="A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</row>
    <row r="126">
      <c r="A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</row>
    <row r="127">
      <c r="A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</row>
    <row r="128">
      <c r="A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</row>
    <row r="129">
      <c r="A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</row>
    <row r="130">
      <c r="A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</row>
    <row r="131">
      <c r="A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</row>
    <row r="132">
      <c r="A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</row>
    <row r="133">
      <c r="A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</row>
    <row r="134">
      <c r="A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</row>
    <row r="135">
      <c r="A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</row>
    <row r="136">
      <c r="A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</row>
    <row r="137">
      <c r="A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</row>
    <row r="138">
      <c r="A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</row>
    <row r="139">
      <c r="A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</row>
    <row r="140">
      <c r="A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</row>
    <row r="141">
      <c r="A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</row>
    <row r="142">
      <c r="A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</row>
    <row r="143">
      <c r="A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</row>
    <row r="144">
      <c r="A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</row>
    <row r="145">
      <c r="A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</row>
    <row r="146">
      <c r="A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</row>
    <row r="147">
      <c r="A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</row>
    <row r="148">
      <c r="A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</row>
    <row r="149">
      <c r="A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</row>
    <row r="150">
      <c r="A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</row>
    <row r="151">
      <c r="A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</row>
    <row r="152">
      <c r="A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</row>
    <row r="153">
      <c r="A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</row>
    <row r="154">
      <c r="A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</row>
    <row r="155">
      <c r="A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</row>
    <row r="156">
      <c r="A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</row>
    <row r="157">
      <c r="A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</row>
    <row r="158">
      <c r="A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</row>
    <row r="159">
      <c r="A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</row>
    <row r="160">
      <c r="A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</row>
    <row r="161">
      <c r="A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</row>
    <row r="162">
      <c r="A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</row>
    <row r="163">
      <c r="A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</row>
    <row r="164">
      <c r="A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</row>
    <row r="165">
      <c r="A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</row>
    <row r="166">
      <c r="A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</row>
    <row r="167">
      <c r="A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</row>
    <row r="168">
      <c r="A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</row>
    <row r="169">
      <c r="A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</row>
    <row r="170">
      <c r="A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</row>
    <row r="171">
      <c r="A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</row>
    <row r="172">
      <c r="A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</row>
    <row r="173">
      <c r="A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</row>
    <row r="174">
      <c r="A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</row>
    <row r="175">
      <c r="A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</row>
    <row r="176">
      <c r="A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</row>
    <row r="177">
      <c r="A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</row>
    <row r="178">
      <c r="A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</row>
    <row r="179">
      <c r="A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</row>
    <row r="180">
      <c r="A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</row>
    <row r="181">
      <c r="A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</row>
    <row r="182">
      <c r="A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</row>
    <row r="183">
      <c r="A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</row>
    <row r="184">
      <c r="A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</row>
    <row r="185">
      <c r="A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</row>
    <row r="186">
      <c r="A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</row>
    <row r="187">
      <c r="A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</row>
    <row r="188">
      <c r="A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</row>
    <row r="189">
      <c r="A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</row>
    <row r="190">
      <c r="A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</row>
    <row r="191">
      <c r="A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</row>
    <row r="192">
      <c r="A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</row>
    <row r="193">
      <c r="A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</row>
    <row r="194">
      <c r="A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</row>
    <row r="195">
      <c r="A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</row>
    <row r="196">
      <c r="A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</row>
    <row r="197">
      <c r="A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</row>
    <row r="198">
      <c r="A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</row>
    <row r="199">
      <c r="A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</row>
    <row r="200">
      <c r="A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</row>
    <row r="201">
      <c r="A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</row>
    <row r="202">
      <c r="A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</row>
    <row r="203">
      <c r="A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</row>
    <row r="204">
      <c r="A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</row>
    <row r="205">
      <c r="A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</row>
    <row r="206">
      <c r="A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</row>
    <row r="207">
      <c r="A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</row>
    <row r="208">
      <c r="A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</row>
    <row r="209">
      <c r="A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</row>
    <row r="210">
      <c r="A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</row>
    <row r="211">
      <c r="A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</row>
    <row r="212">
      <c r="A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</row>
    <row r="213">
      <c r="A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</row>
    <row r="214">
      <c r="A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</row>
    <row r="215">
      <c r="A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</row>
    <row r="216">
      <c r="A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</row>
    <row r="217">
      <c r="A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</row>
    <row r="218">
      <c r="A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</row>
    <row r="219">
      <c r="A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</row>
    <row r="220">
      <c r="A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</row>
    <row r="221">
      <c r="A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</row>
    <row r="222">
      <c r="A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</row>
    <row r="223">
      <c r="A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</row>
    <row r="224">
      <c r="A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</row>
    <row r="225">
      <c r="A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</row>
    <row r="226">
      <c r="A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</row>
    <row r="227">
      <c r="A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</row>
    <row r="228">
      <c r="A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</row>
    <row r="229">
      <c r="A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</row>
    <row r="230">
      <c r="A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</row>
    <row r="231">
      <c r="A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</row>
    <row r="232">
      <c r="A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</row>
    <row r="233">
      <c r="A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</row>
    <row r="234">
      <c r="A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</row>
    <row r="235">
      <c r="A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</row>
    <row r="236">
      <c r="A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</row>
    <row r="237">
      <c r="A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</row>
    <row r="238">
      <c r="A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</row>
    <row r="239">
      <c r="A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</row>
    <row r="240">
      <c r="A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</row>
    <row r="241">
      <c r="A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</row>
    <row r="242">
      <c r="A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</row>
    <row r="243">
      <c r="A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</row>
    <row r="244">
      <c r="A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</row>
    <row r="245">
      <c r="A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</row>
    <row r="246">
      <c r="A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</row>
    <row r="247">
      <c r="A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</row>
    <row r="248">
      <c r="A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</row>
    <row r="249">
      <c r="A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</row>
    <row r="250">
      <c r="A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</row>
    <row r="251">
      <c r="A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</row>
    <row r="252">
      <c r="A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</row>
    <row r="253">
      <c r="A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</row>
    <row r="254">
      <c r="A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</row>
    <row r="255">
      <c r="A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</row>
    <row r="256">
      <c r="A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</row>
    <row r="257">
      <c r="A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</row>
    <row r="258">
      <c r="A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</row>
    <row r="259">
      <c r="A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</row>
    <row r="260">
      <c r="A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</row>
    <row r="261">
      <c r="A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</row>
    <row r="262">
      <c r="A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</row>
    <row r="263">
      <c r="A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</row>
    <row r="264">
      <c r="A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</row>
    <row r="265">
      <c r="A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</row>
    <row r="266">
      <c r="A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</row>
    <row r="267">
      <c r="A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</row>
    <row r="268">
      <c r="A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</row>
    <row r="269">
      <c r="A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</row>
    <row r="270">
      <c r="A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</row>
    <row r="271">
      <c r="A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</row>
    <row r="272">
      <c r="A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</row>
    <row r="273">
      <c r="A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</row>
    <row r="274">
      <c r="A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</row>
    <row r="275">
      <c r="A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</row>
    <row r="276">
      <c r="A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</row>
    <row r="277">
      <c r="A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</row>
    <row r="278">
      <c r="A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</row>
    <row r="279">
      <c r="A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</row>
    <row r="280">
      <c r="A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</row>
    <row r="281">
      <c r="A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</row>
    <row r="282">
      <c r="A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</row>
    <row r="283">
      <c r="A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</row>
    <row r="284">
      <c r="A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</row>
    <row r="285">
      <c r="A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</row>
    <row r="286">
      <c r="A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</row>
    <row r="287">
      <c r="A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</row>
    <row r="288">
      <c r="A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</row>
    <row r="289">
      <c r="A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</row>
    <row r="290">
      <c r="A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</row>
    <row r="291">
      <c r="A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</row>
    <row r="292">
      <c r="A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</row>
    <row r="293">
      <c r="A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</row>
    <row r="294">
      <c r="A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</row>
    <row r="295">
      <c r="A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</row>
    <row r="296">
      <c r="A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</row>
    <row r="297">
      <c r="A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</row>
    <row r="298">
      <c r="A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</row>
    <row r="299">
      <c r="A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</row>
    <row r="300">
      <c r="A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</row>
    <row r="301">
      <c r="A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</row>
    <row r="302">
      <c r="A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</row>
    <row r="303">
      <c r="A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</row>
    <row r="304">
      <c r="A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</row>
    <row r="305">
      <c r="A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</row>
    <row r="306">
      <c r="A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</row>
    <row r="307">
      <c r="A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</row>
    <row r="308">
      <c r="A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</row>
    <row r="309">
      <c r="A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</row>
    <row r="310">
      <c r="A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</row>
    <row r="311">
      <c r="A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</row>
    <row r="312">
      <c r="A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</row>
    <row r="313">
      <c r="A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</row>
    <row r="314">
      <c r="A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</row>
    <row r="315">
      <c r="A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</row>
    <row r="316">
      <c r="A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</row>
    <row r="317">
      <c r="A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</row>
    <row r="318">
      <c r="A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</row>
    <row r="319">
      <c r="A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</row>
    <row r="320">
      <c r="A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</row>
    <row r="321">
      <c r="A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</row>
    <row r="322">
      <c r="A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</row>
    <row r="323">
      <c r="A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</row>
    <row r="324">
      <c r="A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</row>
    <row r="325">
      <c r="A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</row>
    <row r="326">
      <c r="A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</row>
    <row r="327">
      <c r="A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</row>
    <row r="328">
      <c r="A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</row>
    <row r="329">
      <c r="A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</row>
    <row r="330">
      <c r="A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</row>
    <row r="331">
      <c r="A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</row>
    <row r="332">
      <c r="A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</row>
    <row r="333">
      <c r="A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</row>
    <row r="334">
      <c r="A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</row>
    <row r="335">
      <c r="A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</row>
    <row r="336">
      <c r="A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</row>
    <row r="337">
      <c r="A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</row>
    <row r="338">
      <c r="A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</row>
    <row r="339">
      <c r="A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</row>
    <row r="340">
      <c r="A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</row>
    <row r="341">
      <c r="A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</row>
    <row r="342">
      <c r="A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</row>
    <row r="343">
      <c r="A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</row>
    <row r="344">
      <c r="A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</row>
    <row r="345">
      <c r="A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</row>
    <row r="346">
      <c r="A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</row>
    <row r="347">
      <c r="A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</row>
    <row r="348">
      <c r="A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</row>
    <row r="349">
      <c r="A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</row>
    <row r="350">
      <c r="A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</row>
    <row r="351">
      <c r="A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</row>
    <row r="352">
      <c r="A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</row>
    <row r="353">
      <c r="A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</row>
    <row r="354">
      <c r="A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</row>
    <row r="355">
      <c r="A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</row>
    <row r="356">
      <c r="A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</row>
    <row r="357">
      <c r="A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</row>
    <row r="358">
      <c r="A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</row>
    <row r="359">
      <c r="A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</row>
    <row r="360">
      <c r="A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</row>
    <row r="361">
      <c r="A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</row>
    <row r="362">
      <c r="A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</row>
    <row r="363">
      <c r="A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</row>
    <row r="364">
      <c r="A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</row>
    <row r="365">
      <c r="A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</row>
    <row r="366">
      <c r="A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</row>
    <row r="367">
      <c r="A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</row>
    <row r="368">
      <c r="A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</row>
    <row r="369">
      <c r="A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</row>
    <row r="370">
      <c r="A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</row>
    <row r="371">
      <c r="A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</row>
    <row r="372">
      <c r="A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</row>
    <row r="373">
      <c r="A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</row>
    <row r="374">
      <c r="A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</row>
    <row r="375">
      <c r="A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</row>
    <row r="376">
      <c r="A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</row>
    <row r="377">
      <c r="A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</row>
    <row r="378">
      <c r="A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</row>
    <row r="379">
      <c r="A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</row>
    <row r="380">
      <c r="A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</row>
    <row r="381">
      <c r="A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</row>
    <row r="382">
      <c r="A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</row>
    <row r="383">
      <c r="A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</row>
    <row r="384">
      <c r="A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</row>
    <row r="385">
      <c r="A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</row>
    <row r="386">
      <c r="A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</row>
    <row r="387">
      <c r="A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</row>
    <row r="388">
      <c r="A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</row>
    <row r="389">
      <c r="A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</row>
    <row r="390">
      <c r="A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</row>
    <row r="391">
      <c r="A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</row>
    <row r="392">
      <c r="A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</row>
    <row r="393">
      <c r="A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</row>
    <row r="394">
      <c r="A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</row>
    <row r="395">
      <c r="A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</row>
    <row r="396">
      <c r="A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</row>
    <row r="397">
      <c r="A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</row>
    <row r="398">
      <c r="A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</row>
    <row r="399">
      <c r="A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</row>
    <row r="400">
      <c r="A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</row>
    <row r="401">
      <c r="A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</row>
    <row r="402">
      <c r="A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</row>
    <row r="403">
      <c r="A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</row>
    <row r="404">
      <c r="A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</row>
    <row r="405">
      <c r="A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</row>
    <row r="406">
      <c r="A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</row>
    <row r="407">
      <c r="A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</row>
    <row r="408">
      <c r="A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</row>
    <row r="409">
      <c r="A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</row>
    <row r="410">
      <c r="A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</row>
    <row r="411">
      <c r="A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</row>
    <row r="412">
      <c r="A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</row>
    <row r="413">
      <c r="A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</row>
    <row r="414">
      <c r="A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</row>
    <row r="415">
      <c r="A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</row>
    <row r="416">
      <c r="A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</row>
    <row r="417">
      <c r="A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</row>
    <row r="418">
      <c r="A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</row>
    <row r="419">
      <c r="A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</row>
    <row r="420">
      <c r="A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</row>
    <row r="421">
      <c r="A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</row>
    <row r="422">
      <c r="A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</row>
    <row r="423">
      <c r="A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</row>
    <row r="424">
      <c r="A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</row>
    <row r="425">
      <c r="A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</row>
    <row r="426">
      <c r="A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</row>
    <row r="427">
      <c r="A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</row>
    <row r="428">
      <c r="A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</row>
    <row r="429">
      <c r="A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</row>
    <row r="430">
      <c r="A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</row>
    <row r="431">
      <c r="A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</row>
    <row r="432">
      <c r="A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</row>
    <row r="433">
      <c r="A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</row>
    <row r="434">
      <c r="A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</row>
    <row r="435">
      <c r="A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</row>
    <row r="436">
      <c r="A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</row>
    <row r="437">
      <c r="A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</row>
    <row r="438">
      <c r="A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</row>
    <row r="439">
      <c r="A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</row>
    <row r="440">
      <c r="A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</row>
    <row r="441">
      <c r="A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</row>
    <row r="442">
      <c r="A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</row>
    <row r="443">
      <c r="A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</row>
    <row r="444">
      <c r="A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</row>
    <row r="445">
      <c r="A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</row>
    <row r="446">
      <c r="A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</row>
    <row r="447">
      <c r="A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</row>
    <row r="448">
      <c r="A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</row>
    <row r="449">
      <c r="A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</row>
    <row r="450">
      <c r="A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</row>
    <row r="451">
      <c r="A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</row>
    <row r="452">
      <c r="A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</row>
    <row r="453">
      <c r="A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</row>
    <row r="454">
      <c r="A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</row>
    <row r="455">
      <c r="A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</row>
    <row r="456">
      <c r="A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</row>
    <row r="457">
      <c r="A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</row>
    <row r="458">
      <c r="A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</row>
    <row r="459">
      <c r="A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</row>
    <row r="460">
      <c r="A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</row>
    <row r="461">
      <c r="A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</row>
    <row r="462">
      <c r="A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</row>
    <row r="463">
      <c r="A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</row>
    <row r="464">
      <c r="A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</row>
    <row r="465">
      <c r="A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</row>
    <row r="466">
      <c r="A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</row>
    <row r="467">
      <c r="A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</row>
    <row r="468">
      <c r="A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</row>
    <row r="469">
      <c r="A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</row>
    <row r="470">
      <c r="A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</row>
    <row r="471">
      <c r="A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</row>
    <row r="472">
      <c r="A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</row>
    <row r="473">
      <c r="A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</row>
    <row r="474">
      <c r="A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</row>
    <row r="475">
      <c r="A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</row>
    <row r="476">
      <c r="A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</row>
    <row r="477">
      <c r="A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</row>
    <row r="478">
      <c r="A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</row>
    <row r="479">
      <c r="A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</row>
    <row r="480">
      <c r="A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</row>
    <row r="481">
      <c r="A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</row>
    <row r="482">
      <c r="A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</row>
    <row r="483">
      <c r="A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</row>
    <row r="484">
      <c r="A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</row>
    <row r="485">
      <c r="A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</row>
    <row r="486">
      <c r="A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</row>
    <row r="487">
      <c r="A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</row>
    <row r="488">
      <c r="A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</row>
    <row r="489">
      <c r="A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</row>
    <row r="490">
      <c r="A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</row>
    <row r="491">
      <c r="A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</row>
    <row r="492">
      <c r="A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</row>
    <row r="493">
      <c r="A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</row>
    <row r="494">
      <c r="A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</row>
    <row r="495">
      <c r="A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</row>
    <row r="496">
      <c r="A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</row>
    <row r="497">
      <c r="A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</row>
    <row r="498">
      <c r="A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</row>
    <row r="499">
      <c r="A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</row>
    <row r="500">
      <c r="A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</row>
    <row r="501">
      <c r="A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</row>
    <row r="502">
      <c r="A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</row>
    <row r="503">
      <c r="A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</row>
    <row r="504">
      <c r="A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</row>
    <row r="505">
      <c r="A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</row>
    <row r="506">
      <c r="A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</row>
    <row r="507">
      <c r="A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</row>
    <row r="508">
      <c r="A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</row>
    <row r="509">
      <c r="A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</row>
    <row r="510">
      <c r="A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</row>
    <row r="511">
      <c r="A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</row>
    <row r="512">
      <c r="A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</row>
    <row r="513">
      <c r="A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</row>
    <row r="514">
      <c r="A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</row>
    <row r="515">
      <c r="A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</row>
    <row r="516">
      <c r="A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</row>
    <row r="517">
      <c r="A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</row>
    <row r="518">
      <c r="A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</row>
    <row r="519">
      <c r="A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</row>
    <row r="520">
      <c r="A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</row>
    <row r="521">
      <c r="A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</row>
    <row r="522">
      <c r="A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</row>
    <row r="523">
      <c r="A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</row>
    <row r="524">
      <c r="A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</row>
    <row r="525">
      <c r="A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</row>
    <row r="526">
      <c r="A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</row>
    <row r="527">
      <c r="A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</row>
    <row r="528">
      <c r="A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</row>
    <row r="529">
      <c r="A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</row>
    <row r="530">
      <c r="A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</row>
    <row r="531">
      <c r="A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</row>
    <row r="532">
      <c r="A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</row>
    <row r="533">
      <c r="A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</row>
    <row r="534">
      <c r="A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</row>
    <row r="535">
      <c r="A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</row>
    <row r="536">
      <c r="A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</row>
    <row r="537">
      <c r="A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</row>
    <row r="538">
      <c r="A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</row>
    <row r="539">
      <c r="A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</row>
    <row r="540">
      <c r="A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</row>
    <row r="541">
      <c r="A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</row>
    <row r="542">
      <c r="A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</row>
    <row r="543">
      <c r="A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</row>
    <row r="544">
      <c r="A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</row>
    <row r="545">
      <c r="A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</row>
    <row r="546">
      <c r="A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</row>
    <row r="547">
      <c r="A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</row>
    <row r="548">
      <c r="A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</row>
    <row r="549">
      <c r="A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</row>
    <row r="550">
      <c r="A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</row>
    <row r="551">
      <c r="A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</row>
    <row r="552">
      <c r="A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</row>
    <row r="553">
      <c r="A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</row>
    <row r="554">
      <c r="A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</row>
    <row r="555">
      <c r="A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</row>
    <row r="556">
      <c r="A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</row>
    <row r="557">
      <c r="A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</row>
    <row r="558">
      <c r="A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</row>
    <row r="559">
      <c r="A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</row>
    <row r="560">
      <c r="A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</row>
    <row r="561">
      <c r="A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</row>
    <row r="562">
      <c r="A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</row>
    <row r="563">
      <c r="A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</row>
    <row r="564">
      <c r="A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</row>
    <row r="565">
      <c r="A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</row>
    <row r="566">
      <c r="A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</row>
    <row r="567">
      <c r="A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</row>
    <row r="568">
      <c r="A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</row>
    <row r="569">
      <c r="A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</row>
    <row r="570">
      <c r="A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</row>
    <row r="571">
      <c r="A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</row>
    <row r="572">
      <c r="A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</row>
    <row r="573">
      <c r="A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</row>
    <row r="574">
      <c r="A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</row>
    <row r="575">
      <c r="A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</row>
    <row r="576">
      <c r="A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</row>
    <row r="577">
      <c r="A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</row>
    <row r="578">
      <c r="A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</row>
    <row r="579">
      <c r="A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</row>
    <row r="580">
      <c r="A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</row>
    <row r="581">
      <c r="A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</row>
    <row r="582">
      <c r="A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</row>
    <row r="583">
      <c r="A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</row>
    <row r="584">
      <c r="A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</row>
    <row r="585">
      <c r="A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</row>
    <row r="586">
      <c r="A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</row>
    <row r="587">
      <c r="A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</row>
    <row r="588">
      <c r="A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</row>
    <row r="589">
      <c r="A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</row>
    <row r="590">
      <c r="A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</row>
    <row r="591">
      <c r="A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</row>
    <row r="592">
      <c r="A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</row>
    <row r="593">
      <c r="A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</row>
    <row r="594">
      <c r="A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</row>
    <row r="595">
      <c r="A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</row>
    <row r="596">
      <c r="A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</row>
    <row r="597">
      <c r="A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</row>
    <row r="598">
      <c r="A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</row>
    <row r="599">
      <c r="A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</row>
    <row r="600">
      <c r="A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</row>
    <row r="601">
      <c r="A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</row>
    <row r="602">
      <c r="A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</row>
    <row r="603">
      <c r="A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</row>
    <row r="604">
      <c r="A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</row>
    <row r="605">
      <c r="A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</row>
    <row r="606">
      <c r="A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</row>
    <row r="607">
      <c r="A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</row>
    <row r="608">
      <c r="A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</row>
    <row r="609">
      <c r="A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</row>
    <row r="610">
      <c r="A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</row>
    <row r="611">
      <c r="A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</row>
    <row r="612">
      <c r="A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</row>
    <row r="613">
      <c r="A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</row>
    <row r="614">
      <c r="A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</row>
    <row r="615">
      <c r="A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</row>
    <row r="616">
      <c r="A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</row>
    <row r="617">
      <c r="A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</row>
    <row r="618">
      <c r="A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</row>
    <row r="619">
      <c r="A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</row>
    <row r="620">
      <c r="A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</row>
    <row r="621">
      <c r="A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</row>
    <row r="622">
      <c r="A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</row>
    <row r="623">
      <c r="A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</row>
    <row r="624">
      <c r="A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</row>
    <row r="625">
      <c r="A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</row>
    <row r="626">
      <c r="A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</row>
    <row r="627">
      <c r="A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</row>
    <row r="628">
      <c r="A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</row>
    <row r="629">
      <c r="A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</row>
    <row r="630">
      <c r="A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</row>
    <row r="631">
      <c r="A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</row>
    <row r="632">
      <c r="A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</row>
    <row r="633">
      <c r="A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</row>
    <row r="634">
      <c r="A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</row>
    <row r="635">
      <c r="A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</row>
    <row r="636">
      <c r="A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</row>
    <row r="637">
      <c r="A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</row>
    <row r="638">
      <c r="A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</row>
    <row r="639">
      <c r="A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</row>
    <row r="640">
      <c r="A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</row>
    <row r="641">
      <c r="A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</row>
    <row r="642">
      <c r="A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</row>
    <row r="643">
      <c r="A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</row>
    <row r="644">
      <c r="A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</row>
    <row r="645">
      <c r="A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</row>
    <row r="646">
      <c r="A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</row>
    <row r="647">
      <c r="A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</row>
    <row r="648">
      <c r="A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</row>
    <row r="649">
      <c r="A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</row>
    <row r="650">
      <c r="A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</row>
    <row r="651">
      <c r="A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</row>
    <row r="652">
      <c r="A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</row>
    <row r="653">
      <c r="A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</row>
    <row r="654">
      <c r="A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</row>
    <row r="655">
      <c r="A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</row>
    <row r="656">
      <c r="A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</row>
    <row r="657">
      <c r="A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</row>
    <row r="658">
      <c r="A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</row>
    <row r="659">
      <c r="A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</row>
    <row r="660">
      <c r="A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</row>
    <row r="661">
      <c r="A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</row>
    <row r="662">
      <c r="A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</row>
    <row r="663">
      <c r="A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</row>
    <row r="664">
      <c r="A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</row>
    <row r="665">
      <c r="A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</row>
    <row r="666">
      <c r="A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</row>
    <row r="667">
      <c r="A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</row>
    <row r="668">
      <c r="A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</row>
    <row r="669">
      <c r="A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</row>
    <row r="670">
      <c r="A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</row>
    <row r="671">
      <c r="A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</row>
    <row r="672">
      <c r="A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</row>
    <row r="673">
      <c r="A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</row>
    <row r="674">
      <c r="A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</row>
    <row r="675">
      <c r="A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</row>
    <row r="676">
      <c r="A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</row>
    <row r="677">
      <c r="A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</row>
    <row r="678">
      <c r="A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</row>
    <row r="679">
      <c r="A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</row>
    <row r="680">
      <c r="A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</row>
    <row r="681">
      <c r="A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</row>
    <row r="682">
      <c r="A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</row>
    <row r="683">
      <c r="A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</row>
    <row r="684">
      <c r="A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</row>
    <row r="685">
      <c r="A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</row>
    <row r="686">
      <c r="A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</row>
    <row r="687">
      <c r="A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</row>
    <row r="688">
      <c r="A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</row>
    <row r="689">
      <c r="A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</row>
    <row r="690">
      <c r="A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</row>
    <row r="691">
      <c r="A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</row>
    <row r="692">
      <c r="A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</row>
    <row r="693">
      <c r="A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</row>
    <row r="694">
      <c r="A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</row>
    <row r="695">
      <c r="A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</row>
    <row r="696">
      <c r="A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</row>
    <row r="697">
      <c r="A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</row>
    <row r="698">
      <c r="A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</row>
    <row r="699">
      <c r="A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</row>
    <row r="700">
      <c r="A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</row>
    <row r="701">
      <c r="A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</row>
    <row r="702">
      <c r="A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</row>
    <row r="703">
      <c r="A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</row>
    <row r="704">
      <c r="A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</row>
    <row r="705">
      <c r="A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</row>
    <row r="706">
      <c r="A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</row>
    <row r="707">
      <c r="A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</row>
    <row r="708">
      <c r="A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</row>
    <row r="709">
      <c r="A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</row>
    <row r="710">
      <c r="A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</row>
    <row r="711">
      <c r="A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</row>
    <row r="712">
      <c r="A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</row>
    <row r="713">
      <c r="A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</row>
    <row r="714">
      <c r="A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</row>
    <row r="715">
      <c r="A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</row>
    <row r="716">
      <c r="A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</row>
    <row r="717">
      <c r="A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</row>
    <row r="718">
      <c r="A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</row>
    <row r="719">
      <c r="A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</row>
    <row r="720">
      <c r="A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</row>
    <row r="721">
      <c r="A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</row>
    <row r="722">
      <c r="A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</row>
    <row r="723">
      <c r="A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</row>
    <row r="724">
      <c r="A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</row>
    <row r="725">
      <c r="A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</row>
    <row r="726">
      <c r="A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</row>
    <row r="727">
      <c r="A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</row>
    <row r="728">
      <c r="A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</row>
    <row r="729">
      <c r="A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</row>
    <row r="730">
      <c r="A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</row>
    <row r="731">
      <c r="A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</row>
    <row r="732">
      <c r="A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</row>
    <row r="733">
      <c r="A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</row>
    <row r="734">
      <c r="A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</row>
    <row r="735">
      <c r="A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</row>
    <row r="736">
      <c r="A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</row>
    <row r="737">
      <c r="A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</row>
    <row r="738">
      <c r="A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</row>
    <row r="739">
      <c r="A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</row>
    <row r="740">
      <c r="A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</row>
    <row r="741">
      <c r="A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</row>
    <row r="742">
      <c r="A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</row>
    <row r="743">
      <c r="A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</row>
    <row r="744">
      <c r="A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</row>
    <row r="745">
      <c r="A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</row>
    <row r="746">
      <c r="A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</row>
    <row r="747">
      <c r="A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</row>
    <row r="748">
      <c r="A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</row>
    <row r="749">
      <c r="A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</row>
    <row r="750">
      <c r="A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</row>
    <row r="751">
      <c r="A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</row>
    <row r="752">
      <c r="A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</row>
    <row r="753">
      <c r="A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</row>
    <row r="754">
      <c r="A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</row>
    <row r="755">
      <c r="A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</row>
    <row r="756">
      <c r="A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</row>
    <row r="757">
      <c r="A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</row>
    <row r="758">
      <c r="A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</row>
    <row r="759">
      <c r="A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</row>
    <row r="760">
      <c r="A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</row>
    <row r="761">
      <c r="A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</row>
    <row r="762">
      <c r="A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</row>
    <row r="763">
      <c r="A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</row>
    <row r="764">
      <c r="A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</row>
    <row r="765">
      <c r="A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</row>
    <row r="766">
      <c r="A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</row>
    <row r="767">
      <c r="A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</row>
    <row r="768">
      <c r="A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</row>
    <row r="769">
      <c r="A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</row>
    <row r="770">
      <c r="A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</row>
    <row r="771">
      <c r="A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</row>
    <row r="772">
      <c r="A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</row>
    <row r="773">
      <c r="A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</row>
    <row r="774">
      <c r="A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</row>
    <row r="775">
      <c r="A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</row>
    <row r="776">
      <c r="A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</row>
    <row r="777">
      <c r="A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</row>
    <row r="778">
      <c r="A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</row>
    <row r="779">
      <c r="A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</row>
    <row r="780">
      <c r="A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</row>
    <row r="781">
      <c r="A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</row>
    <row r="782">
      <c r="A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</row>
    <row r="783">
      <c r="A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</row>
    <row r="784">
      <c r="A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</row>
    <row r="785">
      <c r="A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</row>
    <row r="786">
      <c r="A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</row>
    <row r="787">
      <c r="A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</row>
    <row r="788">
      <c r="A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</row>
    <row r="789">
      <c r="A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</row>
    <row r="790">
      <c r="A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</row>
    <row r="791">
      <c r="A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</row>
    <row r="792">
      <c r="A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</row>
    <row r="793">
      <c r="A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</row>
    <row r="794">
      <c r="A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</row>
    <row r="795">
      <c r="A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</row>
    <row r="796">
      <c r="A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</row>
    <row r="797">
      <c r="A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</row>
    <row r="798">
      <c r="A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</row>
    <row r="799">
      <c r="A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</row>
    <row r="800">
      <c r="A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</row>
    <row r="801">
      <c r="A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</row>
    <row r="802">
      <c r="A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</row>
    <row r="803">
      <c r="A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</row>
    <row r="804">
      <c r="A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</row>
    <row r="805">
      <c r="A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</row>
    <row r="806">
      <c r="A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</row>
    <row r="807">
      <c r="A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</row>
    <row r="808">
      <c r="A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</row>
    <row r="809">
      <c r="A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</row>
    <row r="810">
      <c r="A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</row>
    <row r="811">
      <c r="A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</row>
    <row r="812">
      <c r="A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</row>
    <row r="813">
      <c r="A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</row>
    <row r="814">
      <c r="A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</row>
    <row r="815">
      <c r="A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</row>
    <row r="816">
      <c r="A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</row>
    <row r="817">
      <c r="A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</row>
    <row r="818">
      <c r="A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</row>
    <row r="819">
      <c r="A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</row>
    <row r="820">
      <c r="A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</row>
    <row r="821">
      <c r="A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</row>
    <row r="822">
      <c r="A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</row>
    <row r="823">
      <c r="A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</row>
    <row r="824">
      <c r="A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</row>
    <row r="825">
      <c r="A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</row>
    <row r="826">
      <c r="A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</row>
    <row r="827">
      <c r="A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</row>
    <row r="828">
      <c r="A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</row>
    <row r="829">
      <c r="A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</row>
    <row r="830">
      <c r="A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</row>
    <row r="831">
      <c r="A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</row>
    <row r="832">
      <c r="A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</row>
    <row r="833">
      <c r="A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</row>
    <row r="834">
      <c r="A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</row>
    <row r="835">
      <c r="A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</row>
    <row r="836">
      <c r="A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</row>
    <row r="837">
      <c r="A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</row>
    <row r="838">
      <c r="A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</row>
    <row r="839">
      <c r="A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</row>
    <row r="840">
      <c r="A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</row>
    <row r="841">
      <c r="A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</row>
    <row r="842">
      <c r="A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</row>
    <row r="843">
      <c r="A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</row>
    <row r="844">
      <c r="A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</row>
    <row r="845">
      <c r="A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</row>
    <row r="846">
      <c r="A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</row>
    <row r="847">
      <c r="A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</row>
    <row r="848">
      <c r="A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</row>
    <row r="849">
      <c r="A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</row>
    <row r="850">
      <c r="A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</row>
    <row r="851">
      <c r="A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</row>
    <row r="852">
      <c r="A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</row>
    <row r="853">
      <c r="A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</row>
    <row r="854">
      <c r="A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</row>
    <row r="855">
      <c r="A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</row>
    <row r="856">
      <c r="A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</row>
    <row r="857">
      <c r="A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</row>
    <row r="858">
      <c r="A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</row>
    <row r="859">
      <c r="A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</row>
    <row r="860">
      <c r="A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</row>
    <row r="861">
      <c r="A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</row>
    <row r="862">
      <c r="A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</row>
    <row r="863">
      <c r="A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</row>
    <row r="864">
      <c r="A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</row>
    <row r="865">
      <c r="A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</row>
    <row r="866">
      <c r="A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</row>
    <row r="867">
      <c r="A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</row>
    <row r="868">
      <c r="A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</row>
    <row r="869">
      <c r="A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</row>
    <row r="870">
      <c r="A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</row>
    <row r="871">
      <c r="A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</row>
    <row r="872">
      <c r="A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</row>
    <row r="873">
      <c r="A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</row>
    <row r="874">
      <c r="A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</row>
    <row r="875">
      <c r="A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</row>
    <row r="876">
      <c r="A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</row>
    <row r="877">
      <c r="A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</row>
    <row r="878">
      <c r="A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</row>
    <row r="879">
      <c r="A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</row>
    <row r="880">
      <c r="A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</row>
    <row r="881">
      <c r="A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</row>
    <row r="882">
      <c r="A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</row>
    <row r="883">
      <c r="A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</row>
    <row r="884">
      <c r="A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</row>
    <row r="885">
      <c r="A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</row>
    <row r="886">
      <c r="A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</row>
    <row r="887">
      <c r="A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</row>
    <row r="888">
      <c r="A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</row>
    <row r="889">
      <c r="A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</row>
    <row r="890">
      <c r="A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</row>
    <row r="891">
      <c r="A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</row>
    <row r="892">
      <c r="A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</row>
    <row r="893">
      <c r="A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</row>
    <row r="894">
      <c r="A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</row>
    <row r="895">
      <c r="A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</row>
    <row r="896">
      <c r="A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</row>
    <row r="897">
      <c r="A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</row>
    <row r="898">
      <c r="A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</row>
    <row r="899">
      <c r="A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</row>
    <row r="900">
      <c r="A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</row>
    <row r="901">
      <c r="A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</row>
    <row r="902">
      <c r="A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</row>
    <row r="903">
      <c r="A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</row>
    <row r="904">
      <c r="A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</row>
    <row r="905">
      <c r="A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</row>
    <row r="906">
      <c r="A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</row>
    <row r="907">
      <c r="A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</row>
    <row r="908">
      <c r="A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</row>
    <row r="909">
      <c r="A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</row>
    <row r="910">
      <c r="A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</row>
    <row r="911">
      <c r="A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</row>
    <row r="912">
      <c r="A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</row>
    <row r="913">
      <c r="A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</row>
    <row r="914">
      <c r="A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</row>
    <row r="915">
      <c r="A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</row>
    <row r="916">
      <c r="A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</row>
    <row r="917">
      <c r="A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</row>
    <row r="918">
      <c r="A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</row>
    <row r="919">
      <c r="A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</row>
    <row r="920">
      <c r="A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</row>
    <row r="921">
      <c r="A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</row>
    <row r="922">
      <c r="A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</row>
    <row r="923">
      <c r="A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</row>
    <row r="924">
      <c r="A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</row>
    <row r="925">
      <c r="A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</row>
    <row r="926">
      <c r="A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</row>
    <row r="927">
      <c r="A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</row>
    <row r="928">
      <c r="A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</row>
    <row r="929">
      <c r="A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</row>
    <row r="930">
      <c r="A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</row>
    <row r="931">
      <c r="A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</row>
    <row r="932">
      <c r="A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</row>
    <row r="933">
      <c r="A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</row>
    <row r="934">
      <c r="A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</row>
    <row r="935">
      <c r="A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</row>
    <row r="936">
      <c r="A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</row>
    <row r="937">
      <c r="A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</row>
    <row r="938">
      <c r="A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</row>
    <row r="939">
      <c r="A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</row>
    <row r="940">
      <c r="A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</row>
    <row r="941">
      <c r="A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</row>
    <row r="942">
      <c r="A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</row>
    <row r="943">
      <c r="A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</row>
    <row r="944">
      <c r="A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</row>
    <row r="945">
      <c r="A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</row>
    <row r="946">
      <c r="A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</row>
    <row r="947">
      <c r="A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</row>
    <row r="948">
      <c r="A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</row>
    <row r="949">
      <c r="A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</row>
    <row r="950">
      <c r="A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</row>
    <row r="951">
      <c r="A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</row>
    <row r="952">
      <c r="A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</row>
    <row r="953">
      <c r="A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</row>
    <row r="954">
      <c r="A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</row>
    <row r="955">
      <c r="A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</row>
    <row r="956">
      <c r="A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</row>
    <row r="957">
      <c r="A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</row>
    <row r="958">
      <c r="A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</row>
    <row r="959">
      <c r="A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</row>
    <row r="960">
      <c r="A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</row>
    <row r="961">
      <c r="A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</row>
    <row r="962">
      <c r="A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</row>
    <row r="963">
      <c r="A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</row>
    <row r="964">
      <c r="A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</row>
    <row r="965">
      <c r="A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</row>
    <row r="966">
      <c r="A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</row>
    <row r="967">
      <c r="A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</row>
    <row r="968">
      <c r="A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</row>
    <row r="969">
      <c r="A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</row>
    <row r="970">
      <c r="A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</row>
    <row r="971">
      <c r="A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</row>
    <row r="972">
      <c r="A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</row>
    <row r="973">
      <c r="A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</row>
    <row r="974">
      <c r="A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</row>
    <row r="975">
      <c r="A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</row>
    <row r="976">
      <c r="A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</row>
    <row r="977">
      <c r="A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</row>
    <row r="978">
      <c r="A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</row>
    <row r="979">
      <c r="A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</row>
    <row r="980">
      <c r="A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</row>
    <row r="981">
      <c r="A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</row>
    <row r="982">
      <c r="A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</row>
    <row r="983">
      <c r="A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</row>
    <row r="984">
      <c r="A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</row>
    <row r="985">
      <c r="A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</row>
    <row r="986">
      <c r="A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</row>
    <row r="987">
      <c r="A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</row>
    <row r="988">
      <c r="A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</row>
    <row r="989">
      <c r="A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</row>
    <row r="990">
      <c r="A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</row>
    <row r="991">
      <c r="A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</row>
    <row r="992">
      <c r="A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</row>
    <row r="993">
      <c r="A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</row>
    <row r="994">
      <c r="A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</row>
    <row r="995">
      <c r="A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</row>
    <row r="996">
      <c r="A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</row>
    <row r="997">
      <c r="A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</row>
    <row r="998">
      <c r="A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</row>
    <row r="999">
      <c r="A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</row>
    <row r="1000">
      <c r="A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</row>
    <row r="1001">
      <c r="A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</row>
    <row r="1002">
      <c r="A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0"/>
      <c r="Q1002" s="50"/>
    </row>
    <row r="1003">
      <c r="A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  <c r="P1003" s="50"/>
      <c r="Q1003" s="5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 t="str">
        <f>Data!S1&amp;"- "&amp;T1&amp;"- "&amp;U1&amp;"- "&amp;V1&amp;"- "&amp;W1&amp;"- "&amp;X1&amp;"- "&amp;Y1&amp;"- "&amp;Z1&amp;"- "&amp;AA1&amp;"- "&amp;AB1&amp;"- "&amp;AC1&amp;"- "&amp;AD1</f>
        <v>Invoice No.- Case No.:- Date of Job: - Mileage- In Re:- GRAND TOTAL:- BILL TO 1:- BILL TO 2:- BILL TO 3:- BILL TO 4:- Log 11- Expenses</v>
      </c>
      <c r="S1" s="38" t="str">
        <f>Input!A1</f>
        <v>Invoice No.</v>
      </c>
      <c r="T1" s="38" t="str">
        <f>Input!B1</f>
        <v>Case No.:</v>
      </c>
      <c r="U1" s="38" t="str">
        <f>Input!C1</f>
        <v>Date of Job: </v>
      </c>
      <c r="V1" s="38" t="str">
        <f>Input!D1</f>
        <v>Mileage</v>
      </c>
      <c r="W1" s="38" t="str">
        <f>Input!E1</f>
        <v>In Re:</v>
      </c>
      <c r="X1" s="38" t="str">
        <f>Input!F1</f>
        <v>GRAND TOTAL:</v>
      </c>
      <c r="Y1" s="38" t="str">
        <f>Input!G1</f>
        <v>BILL TO 1:</v>
      </c>
      <c r="Z1" s="38" t="str">
        <f>Input!H1</f>
        <v>BILL TO 2:</v>
      </c>
      <c r="AA1" s="38" t="str">
        <f>Input!I1</f>
        <v>BILL TO 3:</v>
      </c>
      <c r="AB1" s="38" t="str">
        <f>Input!J1</f>
        <v>BILL TO 4:</v>
      </c>
      <c r="AC1" s="38" t="str">
        <f>Input!K1</f>
        <v>Log 11</v>
      </c>
      <c r="AD1" s="38" t="str">
        <f>Input!L1</f>
        <v>Expenses</v>
      </c>
      <c r="AE1" s="38" t="str">
        <f>Input!M1</f>
        <v>PDF Link</v>
      </c>
      <c r="AF1" s="38" t="str">
        <f>Input!N1</f>
        <v>Date Paid:</v>
      </c>
      <c r="AG1" s="38" t="str">
        <f>Input!O1</f>
        <v>Update 3</v>
      </c>
    </row>
  </sheetData>
  <drawing r:id="rId1"/>
</worksheet>
</file>