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jhhkn\Desktop\Study-Courses\GenerativeAICourseLangchainHuggingface\Code\"/>
    </mc:Choice>
  </mc:AlternateContent>
  <xr:revisionPtr revIDLastSave="0" documentId="13_ncr:1_{ECC70DBF-84CE-4B4B-8B94-F9E0B744194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ip Estimator" sheetId="1" r:id="rId1"/>
    <sheet name="Fleet Value" sheetId="2" r:id="rId2"/>
    <sheet name="Price Models" sheetId="3" r:id="rId3"/>
    <sheet name="LookupTables" sheetId="4" r:id="rId4"/>
  </sheets>
  <definedNames>
    <definedName name="Cf_multiplier">LookupTables!$B$43:$B$64</definedName>
    <definedName name="CO2eCalc">LookupTables!$D$69</definedName>
    <definedName name="EU_CO2eLookup">LookupTables!$Q$2:$Q$39</definedName>
    <definedName name="EU2EUpct">'Ship Estimator'!$B$12</definedName>
    <definedName name="EU2worldpct">'Ship Estimator'!$B$13</definedName>
    <definedName name="EUA_24">LookupTables!$B$82</definedName>
    <definedName name="EUA_25">LookupTables!$B$83</definedName>
    <definedName name="EUA_26">LookupTables!$B$84</definedName>
    <definedName name="EUA_27">LookupTables!$B$85</definedName>
    <definedName name="EUAfuture25">LookupTables!$D$83</definedName>
    <definedName name="EUAfuture26">LookupTables!$D$84</definedName>
    <definedName name="EUAfuture27">LookupTables!$D$85</definedName>
    <definedName name="EUAprice">'Ship Estimator'!$B$26</definedName>
    <definedName name="EUCO2_sum">LookupTables!$L$2:$L$39</definedName>
    <definedName name="EUCO2eTotal">LookupTables!$Q$2:$Q$39</definedName>
    <definedName name="FT_CO2eLOWER">LookupTables!$B$67</definedName>
    <definedName name="FT_CO2reduction">LookupTables!$B$66</definedName>
    <definedName name="FT_EU2EU_CO2e_X2025LookUpAC">LookupTables!$AC$2:$AC$39</definedName>
    <definedName name="FT_EU2EU_CO2xLookUpTable">LookupTables!$X$2:$X$39</definedName>
    <definedName name="FT_EU2World_CO2_xLookUpTable">LookupTables!$Y$2:$Y$39</definedName>
    <definedName name="FT_EU2World_CO2e_X2025LookUpAD">LookupTables!$AD$2:$AD$39</definedName>
    <definedName name="FT_FraudReductionConservative">LookupTables!$B$78</definedName>
    <definedName name="FT_ScrubReduction">LookupTables!$B$68</definedName>
    <definedName name="FuelType">LookupTables!$A$43:$A$64</definedName>
    <definedName name="NonEU_voyagePCT">'Ship Estimator'!$B$14</definedName>
    <definedName name="PortCarbonAnn">LookupTables!$B$71</definedName>
    <definedName name="PortDayMT">LookupTables!$C$2:$C$39</definedName>
    <definedName name="PortDayNM">LookupTables!$E$3:$E$39</definedName>
    <definedName name="ROWvoyagePCT">'Ship Estimator'!$B$14</definedName>
    <definedName name="ScrubberEffect">LookupTables!$B$68</definedName>
    <definedName name="SeaCarbonAnn">LookupTables!$B$70</definedName>
    <definedName name="SeaDayMT">LookupTables!$B$2:$B$39</definedName>
    <definedName name="SeaDayNM">LookupTables!$D$2:$D$39</definedName>
    <definedName name="SeaFuelType">'Ship Estimator'!$B$19</definedName>
    <definedName name="SeaNM">LookupTables!$D$2:$D$39</definedName>
    <definedName name="ShipTypes">LookupTables!$A$2:$A$39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AH8" i="2"/>
  <c r="AH9" i="2"/>
  <c r="AH10" i="2"/>
  <c r="AH11" i="2"/>
  <c r="AH12" i="2"/>
  <c r="AH13" i="2"/>
  <c r="AH14" i="2"/>
  <c r="AH15" i="2"/>
  <c r="P15" i="3" s="1"/>
  <c r="AH16" i="2"/>
  <c r="AH17" i="2"/>
  <c r="P17" i="3" s="1"/>
  <c r="AH18" i="2"/>
  <c r="AH19" i="2"/>
  <c r="P19" i="3" s="1"/>
  <c r="AH20" i="2"/>
  <c r="AH21" i="2"/>
  <c r="P21" i="3" s="1"/>
  <c r="AH22" i="2"/>
  <c r="P22" i="3" s="1"/>
  <c r="AH23" i="2"/>
  <c r="P23" i="3" s="1"/>
  <c r="AH24" i="2"/>
  <c r="AH25" i="2"/>
  <c r="AH26" i="2"/>
  <c r="AH27" i="2"/>
  <c r="AH28" i="2"/>
  <c r="AH29" i="2"/>
  <c r="AH30" i="2"/>
  <c r="AH31" i="2"/>
  <c r="AH32" i="2"/>
  <c r="P32" i="3" s="1"/>
  <c r="AH33" i="2"/>
  <c r="AH34" i="2"/>
  <c r="P34" i="3" s="1"/>
  <c r="AH35" i="2"/>
  <c r="P35" i="3" s="1"/>
  <c r="AH36" i="2"/>
  <c r="P36" i="3" s="1"/>
  <c r="AH37" i="2"/>
  <c r="P37" i="3" s="1"/>
  <c r="AH38" i="2"/>
  <c r="P38" i="3" s="1"/>
  <c r="AH39" i="2"/>
  <c r="P39" i="3" s="1"/>
  <c r="AH40" i="2"/>
  <c r="AH7" i="2"/>
  <c r="AH6" i="2"/>
  <c r="P6" i="3" s="1"/>
  <c r="AH5" i="2"/>
  <c r="AH4" i="2"/>
  <c r="AG8" i="2"/>
  <c r="AG9" i="2"/>
  <c r="AG10" i="2"/>
  <c r="AG11" i="2"/>
  <c r="AG12" i="2"/>
  <c r="AG13" i="2"/>
  <c r="AG14" i="2"/>
  <c r="O14" i="3" s="1"/>
  <c r="AG15" i="2"/>
  <c r="O15" i="3" s="1"/>
  <c r="AG16" i="2"/>
  <c r="O16" i="3" s="1"/>
  <c r="AG17" i="2"/>
  <c r="AG18" i="2"/>
  <c r="O18" i="3" s="1"/>
  <c r="AG19" i="2"/>
  <c r="AG20" i="2"/>
  <c r="O20" i="3" s="1"/>
  <c r="AG21" i="2"/>
  <c r="AG22" i="2"/>
  <c r="O22" i="3" s="1"/>
  <c r="AG23" i="2"/>
  <c r="O23" i="3" s="1"/>
  <c r="AG24" i="2"/>
  <c r="AG25" i="2"/>
  <c r="AG26" i="2"/>
  <c r="AG27" i="2"/>
  <c r="AG28" i="2"/>
  <c r="AG29" i="2"/>
  <c r="AG30" i="2"/>
  <c r="AG31" i="2"/>
  <c r="O31" i="3" s="1"/>
  <c r="AG32" i="2"/>
  <c r="O32" i="3" s="1"/>
  <c r="AG33" i="2"/>
  <c r="AG34" i="2"/>
  <c r="O34" i="3" s="1"/>
  <c r="AG35" i="2"/>
  <c r="AG36" i="2"/>
  <c r="O36" i="3" s="1"/>
  <c r="AG37" i="2"/>
  <c r="O37" i="3" s="1"/>
  <c r="AG38" i="2"/>
  <c r="O38" i="3" s="1"/>
  <c r="AG39" i="2"/>
  <c r="O39" i="3" s="1"/>
  <c r="AG40" i="2"/>
  <c r="AG7" i="2"/>
  <c r="AG6" i="2"/>
  <c r="AG5" i="2"/>
  <c r="AG4" i="2"/>
  <c r="AF8" i="2"/>
  <c r="AF9" i="2"/>
  <c r="AF10" i="2"/>
  <c r="AF11" i="2"/>
  <c r="AF12" i="2"/>
  <c r="AF13" i="2"/>
  <c r="AF14" i="2"/>
  <c r="AF15" i="2"/>
  <c r="N15" i="3" s="1"/>
  <c r="AF16" i="2"/>
  <c r="AF17" i="2"/>
  <c r="N17" i="3" s="1"/>
  <c r="AF18" i="2"/>
  <c r="N18" i="3" s="1"/>
  <c r="AF19" i="2"/>
  <c r="N19" i="3" s="1"/>
  <c r="AF20" i="2"/>
  <c r="N20" i="3" s="1"/>
  <c r="AF21" i="2"/>
  <c r="N21" i="3" s="1"/>
  <c r="AF22" i="2"/>
  <c r="N22" i="3" s="1"/>
  <c r="AF23" i="2"/>
  <c r="N23" i="3" s="1"/>
  <c r="AF24" i="2"/>
  <c r="AF25" i="2"/>
  <c r="AF26" i="2"/>
  <c r="AF27" i="2"/>
  <c r="AF28" i="2"/>
  <c r="AF29" i="2"/>
  <c r="AF30" i="2"/>
  <c r="AF31" i="2"/>
  <c r="N31" i="3" s="1"/>
  <c r="AF32" i="2"/>
  <c r="AF33" i="2"/>
  <c r="AF34" i="2"/>
  <c r="N34" i="3" s="1"/>
  <c r="AF35" i="2"/>
  <c r="AF36" i="2"/>
  <c r="N36" i="3" s="1"/>
  <c r="AF37" i="2"/>
  <c r="N37" i="3" s="1"/>
  <c r="AF38" i="2"/>
  <c r="N38" i="3" s="1"/>
  <c r="AF39" i="2"/>
  <c r="N39" i="3" s="1"/>
  <c r="AF40" i="2"/>
  <c r="N40" i="3" s="1"/>
  <c r="AF7" i="2"/>
  <c r="AF6" i="2"/>
  <c r="AF5" i="2"/>
  <c r="AF4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M30" i="3" s="1"/>
  <c r="AE31" i="2"/>
  <c r="AE32" i="2"/>
  <c r="AE33" i="2"/>
  <c r="AE34" i="2"/>
  <c r="AE35" i="2"/>
  <c r="AE36" i="2"/>
  <c r="AE37" i="2"/>
  <c r="AE38" i="2"/>
  <c r="AE39" i="2"/>
  <c r="AE40" i="2"/>
  <c r="AE6" i="2"/>
  <c r="AE7" i="2"/>
  <c r="AC16" i="2"/>
  <c r="AC27" i="2"/>
  <c r="AC30" i="2"/>
  <c r="AC31" i="2"/>
  <c r="AC33" i="2"/>
  <c r="AC6" i="2"/>
  <c r="AC4" i="2"/>
  <c r="AA30" i="2"/>
  <c r="AA33" i="2"/>
  <c r="AA38" i="2"/>
  <c r="Z10" i="2"/>
  <c r="S10" i="2"/>
  <c r="S13" i="2"/>
  <c r="S20" i="2"/>
  <c r="R20" i="2"/>
  <c r="R40" i="2"/>
  <c r="Q16" i="2"/>
  <c r="Q19" i="2"/>
  <c r="P16" i="2"/>
  <c r="P24" i="2"/>
  <c r="P27" i="2"/>
  <c r="X24" i="2"/>
  <c r="K24" i="3" s="1"/>
  <c r="X38" i="2"/>
  <c r="X40" i="2"/>
  <c r="K40" i="3" s="1"/>
  <c r="W30" i="2"/>
  <c r="J30" i="3" s="1"/>
  <c r="W33" i="2"/>
  <c r="W36" i="2"/>
  <c r="J36" i="3" s="1"/>
  <c r="W4" i="2"/>
  <c r="E14" i="1"/>
  <c r="E13" i="1"/>
  <c r="B23" i="1"/>
  <c r="B11" i="1"/>
  <c r="B71" i="4" s="1"/>
  <c r="C71" i="4" s="1"/>
  <c r="B10" i="1"/>
  <c r="B70" i="4" s="1"/>
  <c r="B7" i="1"/>
  <c r="B18" i="1" s="1"/>
  <c r="D85" i="4"/>
  <c r="D84" i="4"/>
  <c r="D83" i="4"/>
  <c r="D82" i="4"/>
  <c r="AH39" i="4"/>
  <c r="O39" i="4"/>
  <c r="N39" i="4"/>
  <c r="P39" i="4" s="1"/>
  <c r="AA39" i="4" s="1"/>
  <c r="M39" i="4"/>
  <c r="X39" i="4" s="1"/>
  <c r="L39" i="4"/>
  <c r="W39" i="4" s="1"/>
  <c r="K39" i="4"/>
  <c r="J39" i="4"/>
  <c r="I39" i="4"/>
  <c r="H39" i="4"/>
  <c r="O38" i="4"/>
  <c r="N38" i="4"/>
  <c r="S38" i="4" s="1"/>
  <c r="AD38" i="4" s="1"/>
  <c r="M38" i="4"/>
  <c r="L38" i="4"/>
  <c r="W38" i="4" s="1"/>
  <c r="K38" i="4"/>
  <c r="J38" i="4"/>
  <c r="H38" i="4"/>
  <c r="I38" i="4" s="1"/>
  <c r="X37" i="4"/>
  <c r="O37" i="4"/>
  <c r="Z37" i="4" s="1"/>
  <c r="N37" i="4"/>
  <c r="M37" i="4"/>
  <c r="L37" i="4"/>
  <c r="K37" i="4"/>
  <c r="J37" i="4"/>
  <c r="I37" i="4"/>
  <c r="H37" i="4"/>
  <c r="Z36" i="4"/>
  <c r="Y36" i="4"/>
  <c r="W36" i="4"/>
  <c r="O36" i="4"/>
  <c r="T36" i="4" s="1"/>
  <c r="AE36" i="4" s="1"/>
  <c r="N36" i="4"/>
  <c r="S36" i="4" s="1"/>
  <c r="AD36" i="4" s="1"/>
  <c r="M36" i="4"/>
  <c r="L36" i="4"/>
  <c r="AH36" i="4" s="1"/>
  <c r="K36" i="4"/>
  <c r="J36" i="4"/>
  <c r="H36" i="4"/>
  <c r="C37" i="2" s="1"/>
  <c r="D37" i="2" s="1"/>
  <c r="AC35" i="4"/>
  <c r="Y35" i="4"/>
  <c r="X35" i="4"/>
  <c r="O35" i="4"/>
  <c r="Z35" i="4" s="1"/>
  <c r="N35" i="4"/>
  <c r="S35" i="4" s="1"/>
  <c r="AD35" i="4" s="1"/>
  <c r="M35" i="4"/>
  <c r="R35" i="4" s="1"/>
  <c r="Q35" i="4" s="1"/>
  <c r="L35" i="4"/>
  <c r="K35" i="4"/>
  <c r="J35" i="4"/>
  <c r="H35" i="4"/>
  <c r="I35" i="4" s="1"/>
  <c r="Z34" i="4"/>
  <c r="X34" i="4"/>
  <c r="W34" i="4"/>
  <c r="T34" i="4"/>
  <c r="AE34" i="4" s="1"/>
  <c r="O34" i="4"/>
  <c r="N34" i="4"/>
  <c r="Y34" i="4" s="1"/>
  <c r="M34" i="4"/>
  <c r="R34" i="4" s="1"/>
  <c r="L34" i="4"/>
  <c r="AH34" i="4" s="1"/>
  <c r="K34" i="4"/>
  <c r="J34" i="4"/>
  <c r="I34" i="4"/>
  <c r="H34" i="4"/>
  <c r="Z33" i="4"/>
  <c r="Y33" i="4"/>
  <c r="W33" i="4"/>
  <c r="S33" i="4"/>
  <c r="AD33" i="4" s="1"/>
  <c r="O33" i="4"/>
  <c r="T33" i="4" s="1"/>
  <c r="AE33" i="4" s="1"/>
  <c r="N33" i="4"/>
  <c r="M33" i="4"/>
  <c r="X33" i="4" s="1"/>
  <c r="L33" i="4"/>
  <c r="AH33" i="4" s="1"/>
  <c r="K33" i="4"/>
  <c r="J33" i="4"/>
  <c r="H33" i="4"/>
  <c r="I33" i="4" s="1"/>
  <c r="Z32" i="4"/>
  <c r="Y32" i="4"/>
  <c r="X32" i="4"/>
  <c r="T32" i="4"/>
  <c r="AE32" i="4" s="1"/>
  <c r="R32" i="4"/>
  <c r="O32" i="4"/>
  <c r="N32" i="4"/>
  <c r="S32" i="4" s="1"/>
  <c r="AD32" i="4" s="1"/>
  <c r="M32" i="4"/>
  <c r="P32" i="4" s="1"/>
  <c r="AA32" i="4" s="1"/>
  <c r="L32" i="4"/>
  <c r="W32" i="4" s="1"/>
  <c r="K32" i="4"/>
  <c r="J32" i="4"/>
  <c r="H32" i="4"/>
  <c r="I32" i="4" s="1"/>
  <c r="AI31" i="4"/>
  <c r="Y31" i="4"/>
  <c r="X31" i="4"/>
  <c r="W31" i="4"/>
  <c r="T31" i="4"/>
  <c r="AE31" i="4" s="1"/>
  <c r="S31" i="4"/>
  <c r="AD31" i="4" s="1"/>
  <c r="Q31" i="4"/>
  <c r="O31" i="4"/>
  <c r="Z31" i="4" s="1"/>
  <c r="N31" i="4"/>
  <c r="M31" i="4"/>
  <c r="R31" i="4" s="1"/>
  <c r="L31" i="4"/>
  <c r="AH31" i="4" s="1"/>
  <c r="K31" i="4"/>
  <c r="J31" i="4"/>
  <c r="H31" i="4"/>
  <c r="I31" i="4" s="1"/>
  <c r="AH30" i="4"/>
  <c r="Z30" i="4"/>
  <c r="X30" i="4"/>
  <c r="W30" i="4"/>
  <c r="U30" i="4"/>
  <c r="AF30" i="4" s="1"/>
  <c r="T30" i="4"/>
  <c r="AE30" i="4" s="1"/>
  <c r="S30" i="4"/>
  <c r="AD30" i="4" s="1"/>
  <c r="R30" i="4"/>
  <c r="P30" i="4"/>
  <c r="AA30" i="4" s="1"/>
  <c r="O30" i="4"/>
  <c r="N30" i="4"/>
  <c r="Y30" i="4" s="1"/>
  <c r="M30" i="4"/>
  <c r="L30" i="4"/>
  <c r="K30" i="4"/>
  <c r="J30" i="4"/>
  <c r="I30" i="4"/>
  <c r="E31" i="2" s="1"/>
  <c r="F31" i="2" s="1"/>
  <c r="H30" i="4"/>
  <c r="Y29" i="4"/>
  <c r="W29" i="4"/>
  <c r="S29" i="4"/>
  <c r="R29" i="4"/>
  <c r="O29" i="4"/>
  <c r="N29" i="4"/>
  <c r="M29" i="4"/>
  <c r="L29" i="4"/>
  <c r="AH29" i="4" s="1"/>
  <c r="K29" i="4"/>
  <c r="J29" i="4"/>
  <c r="H29" i="4"/>
  <c r="I29" i="4" s="1"/>
  <c r="AH28" i="4"/>
  <c r="Z28" i="4"/>
  <c r="X28" i="4"/>
  <c r="T28" i="4"/>
  <c r="AE28" i="4" s="1"/>
  <c r="S28" i="4"/>
  <c r="R28" i="4"/>
  <c r="AC28" i="4" s="1"/>
  <c r="P28" i="4"/>
  <c r="AA28" i="4" s="1"/>
  <c r="O28" i="4"/>
  <c r="N28" i="4"/>
  <c r="Y28" i="4" s="1"/>
  <c r="M28" i="4"/>
  <c r="L28" i="4"/>
  <c r="W28" i="4" s="1"/>
  <c r="K28" i="4"/>
  <c r="J28" i="4"/>
  <c r="I28" i="4"/>
  <c r="H28" i="4"/>
  <c r="AH27" i="4"/>
  <c r="AD27" i="4"/>
  <c r="Y27" i="4"/>
  <c r="W27" i="4"/>
  <c r="S27" i="4"/>
  <c r="O27" i="4"/>
  <c r="N27" i="4"/>
  <c r="M27" i="4"/>
  <c r="L27" i="4"/>
  <c r="K27" i="4"/>
  <c r="J27" i="4"/>
  <c r="H27" i="4"/>
  <c r="I27" i="4" s="1"/>
  <c r="E28" i="2" s="1"/>
  <c r="F28" i="2" s="1"/>
  <c r="X26" i="4"/>
  <c r="R26" i="4"/>
  <c r="AC26" i="4" s="1"/>
  <c r="O26" i="4"/>
  <c r="N26" i="4"/>
  <c r="Y26" i="4" s="1"/>
  <c r="M26" i="4"/>
  <c r="L26" i="4"/>
  <c r="K26" i="4"/>
  <c r="J26" i="4"/>
  <c r="I26" i="4"/>
  <c r="H26" i="4"/>
  <c r="AH25" i="4"/>
  <c r="AD25" i="4"/>
  <c r="Y25" i="4"/>
  <c r="W25" i="4"/>
  <c r="T25" i="4"/>
  <c r="AE25" i="4" s="1"/>
  <c r="O25" i="4"/>
  <c r="Z25" i="4" s="1"/>
  <c r="N25" i="4"/>
  <c r="S25" i="4" s="1"/>
  <c r="M25" i="4"/>
  <c r="X25" i="4" s="1"/>
  <c r="L25" i="4"/>
  <c r="K25" i="4"/>
  <c r="J25" i="4"/>
  <c r="H25" i="4"/>
  <c r="O24" i="4"/>
  <c r="N24" i="4"/>
  <c r="M24" i="4"/>
  <c r="L24" i="4"/>
  <c r="W24" i="4" s="1"/>
  <c r="K24" i="4"/>
  <c r="J24" i="4"/>
  <c r="H24" i="4"/>
  <c r="I24" i="4" s="1"/>
  <c r="E25" i="2" s="1"/>
  <c r="F25" i="2" s="1"/>
  <c r="Z23" i="4"/>
  <c r="W23" i="4"/>
  <c r="T23" i="4"/>
  <c r="AE23" i="4" s="1"/>
  <c r="R23" i="4"/>
  <c r="P23" i="4"/>
  <c r="AA23" i="4" s="1"/>
  <c r="O23" i="4"/>
  <c r="N23" i="4"/>
  <c r="M23" i="4"/>
  <c r="X23" i="4" s="1"/>
  <c r="L23" i="4"/>
  <c r="AH23" i="4" s="1"/>
  <c r="K23" i="4"/>
  <c r="J23" i="4"/>
  <c r="I23" i="4"/>
  <c r="H23" i="4"/>
  <c r="AD22" i="4"/>
  <c r="Y22" i="4"/>
  <c r="S22" i="4"/>
  <c r="O22" i="4"/>
  <c r="N22" i="4"/>
  <c r="M22" i="4"/>
  <c r="L22" i="4"/>
  <c r="K22" i="4"/>
  <c r="J22" i="4"/>
  <c r="G23" i="2" s="1"/>
  <c r="H22" i="4"/>
  <c r="AH21" i="4"/>
  <c r="AE21" i="4"/>
  <c r="Z21" i="4"/>
  <c r="T21" i="4"/>
  <c r="O21" i="4"/>
  <c r="N21" i="4"/>
  <c r="M21" i="4"/>
  <c r="L21" i="4"/>
  <c r="W21" i="4" s="1"/>
  <c r="K21" i="4"/>
  <c r="J21" i="4"/>
  <c r="I21" i="4"/>
  <c r="E22" i="2" s="1"/>
  <c r="F22" i="2" s="1"/>
  <c r="H21" i="4"/>
  <c r="Y20" i="4"/>
  <c r="W20" i="4"/>
  <c r="S20" i="4"/>
  <c r="AD20" i="4" s="1"/>
  <c r="O20" i="4"/>
  <c r="N20" i="4"/>
  <c r="M20" i="4"/>
  <c r="L20" i="4"/>
  <c r="AH20" i="4" s="1"/>
  <c r="K20" i="4"/>
  <c r="J21" i="2" s="1"/>
  <c r="J20" i="4"/>
  <c r="I20" i="4"/>
  <c r="H20" i="4"/>
  <c r="AH19" i="4"/>
  <c r="AE19" i="4"/>
  <c r="AC19" i="4"/>
  <c r="AB19" i="4"/>
  <c r="AA19" i="4"/>
  <c r="Z19" i="4"/>
  <c r="Y19" i="4"/>
  <c r="X19" i="4"/>
  <c r="U19" i="4"/>
  <c r="AF19" i="4" s="1"/>
  <c r="R19" i="4"/>
  <c r="Q19" i="4" s="1"/>
  <c r="P19" i="4"/>
  <c r="O19" i="4"/>
  <c r="T19" i="4" s="1"/>
  <c r="N19" i="4"/>
  <c r="S19" i="4" s="1"/>
  <c r="AD19" i="4" s="1"/>
  <c r="M19" i="4"/>
  <c r="L19" i="4"/>
  <c r="W19" i="4" s="1"/>
  <c r="K19" i="4"/>
  <c r="J19" i="4"/>
  <c r="H19" i="4"/>
  <c r="I19" i="4" s="1"/>
  <c r="AD18" i="4"/>
  <c r="Z18" i="4"/>
  <c r="Y18" i="4"/>
  <c r="W18" i="4"/>
  <c r="O18" i="4"/>
  <c r="T18" i="4" s="1"/>
  <c r="AE18" i="4" s="1"/>
  <c r="N18" i="4"/>
  <c r="S18" i="4" s="1"/>
  <c r="M18" i="4"/>
  <c r="L18" i="4"/>
  <c r="AH18" i="4" s="1"/>
  <c r="K18" i="4"/>
  <c r="J18" i="4"/>
  <c r="H18" i="4"/>
  <c r="I18" i="4" s="1"/>
  <c r="E19" i="2" s="1"/>
  <c r="F19" i="2" s="1"/>
  <c r="Z17" i="4"/>
  <c r="X17" i="4"/>
  <c r="O17" i="4"/>
  <c r="T17" i="4" s="1"/>
  <c r="AE17" i="4" s="1"/>
  <c r="N17" i="4"/>
  <c r="Y17" i="4" s="1"/>
  <c r="M17" i="4"/>
  <c r="R17" i="4" s="1"/>
  <c r="L17" i="4"/>
  <c r="K17" i="4"/>
  <c r="J17" i="4"/>
  <c r="I17" i="4"/>
  <c r="H17" i="4"/>
  <c r="AD16" i="4"/>
  <c r="Z16" i="4"/>
  <c r="Y16" i="4"/>
  <c r="X16" i="4"/>
  <c r="W16" i="4"/>
  <c r="T16" i="4"/>
  <c r="AE16" i="4" s="1"/>
  <c r="R16" i="4"/>
  <c r="O16" i="4"/>
  <c r="N16" i="4"/>
  <c r="S16" i="4" s="1"/>
  <c r="M16" i="4"/>
  <c r="L16" i="4"/>
  <c r="AH16" i="4" s="1"/>
  <c r="K16" i="4"/>
  <c r="J16" i="4"/>
  <c r="I16" i="4"/>
  <c r="H16" i="4"/>
  <c r="AE15" i="4"/>
  <c r="X15" i="4"/>
  <c r="T15" i="4"/>
  <c r="O15" i="4"/>
  <c r="Z15" i="4" s="1"/>
  <c r="N15" i="4"/>
  <c r="M15" i="4"/>
  <c r="R15" i="4" s="1"/>
  <c r="L15" i="4"/>
  <c r="K15" i="4"/>
  <c r="J15" i="4"/>
  <c r="H15" i="4"/>
  <c r="AH14" i="4"/>
  <c r="Z14" i="4"/>
  <c r="X14" i="4"/>
  <c r="W14" i="4"/>
  <c r="T14" i="4"/>
  <c r="AE14" i="4" s="1"/>
  <c r="S14" i="4"/>
  <c r="AD14" i="4" s="1"/>
  <c r="R14" i="4"/>
  <c r="P14" i="4"/>
  <c r="AA14" i="4" s="1"/>
  <c r="O14" i="4"/>
  <c r="N14" i="4"/>
  <c r="Y14" i="4" s="1"/>
  <c r="M14" i="4"/>
  <c r="L14" i="4"/>
  <c r="K14" i="4"/>
  <c r="J14" i="4"/>
  <c r="I14" i="4"/>
  <c r="H14" i="4"/>
  <c r="AC13" i="4"/>
  <c r="Y13" i="4"/>
  <c r="S13" i="4"/>
  <c r="AD13" i="4" s="1"/>
  <c r="R13" i="4"/>
  <c r="O13" i="4"/>
  <c r="N13" i="4"/>
  <c r="M13" i="4"/>
  <c r="L13" i="4"/>
  <c r="K13" i="4"/>
  <c r="J13" i="4"/>
  <c r="G14" i="2" s="1"/>
  <c r="H13" i="4"/>
  <c r="I13" i="4" s="1"/>
  <c r="AH12" i="4"/>
  <c r="Z12" i="4"/>
  <c r="X12" i="4"/>
  <c r="T12" i="4"/>
  <c r="AE12" i="4" s="1"/>
  <c r="S12" i="4"/>
  <c r="AD12" i="4" s="1"/>
  <c r="R12" i="4"/>
  <c r="P12" i="4"/>
  <c r="AA12" i="4" s="1"/>
  <c r="O12" i="4"/>
  <c r="N12" i="4"/>
  <c r="Y12" i="4" s="1"/>
  <c r="M12" i="4"/>
  <c r="L12" i="4"/>
  <c r="W12" i="4" s="1"/>
  <c r="K12" i="4"/>
  <c r="J12" i="4"/>
  <c r="H12" i="4"/>
  <c r="I12" i="4" s="1"/>
  <c r="E13" i="2" s="1"/>
  <c r="F13" i="2" s="1"/>
  <c r="AH11" i="4"/>
  <c r="AD11" i="4"/>
  <c r="Y11" i="4"/>
  <c r="W11" i="4"/>
  <c r="S11" i="4"/>
  <c r="O11" i="4"/>
  <c r="N11" i="4"/>
  <c r="M11" i="4"/>
  <c r="L11" i="4"/>
  <c r="K11" i="4"/>
  <c r="J11" i="4"/>
  <c r="H11" i="4"/>
  <c r="Z10" i="4"/>
  <c r="X10" i="4"/>
  <c r="W10" i="4"/>
  <c r="S10" i="4"/>
  <c r="AD10" i="4" s="1"/>
  <c r="R10" i="4"/>
  <c r="AC10" i="4" s="1"/>
  <c r="O10" i="4"/>
  <c r="T10" i="4" s="1"/>
  <c r="AE10" i="4" s="1"/>
  <c r="N10" i="4"/>
  <c r="Y10" i="4" s="1"/>
  <c r="M10" i="4"/>
  <c r="L10" i="4"/>
  <c r="AH10" i="4" s="1"/>
  <c r="K10" i="4"/>
  <c r="J10" i="4"/>
  <c r="I10" i="4"/>
  <c r="H10" i="4"/>
  <c r="AH9" i="4"/>
  <c r="W9" i="4"/>
  <c r="O9" i="4"/>
  <c r="N9" i="4"/>
  <c r="M9" i="4"/>
  <c r="L9" i="4"/>
  <c r="K9" i="4"/>
  <c r="J10" i="2" s="1"/>
  <c r="J9" i="4"/>
  <c r="H9" i="4"/>
  <c r="I9" i="4" s="1"/>
  <c r="E10" i="2" s="1"/>
  <c r="F10" i="2" s="1"/>
  <c r="AN8" i="4"/>
  <c r="AC8" i="4"/>
  <c r="X8" i="4"/>
  <c r="S8" i="4"/>
  <c r="AD8" i="4" s="1"/>
  <c r="Q8" i="4"/>
  <c r="O8" i="4"/>
  <c r="Z8" i="4" s="1"/>
  <c r="N8" i="4"/>
  <c r="Y8" i="4" s="1"/>
  <c r="M8" i="4"/>
  <c r="R8" i="4" s="1"/>
  <c r="L8" i="4"/>
  <c r="W8" i="4" s="1"/>
  <c r="K8" i="4"/>
  <c r="J8" i="4"/>
  <c r="H8" i="4"/>
  <c r="I8" i="4" s="1"/>
  <c r="AH7" i="4"/>
  <c r="O7" i="4"/>
  <c r="Z7" i="4" s="1"/>
  <c r="N7" i="4"/>
  <c r="M7" i="4"/>
  <c r="L7" i="4"/>
  <c r="W7" i="4" s="1"/>
  <c r="K7" i="4"/>
  <c r="G8" i="2" s="1"/>
  <c r="J7" i="4"/>
  <c r="I7" i="4"/>
  <c r="E8" i="2" s="1"/>
  <c r="F8" i="2" s="1"/>
  <c r="H7" i="4"/>
  <c r="O6" i="4"/>
  <c r="N6" i="4"/>
  <c r="M6" i="4"/>
  <c r="L6" i="4"/>
  <c r="K6" i="4"/>
  <c r="J6" i="4"/>
  <c r="H6" i="4"/>
  <c r="I6" i="4" s="1"/>
  <c r="AH5" i="4"/>
  <c r="Z5" i="4"/>
  <c r="X5" i="4"/>
  <c r="T5" i="4"/>
  <c r="AE5" i="4" s="1"/>
  <c r="O5" i="4"/>
  <c r="N5" i="4"/>
  <c r="M5" i="4"/>
  <c r="R5" i="4" s="1"/>
  <c r="L5" i="4"/>
  <c r="W5" i="4" s="1"/>
  <c r="K5" i="4"/>
  <c r="J5" i="4"/>
  <c r="J6" i="2" s="1"/>
  <c r="I5" i="4"/>
  <c r="E6" i="2" s="1"/>
  <c r="F6" i="2" s="1"/>
  <c r="H5" i="4"/>
  <c r="Y4" i="4"/>
  <c r="S4" i="4"/>
  <c r="AD4" i="4" s="1"/>
  <c r="O4" i="4"/>
  <c r="N4" i="4"/>
  <c r="M4" i="4"/>
  <c r="L4" i="4"/>
  <c r="W4" i="4" s="1"/>
  <c r="K4" i="4"/>
  <c r="J4" i="4"/>
  <c r="I4" i="4"/>
  <c r="H4" i="4"/>
  <c r="AE3" i="4"/>
  <c r="Z3" i="4"/>
  <c r="Y3" i="4"/>
  <c r="X3" i="4"/>
  <c r="R3" i="4"/>
  <c r="P3" i="4"/>
  <c r="AA3" i="4" s="1"/>
  <c r="O3" i="4"/>
  <c r="T3" i="4" s="1"/>
  <c r="N3" i="4"/>
  <c r="S3" i="4" s="1"/>
  <c r="AD3" i="4" s="1"/>
  <c r="M3" i="4"/>
  <c r="L3" i="4"/>
  <c r="W3" i="4" s="1"/>
  <c r="K3" i="4"/>
  <c r="J3" i="4"/>
  <c r="H3" i="4"/>
  <c r="I3" i="4" s="1"/>
  <c r="W2" i="4"/>
  <c r="O2" i="4"/>
  <c r="Z2" i="4" s="1"/>
  <c r="N2" i="4"/>
  <c r="M2" i="4"/>
  <c r="L2" i="4"/>
  <c r="AH2" i="4" s="1"/>
  <c r="K2" i="4"/>
  <c r="J2" i="4"/>
  <c r="I2" i="4"/>
  <c r="H2" i="4"/>
  <c r="P41" i="3"/>
  <c r="O41" i="3"/>
  <c r="N41" i="3"/>
  <c r="M41" i="3"/>
  <c r="K41" i="3"/>
  <c r="J41" i="3"/>
  <c r="I41" i="3"/>
  <c r="H41" i="3"/>
  <c r="F23" i="3"/>
  <c r="E23" i="3"/>
  <c r="D23" i="3"/>
  <c r="C23" i="3"/>
  <c r="F14" i="3"/>
  <c r="E14" i="3"/>
  <c r="D14" i="3"/>
  <c r="C14" i="3"/>
  <c r="F4" i="3"/>
  <c r="E4" i="3"/>
  <c r="D4" i="3"/>
  <c r="C4" i="3"/>
  <c r="G1" i="3"/>
  <c r="B41" i="2"/>
  <c r="P40" i="3"/>
  <c r="O40" i="3"/>
  <c r="J40" i="2"/>
  <c r="I40" i="2"/>
  <c r="H40" i="2"/>
  <c r="G40" i="2"/>
  <c r="E40" i="2"/>
  <c r="F40" i="2" s="1"/>
  <c r="C40" i="2"/>
  <c r="D40" i="2" s="1"/>
  <c r="A40" i="2"/>
  <c r="V40" i="2" s="1"/>
  <c r="I40" i="3" s="1"/>
  <c r="J39" i="2"/>
  <c r="I39" i="2"/>
  <c r="H39" i="2"/>
  <c r="G39" i="2"/>
  <c r="E39" i="2"/>
  <c r="F39" i="2" s="1"/>
  <c r="C39" i="2"/>
  <c r="D39" i="2" s="1"/>
  <c r="A39" i="2"/>
  <c r="V39" i="2" s="1"/>
  <c r="J38" i="2"/>
  <c r="I38" i="2"/>
  <c r="H38" i="2"/>
  <c r="G38" i="2"/>
  <c r="E38" i="2"/>
  <c r="F38" i="2" s="1"/>
  <c r="C38" i="2"/>
  <c r="D38" i="2" s="1"/>
  <c r="A38" i="2"/>
  <c r="V38" i="2" s="1"/>
  <c r="I38" i="3" s="1"/>
  <c r="J37" i="2"/>
  <c r="I37" i="2"/>
  <c r="H37" i="2"/>
  <c r="G37" i="2"/>
  <c r="A37" i="2"/>
  <c r="V37" i="2" s="1"/>
  <c r="I37" i="3" s="1"/>
  <c r="J36" i="2"/>
  <c r="I36" i="2"/>
  <c r="H36" i="2"/>
  <c r="G36" i="2"/>
  <c r="E36" i="2"/>
  <c r="F36" i="2" s="1"/>
  <c r="C36" i="2"/>
  <c r="D36" i="2" s="1"/>
  <c r="A36" i="2"/>
  <c r="U36" i="2" s="1"/>
  <c r="H36" i="3" s="1"/>
  <c r="O35" i="3"/>
  <c r="N35" i="3"/>
  <c r="J35" i="2"/>
  <c r="I35" i="2"/>
  <c r="H35" i="2"/>
  <c r="G35" i="2"/>
  <c r="E35" i="2"/>
  <c r="F35" i="2" s="1"/>
  <c r="C35" i="2"/>
  <c r="D35" i="2" s="1"/>
  <c r="A35" i="2"/>
  <c r="V35" i="2" s="1"/>
  <c r="I35" i="3" s="1"/>
  <c r="J34" i="2"/>
  <c r="I34" i="2"/>
  <c r="H34" i="2"/>
  <c r="G34" i="2"/>
  <c r="E34" i="2"/>
  <c r="F34" i="2" s="1"/>
  <c r="C34" i="2"/>
  <c r="D34" i="2" s="1"/>
  <c r="A34" i="2"/>
  <c r="U34" i="2" s="1"/>
  <c r="H34" i="3" s="1"/>
  <c r="P33" i="3"/>
  <c r="O33" i="3"/>
  <c r="N33" i="3"/>
  <c r="J33" i="2"/>
  <c r="I33" i="2"/>
  <c r="H33" i="2"/>
  <c r="G33" i="2"/>
  <c r="E33" i="2"/>
  <c r="F33" i="2" s="1"/>
  <c r="C33" i="2"/>
  <c r="D33" i="2" s="1"/>
  <c r="A33" i="2"/>
  <c r="U33" i="2" s="1"/>
  <c r="N32" i="3"/>
  <c r="J32" i="2"/>
  <c r="I32" i="2"/>
  <c r="H32" i="2"/>
  <c r="G32" i="2"/>
  <c r="E32" i="2"/>
  <c r="F32" i="2" s="1"/>
  <c r="C32" i="2"/>
  <c r="D32" i="2" s="1"/>
  <c r="A32" i="2"/>
  <c r="U32" i="2" s="1"/>
  <c r="H32" i="3" s="1"/>
  <c r="P31" i="3"/>
  <c r="J31" i="2"/>
  <c r="I31" i="2"/>
  <c r="H31" i="2"/>
  <c r="G31" i="2"/>
  <c r="C31" i="2"/>
  <c r="D31" i="2" s="1"/>
  <c r="A31" i="2"/>
  <c r="U31" i="2" s="1"/>
  <c r="P30" i="3"/>
  <c r="O30" i="3"/>
  <c r="N30" i="3"/>
  <c r="J30" i="2"/>
  <c r="I30" i="2"/>
  <c r="H30" i="2"/>
  <c r="G30" i="2"/>
  <c r="E30" i="2"/>
  <c r="F30" i="2" s="1"/>
  <c r="C30" i="2"/>
  <c r="D30" i="2" s="1"/>
  <c r="A30" i="2"/>
  <c r="V30" i="2" s="1"/>
  <c r="I30" i="3" s="1"/>
  <c r="P29" i="3"/>
  <c r="O29" i="3"/>
  <c r="N29" i="3"/>
  <c r="J29" i="2"/>
  <c r="I29" i="2"/>
  <c r="H29" i="2"/>
  <c r="G29" i="2"/>
  <c r="E29" i="2"/>
  <c r="F29" i="2" s="1"/>
  <c r="C29" i="2"/>
  <c r="D29" i="2" s="1"/>
  <c r="A29" i="2"/>
  <c r="AB29" i="2" s="1"/>
  <c r="P28" i="3"/>
  <c r="O28" i="3"/>
  <c r="N28" i="3"/>
  <c r="J28" i="2"/>
  <c r="I28" i="2"/>
  <c r="H28" i="2"/>
  <c r="G28" i="2"/>
  <c r="C28" i="2"/>
  <c r="D28" i="2" s="1"/>
  <c r="A28" i="2"/>
  <c r="V28" i="2" s="1"/>
  <c r="P27" i="3"/>
  <c r="O27" i="3"/>
  <c r="N27" i="3"/>
  <c r="J27" i="2"/>
  <c r="I27" i="2"/>
  <c r="H27" i="2"/>
  <c r="G27" i="2"/>
  <c r="E27" i="2"/>
  <c r="F27" i="2" s="1"/>
  <c r="C27" i="2"/>
  <c r="D27" i="2" s="1"/>
  <c r="A27" i="2"/>
  <c r="V27" i="2" s="1"/>
  <c r="I27" i="3" s="1"/>
  <c r="P26" i="3"/>
  <c r="O26" i="3"/>
  <c r="N26" i="3"/>
  <c r="A26" i="2"/>
  <c r="V26" i="2" s="1"/>
  <c r="I26" i="3" s="1"/>
  <c r="P25" i="3"/>
  <c r="O25" i="3"/>
  <c r="N25" i="3"/>
  <c r="G25" i="2"/>
  <c r="C25" i="2"/>
  <c r="D25" i="2" s="1"/>
  <c r="A25" i="2"/>
  <c r="R25" i="2" s="1"/>
  <c r="P24" i="3"/>
  <c r="O24" i="3"/>
  <c r="N24" i="3"/>
  <c r="J24" i="2"/>
  <c r="I24" i="2"/>
  <c r="H24" i="2"/>
  <c r="G24" i="2"/>
  <c r="E24" i="2"/>
  <c r="F24" i="2" s="1"/>
  <c r="C24" i="2"/>
  <c r="D24" i="2" s="1"/>
  <c r="A24" i="2"/>
  <c r="V24" i="2" s="1"/>
  <c r="I24" i="3" s="1"/>
  <c r="A23" i="2"/>
  <c r="V23" i="2" s="1"/>
  <c r="I23" i="3" s="1"/>
  <c r="J22" i="2"/>
  <c r="C22" i="2"/>
  <c r="D22" i="2" s="1"/>
  <c r="A22" i="2"/>
  <c r="V22" i="2" s="1"/>
  <c r="I22" i="3" s="1"/>
  <c r="O21" i="3"/>
  <c r="H21" i="2"/>
  <c r="G21" i="2"/>
  <c r="E21" i="2"/>
  <c r="F21" i="2" s="1"/>
  <c r="C21" i="2"/>
  <c r="D21" i="2" s="1"/>
  <c r="A21" i="2"/>
  <c r="V21" i="2" s="1"/>
  <c r="I21" i="3" s="1"/>
  <c r="P20" i="3"/>
  <c r="J20" i="2"/>
  <c r="I20" i="2"/>
  <c r="H20" i="2"/>
  <c r="G20" i="2"/>
  <c r="E20" i="2"/>
  <c r="F20" i="2" s="1"/>
  <c r="C20" i="2"/>
  <c r="D20" i="2" s="1"/>
  <c r="A20" i="2"/>
  <c r="Q20" i="2" s="1"/>
  <c r="O19" i="3"/>
  <c r="C19" i="2"/>
  <c r="D19" i="2" s="1"/>
  <c r="A19" i="2"/>
  <c r="U19" i="2" s="1"/>
  <c r="H19" i="3" s="1"/>
  <c r="P18" i="3"/>
  <c r="J18" i="2"/>
  <c r="I18" i="2"/>
  <c r="H18" i="2"/>
  <c r="G18" i="2"/>
  <c r="E18" i="2"/>
  <c r="F18" i="2" s="1"/>
  <c r="C18" i="2"/>
  <c r="D18" i="2" s="1"/>
  <c r="A18" i="2"/>
  <c r="U18" i="2" s="1"/>
  <c r="O17" i="3"/>
  <c r="J17" i="2"/>
  <c r="I17" i="2"/>
  <c r="H17" i="2"/>
  <c r="G17" i="2"/>
  <c r="E17" i="2"/>
  <c r="F17" i="2" s="1"/>
  <c r="C17" i="2"/>
  <c r="D17" i="2" s="1"/>
  <c r="A17" i="2"/>
  <c r="U17" i="2" s="1"/>
  <c r="P16" i="3"/>
  <c r="N16" i="3"/>
  <c r="J16" i="2"/>
  <c r="I16" i="2"/>
  <c r="H16" i="2"/>
  <c r="G16" i="2"/>
  <c r="A16" i="2"/>
  <c r="U16" i="2" s="1"/>
  <c r="J15" i="2"/>
  <c r="I15" i="2"/>
  <c r="H15" i="2"/>
  <c r="G15" i="2"/>
  <c r="E15" i="2"/>
  <c r="F15" i="2" s="1"/>
  <c r="C15" i="2"/>
  <c r="D15" i="2" s="1"/>
  <c r="A15" i="2"/>
  <c r="V15" i="2" s="1"/>
  <c r="P14" i="3"/>
  <c r="N14" i="3"/>
  <c r="J14" i="2"/>
  <c r="I14" i="2"/>
  <c r="H14" i="2"/>
  <c r="E14" i="2"/>
  <c r="F14" i="2" s="1"/>
  <c r="C14" i="2"/>
  <c r="D14" i="2" s="1"/>
  <c r="A14" i="2"/>
  <c r="V14" i="2" s="1"/>
  <c r="I14" i="3" s="1"/>
  <c r="P13" i="3"/>
  <c r="O13" i="3"/>
  <c r="N13" i="3"/>
  <c r="J13" i="2"/>
  <c r="I13" i="2"/>
  <c r="H13" i="2"/>
  <c r="G13" i="2"/>
  <c r="C13" i="2"/>
  <c r="D13" i="2" s="1"/>
  <c r="A13" i="2"/>
  <c r="V13" i="2" s="1"/>
  <c r="P12" i="3"/>
  <c r="O12" i="3"/>
  <c r="N12" i="3"/>
  <c r="A12" i="2"/>
  <c r="V12" i="2" s="1"/>
  <c r="I12" i="3" s="1"/>
  <c r="P11" i="3"/>
  <c r="O11" i="3"/>
  <c r="N11" i="3"/>
  <c r="J11" i="2"/>
  <c r="I11" i="2"/>
  <c r="H11" i="2"/>
  <c r="G11" i="2"/>
  <c r="E11" i="2"/>
  <c r="F11" i="2" s="1"/>
  <c r="C11" i="2"/>
  <c r="D11" i="2" s="1"/>
  <c r="A11" i="2"/>
  <c r="V11" i="2" s="1"/>
  <c r="I11" i="3" s="1"/>
  <c r="P10" i="3"/>
  <c r="O10" i="3"/>
  <c r="N10" i="3"/>
  <c r="H10" i="2"/>
  <c r="G10" i="2"/>
  <c r="A10" i="2"/>
  <c r="V10" i="2" s="1"/>
  <c r="I10" i="3" s="1"/>
  <c r="P9" i="3"/>
  <c r="O9" i="3"/>
  <c r="N9" i="3"/>
  <c r="J9" i="2"/>
  <c r="I9" i="2"/>
  <c r="H9" i="2"/>
  <c r="G9" i="2"/>
  <c r="E9" i="2"/>
  <c r="F9" i="2" s="1"/>
  <c r="C9" i="2"/>
  <c r="D9" i="2" s="1"/>
  <c r="A9" i="2"/>
  <c r="V9" i="2" s="1"/>
  <c r="I9" i="3" s="1"/>
  <c r="P8" i="3"/>
  <c r="O8" i="3"/>
  <c r="N8" i="3"/>
  <c r="J8" i="2"/>
  <c r="I8" i="2"/>
  <c r="H8" i="2"/>
  <c r="C8" i="2"/>
  <c r="D8" i="2" s="1"/>
  <c r="A8" i="2"/>
  <c r="W8" i="2" s="1"/>
  <c r="J8" i="3" s="1"/>
  <c r="P7" i="3"/>
  <c r="O7" i="3"/>
  <c r="N7" i="3"/>
  <c r="J7" i="2"/>
  <c r="I7" i="2"/>
  <c r="H7" i="2"/>
  <c r="G7" i="2"/>
  <c r="E7" i="2"/>
  <c r="F7" i="2" s="1"/>
  <c r="C7" i="2"/>
  <c r="D7" i="2" s="1"/>
  <c r="A7" i="2"/>
  <c r="V7" i="2" s="1"/>
  <c r="I7" i="3" s="1"/>
  <c r="O6" i="3"/>
  <c r="N6" i="3"/>
  <c r="I6" i="2"/>
  <c r="H6" i="2"/>
  <c r="G6" i="2"/>
  <c r="C6" i="2"/>
  <c r="D6" i="2" s="1"/>
  <c r="A6" i="2"/>
  <c r="V6" i="2" s="1"/>
  <c r="I6" i="3" s="1"/>
  <c r="P5" i="3"/>
  <c r="O5" i="3"/>
  <c r="N5" i="3"/>
  <c r="E5" i="2"/>
  <c r="F5" i="2" s="1"/>
  <c r="C5" i="2"/>
  <c r="D5" i="2" s="1"/>
  <c r="A5" i="2"/>
  <c r="U5" i="2" s="1"/>
  <c r="H5" i="3" s="1"/>
  <c r="J4" i="2"/>
  <c r="I4" i="2"/>
  <c r="H4" i="2"/>
  <c r="G4" i="2"/>
  <c r="E4" i="2"/>
  <c r="F4" i="2" s="1"/>
  <c r="C4" i="2"/>
  <c r="A4" i="2"/>
  <c r="U4" i="2" s="1"/>
  <c r="H4" i="3" s="1"/>
  <c r="B21" i="1"/>
  <c r="B15" i="1"/>
  <c r="AC29" i="2" l="1"/>
  <c r="Q18" i="2"/>
  <c r="Q29" i="2"/>
  <c r="X39" i="2"/>
  <c r="Q13" i="2"/>
  <c r="X22" i="2"/>
  <c r="K22" i="3" s="1"/>
  <c r="R18" i="2"/>
  <c r="AB4" i="2"/>
  <c r="M29" i="3"/>
  <c r="P13" i="2"/>
  <c r="AA36" i="2"/>
  <c r="P7" i="2"/>
  <c r="R8" i="2"/>
  <c r="AB6" i="2"/>
  <c r="M22" i="3"/>
  <c r="Z13" i="2"/>
  <c r="X36" i="2"/>
  <c r="K36" i="3" s="1"/>
  <c r="AA7" i="2"/>
  <c r="V29" i="2"/>
  <c r="I29" i="3" s="1"/>
  <c r="P31" i="2"/>
  <c r="R7" i="2"/>
  <c r="AB38" i="2"/>
  <c r="M21" i="3"/>
  <c r="S7" i="2"/>
  <c r="M34" i="3"/>
  <c r="X33" i="2"/>
  <c r="K33" i="3" s="1"/>
  <c r="M33" i="3"/>
  <c r="V25" i="2"/>
  <c r="I25" i="3" s="1"/>
  <c r="P30" i="2"/>
  <c r="S4" i="2"/>
  <c r="AB27" i="2"/>
  <c r="M20" i="3"/>
  <c r="V18" i="2"/>
  <c r="I18" i="3" s="1"/>
  <c r="V20" i="2"/>
  <c r="P29" i="2"/>
  <c r="S22" i="2"/>
  <c r="AB7" i="2"/>
  <c r="M18" i="3"/>
  <c r="AB5" i="2"/>
  <c r="Q15" i="2"/>
  <c r="S9" i="2"/>
  <c r="W34" i="2"/>
  <c r="J34" i="3" s="1"/>
  <c r="AB36" i="2"/>
  <c r="AB28" i="2"/>
  <c r="R38" i="2"/>
  <c r="W29" i="2"/>
  <c r="J29" i="3" s="1"/>
  <c r="X20" i="2"/>
  <c r="K20" i="3" s="1"/>
  <c r="P10" i="2"/>
  <c r="R37" i="2"/>
  <c r="S38" i="2"/>
  <c r="Z31" i="2"/>
  <c r="AA23" i="2"/>
  <c r="AB25" i="2"/>
  <c r="AC15" i="2"/>
  <c r="M16" i="3"/>
  <c r="AA39" i="2"/>
  <c r="W20" i="2"/>
  <c r="J20" i="3" s="1"/>
  <c r="X18" i="2"/>
  <c r="P9" i="2"/>
  <c r="R36" i="2"/>
  <c r="S36" i="2"/>
  <c r="Z30" i="2"/>
  <c r="AA22" i="2"/>
  <c r="AB24" i="2"/>
  <c r="AC13" i="2"/>
  <c r="M15" i="3"/>
  <c r="W19" i="2"/>
  <c r="J19" i="3" s="1"/>
  <c r="X9" i="2"/>
  <c r="Q4" i="2"/>
  <c r="R33" i="2"/>
  <c r="S29" i="2"/>
  <c r="Z29" i="2"/>
  <c r="AA21" i="2"/>
  <c r="AB22" i="2"/>
  <c r="AC10" i="2"/>
  <c r="AE5" i="2"/>
  <c r="M5" i="3" s="1"/>
  <c r="P15" i="2"/>
  <c r="M19" i="3"/>
  <c r="S39" i="2"/>
  <c r="U6" i="2"/>
  <c r="K6" i="2" s="1"/>
  <c r="W18" i="2"/>
  <c r="X8" i="2"/>
  <c r="Q34" i="2"/>
  <c r="R24" i="2"/>
  <c r="S28" i="2"/>
  <c r="Z27" i="2"/>
  <c r="AA20" i="2"/>
  <c r="AB20" i="2"/>
  <c r="AC9" i="2"/>
  <c r="AE4" i="2"/>
  <c r="M4" i="3" s="1"/>
  <c r="AA37" i="2"/>
  <c r="Z4" i="2"/>
  <c r="S6" i="2"/>
  <c r="U29" i="2"/>
  <c r="H29" i="3" s="1"/>
  <c r="W16" i="2"/>
  <c r="J16" i="3" s="1"/>
  <c r="X7" i="2"/>
  <c r="K7" i="3" s="1"/>
  <c r="Q33" i="2"/>
  <c r="R23" i="2"/>
  <c r="S27" i="2"/>
  <c r="Z18" i="2"/>
  <c r="AA19" i="2"/>
  <c r="AB11" i="2"/>
  <c r="M38" i="3"/>
  <c r="X37" i="2"/>
  <c r="K37" i="3" s="1"/>
  <c r="AB39" i="2"/>
  <c r="X25" i="2"/>
  <c r="K25" i="3" s="1"/>
  <c r="AA34" i="2"/>
  <c r="R39" i="2"/>
  <c r="Z34" i="2"/>
  <c r="U11" i="2"/>
  <c r="H11" i="3" s="1"/>
  <c r="W15" i="2"/>
  <c r="J15" i="3" s="1"/>
  <c r="P4" i="2"/>
  <c r="Q31" i="2"/>
  <c r="R22" i="2"/>
  <c r="S25" i="2"/>
  <c r="Z16" i="2"/>
  <c r="AA18" i="2"/>
  <c r="AB10" i="2"/>
  <c r="M37" i="3"/>
  <c r="R15" i="2"/>
  <c r="S5" i="2"/>
  <c r="Z33" i="2"/>
  <c r="V33" i="2"/>
  <c r="I33" i="3" s="1"/>
  <c r="X6" i="2"/>
  <c r="K6" i="3" s="1"/>
  <c r="P6" i="2"/>
  <c r="Q30" i="2"/>
  <c r="R21" i="2"/>
  <c r="S24" i="2"/>
  <c r="Z15" i="2"/>
  <c r="AA15" i="2"/>
  <c r="AB9" i="2"/>
  <c r="M36" i="3"/>
  <c r="M14" i="3"/>
  <c r="Q35" i="2"/>
  <c r="AC17" i="2"/>
  <c r="X23" i="2"/>
  <c r="K23" i="3" s="1"/>
  <c r="P14" i="2"/>
  <c r="S11" i="2"/>
  <c r="Z32" i="2"/>
  <c r="X21" i="2"/>
  <c r="K21" i="3" s="1"/>
  <c r="P28" i="2"/>
  <c r="Z14" i="2"/>
  <c r="AA35" i="2"/>
  <c r="P11" i="2"/>
  <c r="AC28" i="2"/>
  <c r="V19" i="2"/>
  <c r="I19" i="3" s="1"/>
  <c r="Q28" i="2"/>
  <c r="R17" i="2"/>
  <c r="Z11" i="2"/>
  <c r="AA16" i="2"/>
  <c r="AC26" i="2"/>
  <c r="U40" i="2"/>
  <c r="H40" i="3" s="1"/>
  <c r="W12" i="2"/>
  <c r="J12" i="3" s="1"/>
  <c r="P40" i="2"/>
  <c r="W27" i="2"/>
  <c r="J27" i="3" s="1"/>
  <c r="W11" i="2"/>
  <c r="J11" i="3" s="1"/>
  <c r="X32" i="2"/>
  <c r="K32" i="3" s="1"/>
  <c r="P39" i="2"/>
  <c r="Q5" i="2"/>
  <c r="Q26" i="2"/>
  <c r="Q10" i="2"/>
  <c r="R31" i="2"/>
  <c r="Z6" i="2"/>
  <c r="Z25" i="2"/>
  <c r="Z9" i="2"/>
  <c r="AA14" i="2"/>
  <c r="AB35" i="2"/>
  <c r="AB19" i="2"/>
  <c r="AC40" i="2"/>
  <c r="AC24" i="2"/>
  <c r="AC8" i="2"/>
  <c r="M13" i="3"/>
  <c r="AB12" i="2"/>
  <c r="AB26" i="2"/>
  <c r="AB8" i="2"/>
  <c r="AB23" i="2"/>
  <c r="M17" i="3"/>
  <c r="W14" i="2"/>
  <c r="J14" i="3" s="1"/>
  <c r="X19" i="2"/>
  <c r="K19" i="3" s="1"/>
  <c r="P26" i="2"/>
  <c r="S23" i="2"/>
  <c r="U28" i="2"/>
  <c r="H28" i="3" s="1"/>
  <c r="W5" i="2"/>
  <c r="J5" i="3" s="1"/>
  <c r="W26" i="2"/>
  <c r="J26" i="3" s="1"/>
  <c r="W10" i="2"/>
  <c r="J10" i="3" s="1"/>
  <c r="X31" i="2"/>
  <c r="K31" i="3" s="1"/>
  <c r="X15" i="2"/>
  <c r="K15" i="3" s="1"/>
  <c r="P38" i="2"/>
  <c r="P22" i="2"/>
  <c r="Q6" i="2"/>
  <c r="Q25" i="2"/>
  <c r="Q9" i="2"/>
  <c r="R30" i="2"/>
  <c r="R14" i="2"/>
  <c r="S35" i="2"/>
  <c r="S19" i="2"/>
  <c r="Z40" i="2"/>
  <c r="Z24" i="2"/>
  <c r="Z8" i="2"/>
  <c r="AA29" i="2"/>
  <c r="AA13" i="2"/>
  <c r="AB34" i="2"/>
  <c r="AB18" i="2"/>
  <c r="AC39" i="2"/>
  <c r="AC23" i="2"/>
  <c r="AC7" i="2"/>
  <c r="M28" i="3"/>
  <c r="M12" i="3"/>
  <c r="P32" i="2"/>
  <c r="W17" i="2"/>
  <c r="M17" i="2" s="1"/>
  <c r="M35" i="3"/>
  <c r="P5" i="2"/>
  <c r="P12" i="2"/>
  <c r="R34" i="2"/>
  <c r="AA17" i="2"/>
  <c r="AC11" i="2"/>
  <c r="AB37" i="2"/>
  <c r="R32" i="2"/>
  <c r="R16" i="2"/>
  <c r="S37" i="2"/>
  <c r="Z5" i="2"/>
  <c r="Z26" i="2"/>
  <c r="AA31" i="2"/>
  <c r="P23" i="2"/>
  <c r="U25" i="2"/>
  <c r="H25" i="3" s="1"/>
  <c r="W6" i="2"/>
  <c r="J6" i="3" s="1"/>
  <c r="W25" i="2"/>
  <c r="J25" i="3" s="1"/>
  <c r="W9" i="2"/>
  <c r="J9" i="3" s="1"/>
  <c r="X30" i="2"/>
  <c r="K30" i="3" s="1"/>
  <c r="X14" i="2"/>
  <c r="K14" i="3" s="1"/>
  <c r="P37" i="2"/>
  <c r="P21" i="2"/>
  <c r="Q40" i="2"/>
  <c r="Q24" i="2"/>
  <c r="Q8" i="2"/>
  <c r="R29" i="2"/>
  <c r="R13" i="2"/>
  <c r="S34" i="2"/>
  <c r="S18" i="2"/>
  <c r="Z39" i="2"/>
  <c r="Z23" i="2"/>
  <c r="Z7" i="2"/>
  <c r="AA28" i="2"/>
  <c r="AA12" i="2"/>
  <c r="AB33" i="2"/>
  <c r="AB17" i="2"/>
  <c r="AC38" i="2"/>
  <c r="AC22" i="2"/>
  <c r="M27" i="3"/>
  <c r="M11" i="3"/>
  <c r="X34" i="2"/>
  <c r="K34" i="3" s="1"/>
  <c r="P8" i="2"/>
  <c r="Q12" i="2"/>
  <c r="AC5" i="2"/>
  <c r="W28" i="2"/>
  <c r="M28" i="2" s="1"/>
  <c r="U24" i="2"/>
  <c r="H24" i="3" s="1"/>
  <c r="W40" i="2"/>
  <c r="J40" i="3" s="1"/>
  <c r="W24" i="2"/>
  <c r="J24" i="3" s="1"/>
  <c r="X29" i="2"/>
  <c r="K29" i="3" s="1"/>
  <c r="X13" i="2"/>
  <c r="P36" i="2"/>
  <c r="P20" i="2"/>
  <c r="Q39" i="2"/>
  <c r="Q23" i="2"/>
  <c r="Q7" i="2"/>
  <c r="R28" i="2"/>
  <c r="R12" i="2"/>
  <c r="S33" i="2"/>
  <c r="S17" i="2"/>
  <c r="Z38" i="2"/>
  <c r="Z22" i="2"/>
  <c r="AA4" i="2"/>
  <c r="AA27" i="2"/>
  <c r="AA11" i="2"/>
  <c r="AB32" i="2"/>
  <c r="AB16" i="2"/>
  <c r="AC37" i="2"/>
  <c r="AC21" i="2"/>
  <c r="M26" i="3"/>
  <c r="M10" i="3"/>
  <c r="X35" i="2"/>
  <c r="K35" i="3" s="1"/>
  <c r="Z12" i="2"/>
  <c r="W13" i="2"/>
  <c r="J13" i="3" s="1"/>
  <c r="P25" i="2"/>
  <c r="AB21" i="2"/>
  <c r="Q27" i="2"/>
  <c r="S21" i="2"/>
  <c r="AC25" i="2"/>
  <c r="U20" i="2"/>
  <c r="H20" i="3" s="1"/>
  <c r="W39" i="2"/>
  <c r="M39" i="2" s="1"/>
  <c r="W23" i="2"/>
  <c r="J23" i="3" s="1"/>
  <c r="W7" i="2"/>
  <c r="X28" i="2"/>
  <c r="K28" i="3" s="1"/>
  <c r="X12" i="2"/>
  <c r="K12" i="3" s="1"/>
  <c r="P35" i="2"/>
  <c r="P19" i="2"/>
  <c r="Q38" i="2"/>
  <c r="Q22" i="2"/>
  <c r="R4" i="2"/>
  <c r="R27" i="2"/>
  <c r="R11" i="2"/>
  <c r="S32" i="2"/>
  <c r="S16" i="2"/>
  <c r="Z37" i="2"/>
  <c r="Z21" i="2"/>
  <c r="AA5" i="2"/>
  <c r="AA26" i="2"/>
  <c r="AA10" i="2"/>
  <c r="AB31" i="2"/>
  <c r="AB15" i="2"/>
  <c r="AC36" i="2"/>
  <c r="AC20" i="2"/>
  <c r="M6" i="3"/>
  <c r="M25" i="3"/>
  <c r="M9" i="3"/>
  <c r="S12" i="2"/>
  <c r="Z17" i="2"/>
  <c r="AC32" i="2"/>
  <c r="V32" i="2"/>
  <c r="I32" i="3" s="1"/>
  <c r="Q17" i="2"/>
  <c r="K8" i="3"/>
  <c r="S26" i="2"/>
  <c r="AC14" i="2"/>
  <c r="W31" i="2"/>
  <c r="J31" i="3" s="1"/>
  <c r="Q14" i="2"/>
  <c r="R35" i="2"/>
  <c r="R19" i="2"/>
  <c r="S40" i="2"/>
  <c r="S8" i="2"/>
  <c r="M32" i="3"/>
  <c r="AA32" i="2"/>
  <c r="M31" i="3"/>
  <c r="X16" i="2"/>
  <c r="K16" i="3" s="1"/>
  <c r="U15" i="2"/>
  <c r="H15" i="3" s="1"/>
  <c r="W38" i="2"/>
  <c r="J38" i="3" s="1"/>
  <c r="W22" i="2"/>
  <c r="J22" i="3" s="1"/>
  <c r="X4" i="2"/>
  <c r="K4" i="3" s="1"/>
  <c r="X27" i="2"/>
  <c r="K27" i="3" s="1"/>
  <c r="X11" i="2"/>
  <c r="K11" i="3" s="1"/>
  <c r="P34" i="2"/>
  <c r="P18" i="2"/>
  <c r="Q37" i="2"/>
  <c r="Q21" i="2"/>
  <c r="R5" i="2"/>
  <c r="R26" i="2"/>
  <c r="R10" i="2"/>
  <c r="S31" i="2"/>
  <c r="S15" i="2"/>
  <c r="Z36" i="2"/>
  <c r="Z20" i="2"/>
  <c r="AA6" i="2"/>
  <c r="AA25" i="2"/>
  <c r="AA9" i="2"/>
  <c r="AB30" i="2"/>
  <c r="AB14" i="2"/>
  <c r="AC35" i="2"/>
  <c r="AC19" i="2"/>
  <c r="M40" i="3"/>
  <c r="M24" i="3"/>
  <c r="M8" i="3"/>
  <c r="W35" i="2"/>
  <c r="J35" i="3" s="1"/>
  <c r="Q32" i="2"/>
  <c r="W32" i="2"/>
  <c r="J32" i="3" s="1"/>
  <c r="AB40" i="2"/>
  <c r="AC12" i="2"/>
  <c r="Z28" i="2"/>
  <c r="X17" i="2"/>
  <c r="K17" i="3" s="1"/>
  <c r="Q11" i="2"/>
  <c r="U14" i="2"/>
  <c r="H14" i="3" s="1"/>
  <c r="W37" i="2"/>
  <c r="J37" i="3" s="1"/>
  <c r="W21" i="2"/>
  <c r="J21" i="3" s="1"/>
  <c r="X5" i="2"/>
  <c r="K5" i="3" s="1"/>
  <c r="X26" i="2"/>
  <c r="K26" i="3" s="1"/>
  <c r="X10" i="2"/>
  <c r="K10" i="3" s="1"/>
  <c r="P33" i="2"/>
  <c r="P17" i="2"/>
  <c r="Q36" i="2"/>
  <c r="R6" i="2"/>
  <c r="R9" i="2"/>
  <c r="S30" i="2"/>
  <c r="S14" i="2"/>
  <c r="Z35" i="2"/>
  <c r="Z19" i="2"/>
  <c r="AA40" i="2"/>
  <c r="AA24" i="2"/>
  <c r="AA8" i="2"/>
  <c r="AB13" i="2"/>
  <c r="AC34" i="2"/>
  <c r="AC18" i="2"/>
  <c r="M39" i="3"/>
  <c r="M23" i="3"/>
  <c r="M7" i="3"/>
  <c r="V34" i="2"/>
  <c r="I34" i="3" s="1"/>
  <c r="V31" i="2"/>
  <c r="I31" i="3" s="1"/>
  <c r="U13" i="2"/>
  <c r="H13" i="3" s="1"/>
  <c r="U9" i="2"/>
  <c r="H9" i="3" s="1"/>
  <c r="V16" i="2"/>
  <c r="I16" i="3" s="1"/>
  <c r="U38" i="2"/>
  <c r="H38" i="3" s="1"/>
  <c r="U8" i="2"/>
  <c r="H8" i="3" s="1"/>
  <c r="U12" i="2"/>
  <c r="H12" i="3" s="1"/>
  <c r="U37" i="2"/>
  <c r="H37" i="3" s="1"/>
  <c r="V5" i="2"/>
  <c r="I5" i="3" s="1"/>
  <c r="U35" i="2"/>
  <c r="V36" i="2"/>
  <c r="I36" i="3" s="1"/>
  <c r="U30" i="2"/>
  <c r="H30" i="3" s="1"/>
  <c r="U27" i="2"/>
  <c r="H27" i="3" s="1"/>
  <c r="U10" i="2"/>
  <c r="H10" i="3" s="1"/>
  <c r="U23" i="2"/>
  <c r="H23" i="3" s="1"/>
  <c r="V4" i="2"/>
  <c r="I4" i="3" s="1"/>
  <c r="V8" i="2"/>
  <c r="I8" i="3" s="1"/>
  <c r="U22" i="2"/>
  <c r="H22" i="3" s="1"/>
  <c r="U21" i="2"/>
  <c r="H21" i="3" s="1"/>
  <c r="V17" i="2"/>
  <c r="I17" i="3" s="1"/>
  <c r="U26" i="2"/>
  <c r="H26" i="3" s="1"/>
  <c r="J4" i="3"/>
  <c r="U39" i="2"/>
  <c r="H39" i="3" s="1"/>
  <c r="U7" i="2"/>
  <c r="H7" i="3" s="1"/>
  <c r="L28" i="2"/>
  <c r="K33" i="2"/>
  <c r="N13" i="2"/>
  <c r="M7" i="2"/>
  <c r="K17" i="2"/>
  <c r="L13" i="2"/>
  <c r="K4" i="2"/>
  <c r="E7" i="1"/>
  <c r="N10" i="2"/>
  <c r="N36" i="2"/>
  <c r="L38" i="2"/>
  <c r="N11" i="2"/>
  <c r="I15" i="3"/>
  <c r="L15" i="2"/>
  <c r="K13" i="3"/>
  <c r="K32" i="2"/>
  <c r="I28" i="3"/>
  <c r="J18" i="3"/>
  <c r="M18" i="2"/>
  <c r="K38" i="3"/>
  <c r="N38" i="2"/>
  <c r="E12" i="1"/>
  <c r="E16" i="1" s="1"/>
  <c r="E17" i="1"/>
  <c r="K18" i="3"/>
  <c r="N18" i="2"/>
  <c r="N9" i="2"/>
  <c r="K9" i="3"/>
  <c r="L7" i="2"/>
  <c r="H33" i="3"/>
  <c r="M8" i="2"/>
  <c r="L14" i="2"/>
  <c r="J7" i="3"/>
  <c r="L21" i="2"/>
  <c r="N8" i="2"/>
  <c r="L9" i="2"/>
  <c r="L10" i="2"/>
  <c r="M14" i="2"/>
  <c r="L35" i="2"/>
  <c r="N40" i="2"/>
  <c r="H17" i="3"/>
  <c r="L6" i="2"/>
  <c r="M31" i="2"/>
  <c r="L11" i="2"/>
  <c r="N14" i="2"/>
  <c r="L18" i="2"/>
  <c r="K36" i="2"/>
  <c r="N22" i="2"/>
  <c r="E15" i="1"/>
  <c r="K28" i="2"/>
  <c r="K38" i="2"/>
  <c r="Q3" i="4"/>
  <c r="AC3" i="4"/>
  <c r="U3" i="4"/>
  <c r="AF3" i="4" s="1"/>
  <c r="I11" i="4"/>
  <c r="E12" i="2" s="1"/>
  <c r="F12" i="2" s="1"/>
  <c r="C12" i="2"/>
  <c r="D12" i="2" s="1"/>
  <c r="E21" i="1"/>
  <c r="H12" i="2"/>
  <c r="L12" i="2" s="1"/>
  <c r="G12" i="2"/>
  <c r="Q14" i="4"/>
  <c r="AC14" i="4"/>
  <c r="U14" i="4"/>
  <c r="AF14" i="4" s="1"/>
  <c r="G19" i="2"/>
  <c r="K19" i="2" s="1"/>
  <c r="H19" i="2"/>
  <c r="I19" i="2"/>
  <c r="M19" i="2" s="1"/>
  <c r="J25" i="2"/>
  <c r="N25" i="2" s="1"/>
  <c r="I25" i="2"/>
  <c r="AC5" i="4"/>
  <c r="L30" i="2"/>
  <c r="J33" i="3"/>
  <c r="M33" i="2"/>
  <c r="D4" i="2"/>
  <c r="U32" i="4"/>
  <c r="AF32" i="4" s="1"/>
  <c r="Y6" i="4"/>
  <c r="S6" i="4"/>
  <c r="AD6" i="4" s="1"/>
  <c r="M36" i="2"/>
  <c r="U13" i="4"/>
  <c r="AF13" i="4" s="1"/>
  <c r="I20" i="3"/>
  <c r="L20" i="2"/>
  <c r="I5" i="2"/>
  <c r="M5" i="2" s="1"/>
  <c r="J5" i="2"/>
  <c r="N5" i="2" s="1"/>
  <c r="G5" i="2"/>
  <c r="H5" i="2"/>
  <c r="X7" i="4"/>
  <c r="R7" i="4"/>
  <c r="P7" i="4"/>
  <c r="AA7" i="4" s="1"/>
  <c r="AC12" i="4"/>
  <c r="Q12" i="4"/>
  <c r="U12" i="4"/>
  <c r="AF12" i="4" s="1"/>
  <c r="AD29" i="4"/>
  <c r="Q29" i="4"/>
  <c r="I12" i="2"/>
  <c r="Q17" i="4"/>
  <c r="AC17" i="4"/>
  <c r="P4" i="3"/>
  <c r="AH42" i="2"/>
  <c r="M20" i="2"/>
  <c r="AD28" i="4"/>
  <c r="Q28" i="4"/>
  <c r="U28" i="4"/>
  <c r="AF28" i="4" s="1"/>
  <c r="H16" i="3"/>
  <c r="K16" i="2"/>
  <c r="T4" i="4"/>
  <c r="AE4" i="4" s="1"/>
  <c r="Z4" i="4"/>
  <c r="P4" i="4"/>
  <c r="AA4" i="4" s="1"/>
  <c r="E6" i="1"/>
  <c r="AH15" i="4"/>
  <c r="W15" i="4"/>
  <c r="H22" i="2"/>
  <c r="L22" i="2" s="1"/>
  <c r="G22" i="2"/>
  <c r="I22" i="2"/>
  <c r="H26" i="2"/>
  <c r="L26" i="2" s="1"/>
  <c r="J26" i="2"/>
  <c r="N26" i="2" s="1"/>
  <c r="I26" i="2"/>
  <c r="M26" i="2" s="1"/>
  <c r="G26" i="2"/>
  <c r="L37" i="2"/>
  <c r="K39" i="3"/>
  <c r="N39" i="2"/>
  <c r="Y7" i="4"/>
  <c r="S7" i="4"/>
  <c r="AD7" i="4" s="1"/>
  <c r="I22" i="4"/>
  <c r="E23" i="2" s="1"/>
  <c r="F23" i="2" s="1"/>
  <c r="C23" i="2"/>
  <c r="D23" i="2" s="1"/>
  <c r="L27" i="2"/>
  <c r="H35" i="3"/>
  <c r="K35" i="2"/>
  <c r="AH17" i="4"/>
  <c r="W17" i="4"/>
  <c r="J23" i="2"/>
  <c r="N23" i="2" s="1"/>
  <c r="I23" i="2"/>
  <c r="M23" i="2" s="1"/>
  <c r="H23" i="2"/>
  <c r="L23" i="2" s="1"/>
  <c r="AG42" i="2"/>
  <c r="O4" i="3"/>
  <c r="J12" i="2"/>
  <c r="H25" i="2"/>
  <c r="L39" i="2"/>
  <c r="I39" i="3"/>
  <c r="X9" i="4"/>
  <c r="R9" i="4"/>
  <c r="P9" i="4"/>
  <c r="AA9" i="4" s="1"/>
  <c r="H31" i="3"/>
  <c r="K31" i="2"/>
  <c r="S9" i="4"/>
  <c r="AD9" i="4" s="1"/>
  <c r="Y9" i="4"/>
  <c r="X6" i="4"/>
  <c r="P6" i="4"/>
  <c r="AA6" i="4" s="1"/>
  <c r="R6" i="4"/>
  <c r="C10" i="2"/>
  <c r="D10" i="2" s="1"/>
  <c r="R2" i="4"/>
  <c r="P2" i="4"/>
  <c r="AA2" i="4" s="1"/>
  <c r="X2" i="4"/>
  <c r="L29" i="2"/>
  <c r="S2" i="4"/>
  <c r="AD2" i="4" s="1"/>
  <c r="Y2" i="4"/>
  <c r="Y15" i="4"/>
  <c r="S15" i="4"/>
  <c r="I25" i="4"/>
  <c r="E26" i="2" s="1"/>
  <c r="F26" i="2" s="1"/>
  <c r="C26" i="2"/>
  <c r="D26" i="2" s="1"/>
  <c r="AN31" i="4"/>
  <c r="AJ31" i="4"/>
  <c r="AB31" i="4"/>
  <c r="AO31" i="4"/>
  <c r="Q32" i="4"/>
  <c r="AC32" i="4"/>
  <c r="X4" i="4"/>
  <c r="R4" i="4"/>
  <c r="J19" i="2"/>
  <c r="K34" i="2"/>
  <c r="P8" i="4"/>
  <c r="AA8" i="4" s="1"/>
  <c r="AC15" i="4"/>
  <c r="E18" i="1"/>
  <c r="X11" i="4"/>
  <c r="R11" i="4"/>
  <c r="P11" i="4"/>
  <c r="AA11" i="4" s="1"/>
  <c r="P17" i="4"/>
  <c r="AA17" i="4" s="1"/>
  <c r="X21" i="4"/>
  <c r="R21" i="4"/>
  <c r="P21" i="4"/>
  <c r="AA21" i="4" s="1"/>
  <c r="Z27" i="4"/>
  <c r="T27" i="4"/>
  <c r="AE27" i="4" s="1"/>
  <c r="I21" i="2"/>
  <c r="M21" i="2" s="1"/>
  <c r="S17" i="4"/>
  <c r="AD17" i="4" s="1"/>
  <c r="Y21" i="4"/>
  <c r="S21" i="4"/>
  <c r="AD21" i="4" s="1"/>
  <c r="Y24" i="4"/>
  <c r="S24" i="4"/>
  <c r="AD24" i="4" s="1"/>
  <c r="Z26" i="4"/>
  <c r="T26" i="4"/>
  <c r="AE26" i="4" s="1"/>
  <c r="AK31" i="4"/>
  <c r="Z6" i="4"/>
  <c r="T6" i="4"/>
  <c r="AE6" i="4" s="1"/>
  <c r="Z9" i="4"/>
  <c r="T9" i="4"/>
  <c r="AE9" i="4" s="1"/>
  <c r="R18" i="4"/>
  <c r="P18" i="4"/>
  <c r="AA18" i="4" s="1"/>
  <c r="X18" i="4"/>
  <c r="W26" i="4"/>
  <c r="AH26" i="4"/>
  <c r="X27" i="4"/>
  <c r="R27" i="4"/>
  <c r="P27" i="4"/>
  <c r="AA27" i="4" s="1"/>
  <c r="U16" i="4"/>
  <c r="AF16" i="4" s="1"/>
  <c r="I10" i="2"/>
  <c r="M30" i="2"/>
  <c r="T8" i="4"/>
  <c r="AE8" i="4" s="1"/>
  <c r="P10" i="4"/>
  <c r="AA10" i="4" s="1"/>
  <c r="Z11" i="4"/>
  <c r="T11" i="4"/>
  <c r="AE11" i="4" s="1"/>
  <c r="X20" i="4"/>
  <c r="R20" i="4"/>
  <c r="P20" i="4"/>
  <c r="AA20" i="4" s="1"/>
  <c r="Z24" i="4"/>
  <c r="T24" i="4"/>
  <c r="AE24" i="4" s="1"/>
  <c r="P26" i="4"/>
  <c r="AA26" i="4" s="1"/>
  <c r="P29" i="4"/>
  <c r="AA29" i="4" s="1"/>
  <c r="AM31" i="4"/>
  <c r="R24" i="4"/>
  <c r="X24" i="4"/>
  <c r="E19" i="1"/>
  <c r="E11" i="1"/>
  <c r="N30" i="2"/>
  <c r="M34" i="2"/>
  <c r="AH4" i="4"/>
  <c r="Q10" i="4"/>
  <c r="AH13" i="4"/>
  <c r="W13" i="4"/>
  <c r="AO19" i="4"/>
  <c r="AM19" i="4"/>
  <c r="AK19" i="4"/>
  <c r="AI19" i="4"/>
  <c r="AN19" i="4"/>
  <c r="AJ19" i="4"/>
  <c r="Y23" i="4"/>
  <c r="S23" i="4"/>
  <c r="AD23" i="4" s="1"/>
  <c r="P24" i="4"/>
  <c r="AA24" i="4" s="1"/>
  <c r="AC34" i="4"/>
  <c r="L24" i="2"/>
  <c r="K40" i="2"/>
  <c r="P13" i="4"/>
  <c r="AA13" i="4" s="1"/>
  <c r="T20" i="4"/>
  <c r="AE20" i="4" s="1"/>
  <c r="Z20" i="4"/>
  <c r="Z29" i="4"/>
  <c r="T29" i="4"/>
  <c r="AE29" i="4" s="1"/>
  <c r="AO35" i="4"/>
  <c r="AM35" i="4"/>
  <c r="AK35" i="4"/>
  <c r="AJ35" i="4"/>
  <c r="AI35" i="4"/>
  <c r="AN35" i="4"/>
  <c r="H18" i="3"/>
  <c r="K18" i="2"/>
  <c r="L40" i="2"/>
  <c r="I15" i="4"/>
  <c r="E16" i="2" s="1"/>
  <c r="F16" i="2" s="1"/>
  <c r="C16" i="2"/>
  <c r="D16" i="2" s="1"/>
  <c r="S26" i="4"/>
  <c r="Y39" i="4"/>
  <c r="S39" i="4"/>
  <c r="AD39" i="4" s="1"/>
  <c r="AB8" i="4"/>
  <c r="AO8" i="4"/>
  <c r="AJ8" i="4"/>
  <c r="AM8" i="4"/>
  <c r="AK8" i="4"/>
  <c r="AI8" i="4"/>
  <c r="Z39" i="4"/>
  <c r="T39" i="4"/>
  <c r="AE39" i="4" s="1"/>
  <c r="N4" i="3"/>
  <c r="AF42" i="2"/>
  <c r="N24" i="2"/>
  <c r="I13" i="3"/>
  <c r="U10" i="4"/>
  <c r="AF10" i="4" s="1"/>
  <c r="Z13" i="4"/>
  <c r="T13" i="4"/>
  <c r="AE13" i="4" s="1"/>
  <c r="AC23" i="4"/>
  <c r="AH24" i="4"/>
  <c r="AC29" i="4"/>
  <c r="U29" i="4"/>
  <c r="AF29" i="4" s="1"/>
  <c r="AB35" i="4"/>
  <c r="Q13" i="4"/>
  <c r="X38" i="4"/>
  <c r="R38" i="4"/>
  <c r="P38" i="4"/>
  <c r="AA38" i="4" s="1"/>
  <c r="W22" i="4"/>
  <c r="AH22" i="4"/>
  <c r="T2" i="4"/>
  <c r="AE2" i="4" s="1"/>
  <c r="AH3" i="4"/>
  <c r="Y5" i="4"/>
  <c r="S5" i="4"/>
  <c r="AD5" i="4" s="1"/>
  <c r="X22" i="4"/>
  <c r="R22" i="4"/>
  <c r="P22" i="4"/>
  <c r="AA22" i="4" s="1"/>
  <c r="I36" i="4"/>
  <c r="E37" i="2" s="1"/>
  <c r="F37" i="2" s="1"/>
  <c r="Z38" i="4"/>
  <c r="T38" i="4"/>
  <c r="AE38" i="4" s="1"/>
  <c r="AH8" i="4"/>
  <c r="P16" i="4"/>
  <c r="AA16" i="4" s="1"/>
  <c r="Y38" i="4"/>
  <c r="P5" i="4"/>
  <c r="AA5" i="4" s="1"/>
  <c r="T7" i="4"/>
  <c r="AE7" i="4" s="1"/>
  <c r="Z22" i="4"/>
  <c r="T22" i="4"/>
  <c r="AE22" i="4" s="1"/>
  <c r="P25" i="4"/>
  <c r="AA25" i="4" s="1"/>
  <c r="Q30" i="4"/>
  <c r="AC30" i="4"/>
  <c r="U31" i="4"/>
  <c r="AF31" i="4" s="1"/>
  <c r="AC31" i="4"/>
  <c r="W37" i="4"/>
  <c r="AH37" i="4"/>
  <c r="R37" i="4"/>
  <c r="P37" i="4"/>
  <c r="AA37" i="4" s="1"/>
  <c r="W6" i="4"/>
  <c r="AH6" i="4"/>
  <c r="Q16" i="4"/>
  <c r="AC16" i="4"/>
  <c r="R25" i="4"/>
  <c r="W35" i="4"/>
  <c r="AH35" i="4"/>
  <c r="X36" i="4"/>
  <c r="R36" i="4"/>
  <c r="P36" i="4"/>
  <c r="AA36" i="4" s="1"/>
  <c r="Y37" i="4"/>
  <c r="S37" i="4"/>
  <c r="AD37" i="4" s="1"/>
  <c r="X13" i="4"/>
  <c r="X29" i="4"/>
  <c r="AH38" i="4"/>
  <c r="R39" i="4"/>
  <c r="P35" i="4"/>
  <c r="AA35" i="4" s="1"/>
  <c r="P34" i="4"/>
  <c r="AA34" i="4" s="1"/>
  <c r="P33" i="4"/>
  <c r="AA33" i="4" s="1"/>
  <c r="T37" i="4"/>
  <c r="AE37" i="4" s="1"/>
  <c r="AH32" i="4"/>
  <c r="P15" i="4"/>
  <c r="AA15" i="4" s="1"/>
  <c r="P31" i="4"/>
  <c r="AA31" i="4" s="1"/>
  <c r="R33" i="4"/>
  <c r="S34" i="4"/>
  <c r="AD34" i="4" s="1"/>
  <c r="T35" i="4"/>
  <c r="AE35" i="4" s="1"/>
  <c r="S42" i="2" l="1"/>
  <c r="N20" i="2"/>
  <c r="M16" i="2"/>
  <c r="H6" i="3"/>
  <c r="M15" i="2"/>
  <c r="K8" i="2"/>
  <c r="M22" i="2"/>
  <c r="M38" i="2"/>
  <c r="L25" i="2"/>
  <c r="K29" i="2"/>
  <c r="N37" i="2"/>
  <c r="N7" i="2"/>
  <c r="N32" i="2"/>
  <c r="M35" i="2"/>
  <c r="N35" i="2"/>
  <c r="N33" i="2"/>
  <c r="L32" i="2"/>
  <c r="M32" i="2"/>
  <c r="AC42" i="2"/>
  <c r="M12" i="2"/>
  <c r="N28" i="2"/>
  <c r="N15" i="2"/>
  <c r="L33" i="2"/>
  <c r="N6" i="2"/>
  <c r="M13" i="2"/>
  <c r="P42" i="2"/>
  <c r="L16" i="2"/>
  <c r="Z42" i="2"/>
  <c r="AB42" i="2"/>
  <c r="AB43" i="2" s="1"/>
  <c r="N21" i="2"/>
  <c r="M10" i="2"/>
  <c r="N31" i="2"/>
  <c r="AA42" i="2"/>
  <c r="AA43" i="2" s="1"/>
  <c r="Q42" i="2"/>
  <c r="M29" i="2"/>
  <c r="N12" i="2"/>
  <c r="K11" i="2"/>
  <c r="M27" i="2"/>
  <c r="J17" i="3"/>
  <c r="L34" i="2"/>
  <c r="L19" i="2"/>
  <c r="N16" i="2"/>
  <c r="N29" i="2"/>
  <c r="K20" i="2"/>
  <c r="M40" i="2"/>
  <c r="N34" i="2"/>
  <c r="M11" i="2"/>
  <c r="M9" i="2"/>
  <c r="K25" i="2"/>
  <c r="R42" i="2"/>
  <c r="N27" i="2"/>
  <c r="M24" i="2"/>
  <c r="X42" i="2"/>
  <c r="K42" i="3" s="1"/>
  <c r="N19" i="2"/>
  <c r="J39" i="3"/>
  <c r="K24" i="2"/>
  <c r="N4" i="2"/>
  <c r="K15" i="2"/>
  <c r="J28" i="3"/>
  <c r="N17" i="2"/>
  <c r="K14" i="2"/>
  <c r="K13" i="2"/>
  <c r="M37" i="2"/>
  <c r="M25" i="2"/>
  <c r="AE42" i="2"/>
  <c r="M6" i="2"/>
  <c r="L5" i="2"/>
  <c r="L4" i="2"/>
  <c r="K21" i="2"/>
  <c r="L8" i="2"/>
  <c r="L31" i="2"/>
  <c r="K37" i="2"/>
  <c r="K9" i="2"/>
  <c r="K27" i="2"/>
  <c r="K23" i="2"/>
  <c r="K10" i="2"/>
  <c r="K30" i="2"/>
  <c r="L36" i="2"/>
  <c r="K7" i="2"/>
  <c r="K12" i="2"/>
  <c r="V42" i="2"/>
  <c r="I42" i="3" s="1"/>
  <c r="L17" i="2"/>
  <c r="M4" i="2"/>
  <c r="W42" i="2"/>
  <c r="J42" i="3" s="1"/>
  <c r="K26" i="2"/>
  <c r="K39" i="2"/>
  <c r="U42" i="2"/>
  <c r="H42" i="3" s="1"/>
  <c r="K22" i="2"/>
  <c r="F42" i="2"/>
  <c r="K5" i="2"/>
  <c r="G42" i="2"/>
  <c r="AC38" i="4"/>
  <c r="U38" i="4"/>
  <c r="AF38" i="4" s="1"/>
  <c r="Q38" i="4"/>
  <c r="E42" i="2"/>
  <c r="D42" i="2"/>
  <c r="AC25" i="4"/>
  <c r="U25" i="4"/>
  <c r="AF25" i="4" s="1"/>
  <c r="Q25" i="4"/>
  <c r="AB28" i="4"/>
  <c r="AO28" i="4"/>
  <c r="AN28" i="4"/>
  <c r="AM28" i="4"/>
  <c r="AK28" i="4"/>
  <c r="AJ28" i="4"/>
  <c r="AI28" i="4"/>
  <c r="U7" i="4"/>
  <c r="AF7" i="4" s="1"/>
  <c r="Q7" i="4"/>
  <c r="AC7" i="4"/>
  <c r="AO3" i="4"/>
  <c r="AM3" i="4"/>
  <c r="AK3" i="4"/>
  <c r="AI3" i="4"/>
  <c r="AN3" i="4"/>
  <c r="AJ3" i="4"/>
  <c r="AB3" i="4"/>
  <c r="H42" i="2"/>
  <c r="AO32" i="4"/>
  <c r="AK32" i="4"/>
  <c r="AI32" i="4"/>
  <c r="AB32" i="4"/>
  <c r="AN32" i="4"/>
  <c r="AM32" i="4"/>
  <c r="AJ32" i="4"/>
  <c r="AC9" i="4"/>
  <c r="U9" i="4"/>
  <c r="AF9" i="4" s="1"/>
  <c r="Q9" i="4"/>
  <c r="AC39" i="4"/>
  <c r="U39" i="4"/>
  <c r="AF39" i="4" s="1"/>
  <c r="Q39" i="4"/>
  <c r="AB13" i="4"/>
  <c r="AO13" i="4"/>
  <c r="AN13" i="4"/>
  <c r="AM13" i="4"/>
  <c r="AK13" i="4"/>
  <c r="AJ13" i="4"/>
  <c r="AI13" i="4"/>
  <c r="AI14" i="4"/>
  <c r="AN14" i="4"/>
  <c r="AM14" i="4"/>
  <c r="AK14" i="4"/>
  <c r="AJ14" i="4"/>
  <c r="AB14" i="4"/>
  <c r="AO14" i="4"/>
  <c r="U18" i="4"/>
  <c r="AF18" i="4" s="1"/>
  <c r="AC18" i="4"/>
  <c r="Q18" i="4"/>
  <c r="U2" i="4"/>
  <c r="AF2" i="4" s="1"/>
  <c r="AC2" i="4"/>
  <c r="Q2" i="4"/>
  <c r="U21" i="4"/>
  <c r="AF21" i="4" s="1"/>
  <c r="Q21" i="4"/>
  <c r="AC21" i="4"/>
  <c r="AK16" i="4"/>
  <c r="AI16" i="4"/>
  <c r="AO16" i="4"/>
  <c r="AN16" i="4"/>
  <c r="AM16" i="4"/>
  <c r="AJ16" i="4"/>
  <c r="AB16" i="4"/>
  <c r="AC6" i="4"/>
  <c r="U6" i="4"/>
  <c r="AF6" i="4" s="1"/>
  <c r="Q6" i="4"/>
  <c r="P42" i="3"/>
  <c r="AC43" i="2"/>
  <c r="C42" i="2"/>
  <c r="J42" i="2"/>
  <c r="AC24" i="4"/>
  <c r="U24" i="4"/>
  <c r="AF24" i="4" s="1"/>
  <c r="Q24" i="4"/>
  <c r="AC11" i="4"/>
  <c r="U11" i="4"/>
  <c r="AF11" i="4" s="1"/>
  <c r="Q11" i="4"/>
  <c r="U37" i="4"/>
  <c r="AF37" i="4" s="1"/>
  <c r="Q37" i="4"/>
  <c r="AC37" i="4"/>
  <c r="N42" i="3"/>
  <c r="AD26" i="4"/>
  <c r="U26" i="4"/>
  <c r="AF26" i="4" s="1"/>
  <c r="U35" i="4"/>
  <c r="AF35" i="4" s="1"/>
  <c r="U17" i="4"/>
  <c r="AF17" i="4" s="1"/>
  <c r="AD15" i="4"/>
  <c r="Q15" i="4"/>
  <c r="AM17" i="4"/>
  <c r="AJ17" i="4"/>
  <c r="AI17" i="4"/>
  <c r="AB17" i="4"/>
  <c r="AK17" i="4"/>
  <c r="AN17" i="4"/>
  <c r="AO17" i="4"/>
  <c r="AB10" i="4"/>
  <c r="AM10" i="4"/>
  <c r="AK10" i="4"/>
  <c r="AJ10" i="4"/>
  <c r="AI10" i="4"/>
  <c r="AO10" i="4"/>
  <c r="AN10" i="4"/>
  <c r="O42" i="3"/>
  <c r="F19" i="1"/>
  <c r="F18" i="1"/>
  <c r="F17" i="1"/>
  <c r="F16" i="1"/>
  <c r="Q23" i="4"/>
  <c r="U8" i="4"/>
  <c r="AF8" i="4" s="1"/>
  <c r="AM30" i="4"/>
  <c r="AI30" i="4"/>
  <c r="AB30" i="4"/>
  <c r="AO30" i="4"/>
  <c r="AN30" i="4"/>
  <c r="AK30" i="4"/>
  <c r="AJ30" i="4"/>
  <c r="Q34" i="4"/>
  <c r="Q5" i="4"/>
  <c r="U34" i="4"/>
  <c r="AF34" i="4" s="1"/>
  <c r="U20" i="4"/>
  <c r="AF20" i="4" s="1"/>
  <c r="AC20" i="4"/>
  <c r="Q20" i="4"/>
  <c r="U4" i="4"/>
  <c r="AF4" i="4" s="1"/>
  <c r="AC4" i="4"/>
  <c r="Q4" i="4"/>
  <c r="U15" i="4"/>
  <c r="AF15" i="4" s="1"/>
  <c r="AO12" i="4"/>
  <c r="AK12" i="4"/>
  <c r="AJ12" i="4"/>
  <c r="AI12" i="4"/>
  <c r="AB12" i="4"/>
  <c r="AM12" i="4"/>
  <c r="AN12" i="4"/>
  <c r="U5" i="4"/>
  <c r="AF5" i="4" s="1"/>
  <c r="Q22" i="4"/>
  <c r="U22" i="4"/>
  <c r="AF22" i="4" s="1"/>
  <c r="AC22" i="4"/>
  <c r="I42" i="2"/>
  <c r="AC27" i="4"/>
  <c r="U27" i="4"/>
  <c r="AF27" i="4" s="1"/>
  <c r="Q27" i="4"/>
  <c r="AB29" i="4"/>
  <c r="AJ29" i="4"/>
  <c r="AI29" i="4"/>
  <c r="AM29" i="4"/>
  <c r="AK29" i="4"/>
  <c r="AN29" i="4"/>
  <c r="AO29" i="4"/>
  <c r="C70" i="4"/>
  <c r="E8" i="1"/>
  <c r="E23" i="1"/>
  <c r="U36" i="4"/>
  <c r="AF36" i="4" s="1"/>
  <c r="Q36" i="4"/>
  <c r="AC36" i="4"/>
  <c r="U23" i="4"/>
  <c r="AF23" i="4" s="1"/>
  <c r="Q33" i="4"/>
  <c r="AC33" i="4"/>
  <c r="U33" i="4"/>
  <c r="AF33" i="4" s="1"/>
  <c r="Q26" i="4"/>
  <c r="M42" i="2" l="1"/>
  <c r="Z43" i="2"/>
  <c r="N42" i="2"/>
  <c r="L42" i="2"/>
  <c r="S43" i="2"/>
  <c r="M42" i="3"/>
  <c r="Q43" i="2"/>
  <c r="P43" i="2"/>
  <c r="K42" i="2"/>
  <c r="R43" i="2"/>
  <c r="AB24" i="4"/>
  <c r="AO24" i="4"/>
  <c r="AM24" i="4"/>
  <c r="AJ24" i="4"/>
  <c r="AN24" i="4"/>
  <c r="AK24" i="4"/>
  <c r="AI24" i="4"/>
  <c r="AM33" i="4"/>
  <c r="AJ33" i="4"/>
  <c r="AI33" i="4"/>
  <c r="AB33" i="4"/>
  <c r="AO33" i="4"/>
  <c r="AN33" i="4"/>
  <c r="AK33" i="4"/>
  <c r="AN4" i="4"/>
  <c r="AM4" i="4"/>
  <c r="AJ4" i="4"/>
  <c r="AB4" i="4"/>
  <c r="AO4" i="4"/>
  <c r="AK4" i="4"/>
  <c r="AI4" i="4"/>
  <c r="AN23" i="4"/>
  <c r="AK23" i="4"/>
  <c r="AI23" i="4"/>
  <c r="AM23" i="4"/>
  <c r="AJ23" i="4"/>
  <c r="AO23" i="4"/>
  <c r="AB23" i="4"/>
  <c r="AN36" i="4"/>
  <c r="AM36" i="4"/>
  <c r="AK36" i="4"/>
  <c r="AJ36" i="4"/>
  <c r="AI36" i="4"/>
  <c r="AO36" i="4"/>
  <c r="AB36" i="4"/>
  <c r="AN20" i="4"/>
  <c r="AM20" i="4"/>
  <c r="AJ20" i="4"/>
  <c r="AI20" i="4"/>
  <c r="AB20" i="4"/>
  <c r="AO20" i="4"/>
  <c r="AK20" i="4"/>
  <c r="AO21" i="4"/>
  <c r="AN21" i="4"/>
  <c r="AK21" i="4"/>
  <c r="AI21" i="4"/>
  <c r="AB21" i="4"/>
  <c r="AM21" i="4"/>
  <c r="AJ21" i="4"/>
  <c r="AB38" i="4"/>
  <c r="AO38" i="4"/>
  <c r="AN38" i="4"/>
  <c r="AM38" i="4"/>
  <c r="AK38" i="4"/>
  <c r="AJ38" i="4"/>
  <c r="AI38" i="4"/>
  <c r="E24" i="1"/>
  <c r="E9" i="1"/>
  <c r="AO22" i="4"/>
  <c r="AM22" i="4"/>
  <c r="AJ22" i="4"/>
  <c r="AN22" i="4"/>
  <c r="AK22" i="4"/>
  <c r="AI22" i="4"/>
  <c r="AB22" i="4"/>
  <c r="AO5" i="4"/>
  <c r="AN5" i="4"/>
  <c r="AK5" i="4"/>
  <c r="AM5" i="4"/>
  <c r="AJ5" i="4"/>
  <c r="AI5" i="4"/>
  <c r="AB5" i="4"/>
  <c r="E15" i="3"/>
  <c r="E16" i="3" s="1"/>
  <c r="E18" i="3" s="1"/>
  <c r="E5" i="3"/>
  <c r="E6" i="3" s="1"/>
  <c r="E8" i="3" s="1"/>
  <c r="E24" i="3"/>
  <c r="E25" i="3" s="1"/>
  <c r="E27" i="3" s="1"/>
  <c r="AB37" i="4"/>
  <c r="AO37" i="4"/>
  <c r="AN37" i="4"/>
  <c r="AM37" i="4"/>
  <c r="AK37" i="4"/>
  <c r="AJ37" i="4"/>
  <c r="AI37" i="4"/>
  <c r="AB11" i="4"/>
  <c r="AN11" i="4"/>
  <c r="AO11" i="4"/>
  <c r="AJ11" i="4"/>
  <c r="AI11" i="4"/>
  <c r="AK11" i="4"/>
  <c r="AM11" i="4"/>
  <c r="AB26" i="4"/>
  <c r="AO26" i="4"/>
  <c r="AM26" i="4"/>
  <c r="AJ26" i="4"/>
  <c r="AI26" i="4"/>
  <c r="AN26" i="4"/>
  <c r="AK26" i="4"/>
  <c r="C15" i="3"/>
  <c r="C16" i="3" s="1"/>
  <c r="C18" i="3" s="1"/>
  <c r="C5" i="3"/>
  <c r="C6" i="3" s="1"/>
  <c r="C8" i="3" s="1"/>
  <c r="C24" i="3"/>
  <c r="C25" i="3" s="1"/>
  <c r="C27" i="3" s="1"/>
  <c r="AB27" i="4"/>
  <c r="AN27" i="4"/>
  <c r="AO27" i="4"/>
  <c r="AM27" i="4"/>
  <c r="AK27" i="4"/>
  <c r="AI27" i="4"/>
  <c r="AJ27" i="4"/>
  <c r="F15" i="3"/>
  <c r="F16" i="3" s="1"/>
  <c r="F18" i="3" s="1"/>
  <c r="F5" i="3"/>
  <c r="F6" i="3" s="1"/>
  <c r="F8" i="3" s="1"/>
  <c r="F24" i="3"/>
  <c r="F25" i="3" s="1"/>
  <c r="F27" i="3" s="1"/>
  <c r="AN2" i="4"/>
  <c r="AK2" i="4"/>
  <c r="AJ2" i="4"/>
  <c r="AO2" i="4"/>
  <c r="AM2" i="4"/>
  <c r="AI2" i="4"/>
  <c r="AB2" i="4"/>
  <c r="D24" i="3"/>
  <c r="D25" i="3" s="1"/>
  <c r="D27" i="3" s="1"/>
  <c r="D15" i="3"/>
  <c r="D16" i="3" s="1"/>
  <c r="D18" i="3" s="1"/>
  <c r="D5" i="3"/>
  <c r="D6" i="3" s="1"/>
  <c r="D8" i="3" s="1"/>
  <c r="AN34" i="4"/>
  <c r="AK34" i="4"/>
  <c r="AJ34" i="4"/>
  <c r="AI34" i="4"/>
  <c r="AO34" i="4"/>
  <c r="AM34" i="4"/>
  <c r="AB34" i="4"/>
  <c r="AO6" i="4"/>
  <c r="AM6" i="4"/>
  <c r="AJ6" i="4"/>
  <c r="AI6" i="4"/>
  <c r="AB6" i="4"/>
  <c r="AN6" i="4"/>
  <c r="AK6" i="4"/>
  <c r="AN18" i="4"/>
  <c r="AK18" i="4"/>
  <c r="AJ18" i="4"/>
  <c r="AB18" i="4"/>
  <c r="AO18" i="4"/>
  <c r="AM18" i="4"/>
  <c r="AI18" i="4"/>
  <c r="AN25" i="4"/>
  <c r="AK25" i="4"/>
  <c r="AO25" i="4"/>
  <c r="AM25" i="4"/>
  <c r="AJ25" i="4"/>
  <c r="AB25" i="4"/>
  <c r="AI25" i="4"/>
  <c r="AJ15" i="4"/>
  <c r="AB15" i="4"/>
  <c r="AO15" i="4"/>
  <c r="AN15" i="4"/>
  <c r="AM15" i="4"/>
  <c r="AK15" i="4"/>
  <c r="AI15" i="4"/>
  <c r="AB39" i="4"/>
  <c r="AO39" i="4"/>
  <c r="AN39" i="4"/>
  <c r="AM39" i="4"/>
  <c r="AK39" i="4"/>
  <c r="AJ39" i="4"/>
  <c r="AI39" i="4"/>
  <c r="AK9" i="4"/>
  <c r="AB9" i="4"/>
  <c r="AJ9" i="4"/>
  <c r="AI9" i="4"/>
  <c r="AO9" i="4"/>
  <c r="AN9" i="4"/>
  <c r="AM9" i="4"/>
  <c r="AN7" i="4"/>
  <c r="AI7" i="4"/>
  <c r="AO7" i="4"/>
  <c r="AK7" i="4"/>
  <c r="AB7" i="4"/>
  <c r="AJ7" i="4"/>
  <c r="AM7" i="4"/>
  <c r="E27" i="1" l="1"/>
  <c r="E26" i="1"/>
  <c r="E28" i="1"/>
  <c r="E25" i="1"/>
</calcChain>
</file>

<file path=xl/sharedStrings.xml><?xml version="1.0" encoding="utf-8"?>
<sst xmlns="http://schemas.openxmlformats.org/spreadsheetml/2006/main" count="213" uniqueCount="188">
  <si>
    <t xml:space="preserve">                                    SHIP RETURN ON INVESTMENT ESTIMATOR</t>
  </si>
  <si>
    <t>Inputs:</t>
  </si>
  <si>
    <t>Results:</t>
  </si>
  <si>
    <t>(overwrite defaults)</t>
  </si>
  <si>
    <t>Ship Type</t>
  </si>
  <si>
    <t>HandySize</t>
  </si>
  <si>
    <t>Average Daily Fuel Use (MT)</t>
  </si>
  <si>
    <t>Average nm / SEA Day</t>
  </si>
  <si>
    <t>Annex II Emissions CO2</t>
  </si>
  <si>
    <t>Avg nm PORT day</t>
  </si>
  <si>
    <t>Measured CO2 Estimate</t>
  </si>
  <si>
    <t>CO2 Reduction</t>
  </si>
  <si>
    <t>Avg SEA Fuel use (MT)</t>
  </si>
  <si>
    <t>EU CO2</t>
  </si>
  <si>
    <t>Avg PORT Fuel use (MT)</t>
  </si>
  <si>
    <t>EU ETS (2024) Liability</t>
  </si>
  <si>
    <r>
      <rPr>
        <b/>
        <sz val="12"/>
        <color rgb="FF156082"/>
        <rFont val="Arial"/>
      </rPr>
      <t>ENTER DATA:</t>
    </r>
    <r>
      <rPr>
        <b/>
        <sz val="12"/>
        <color rgb="FF156082"/>
        <rFont val="Arial"/>
      </rPr>
      <t xml:space="preserve"> % of Voyages EU to EU</t>
    </r>
  </si>
  <si>
    <t>EU Eligible CO2 Reductions</t>
  </si>
  <si>
    <r>
      <rPr>
        <b/>
        <sz val="12"/>
        <color rgb="FF156082"/>
        <rFont val="Arial"/>
      </rPr>
      <t>ENTER DATA:</t>
    </r>
    <r>
      <rPr>
        <b/>
        <sz val="12"/>
        <color rgb="FF156082"/>
        <rFont val="Arial"/>
      </rPr>
      <t xml:space="preserve"> % of Voyages in/out of EU</t>
    </r>
  </si>
  <si>
    <r>
      <rPr>
        <sz val="14"/>
        <color theme="1"/>
        <rFont val="Arial"/>
      </rPr>
      <t xml:space="preserve">Annex II CO2e Emissions </t>
    </r>
    <r>
      <rPr>
        <sz val="12"/>
        <color theme="1"/>
        <rFont val="Arial"/>
      </rPr>
      <t>(2025 onward)</t>
    </r>
  </si>
  <si>
    <r>
      <rPr>
        <b/>
        <sz val="12"/>
        <color rgb="FF156082"/>
        <rFont val="Arial"/>
      </rPr>
      <t>ENTER DATA:</t>
    </r>
    <r>
      <rPr>
        <b/>
        <sz val="12"/>
        <color rgb="FF156082"/>
        <rFont val="Arial"/>
      </rPr>
      <t xml:space="preserve"> NON EU % of Voyages</t>
    </r>
  </si>
  <si>
    <t>Measured CO2e Estimate</t>
  </si>
  <si>
    <t>Measured CO2e Reduction</t>
  </si>
  <si>
    <t>SEA DAYS</t>
  </si>
  <si>
    <r>
      <rPr>
        <sz val="18"/>
        <color rgb="FF000000"/>
        <rFont val="Arial"/>
      </rPr>
      <t xml:space="preserve">SAVINGS € in 2025 </t>
    </r>
    <r>
      <rPr>
        <sz val="12"/>
        <color rgb="FF000000"/>
        <rFont val="Arial"/>
      </rPr>
      <t>(40% only CO2)</t>
    </r>
  </si>
  <si>
    <t>PORT DAYS</t>
  </si>
  <si>
    <r>
      <rPr>
        <sz val="18"/>
        <color rgb="FF000000"/>
        <rFont val="Arial"/>
      </rPr>
      <t xml:space="preserve">SAVINGS € in 2026 </t>
    </r>
    <r>
      <rPr>
        <sz val="11"/>
        <color rgb="FF000000"/>
        <rFont val="Arial"/>
      </rPr>
      <t>(70%) CO2e</t>
    </r>
  </si>
  <si>
    <t>Annual AVG NM</t>
  </si>
  <si>
    <r>
      <rPr>
        <sz val="18"/>
        <color rgb="FF000000"/>
        <rFont val="Arial"/>
      </rPr>
      <t>SAVINGS € in 2027</t>
    </r>
    <r>
      <rPr>
        <sz val="12"/>
        <color rgb="FF000000"/>
        <rFont val="Arial"/>
      </rPr>
      <t xml:space="preserve"> (100%) CO2e</t>
    </r>
  </si>
  <si>
    <t>Default SEA Fuel Type</t>
  </si>
  <si>
    <t>VLSFO</t>
  </si>
  <si>
    <r>
      <rPr>
        <sz val="18"/>
        <color rgb="FF000000"/>
        <rFont val="Arial"/>
      </rPr>
      <t>SAVINGS € 2028 onward</t>
    </r>
    <r>
      <rPr>
        <sz val="11"/>
        <color rgb="FF000000"/>
        <rFont val="Arial"/>
      </rPr>
      <t xml:space="preserve"> (100%) CO2e</t>
    </r>
  </si>
  <si>
    <t>Average CO2 Overage</t>
  </si>
  <si>
    <t>Average Fraud Savings / yr</t>
  </si>
  <si>
    <t>Average Fraud (Conservative)</t>
  </si>
  <si>
    <t>Measured Scrubber Emissions</t>
  </si>
  <si>
    <t>(industry average is 3.6%)</t>
  </si>
  <si>
    <t>CO2 Post Scrubber Savings</t>
  </si>
  <si>
    <t>SAVINGS € in 2025 (40%)</t>
  </si>
  <si>
    <t>Current EUA Price</t>
  </si>
  <si>
    <t>SAVINGS € in 2026 (70%)</t>
  </si>
  <si>
    <t>https://www.eex.com/en/market-data/environmentals/spot</t>
  </si>
  <si>
    <t>SAVINGS € in 2027 (100%)</t>
  </si>
  <si>
    <t>https://tradingeconomics.com/commodity/carbon</t>
  </si>
  <si>
    <t>SAVINGS € in 2028 (100%)</t>
  </si>
  <si>
    <t>INPUT FLEET COUNT</t>
  </si>
  <si>
    <t>Annex II</t>
  </si>
  <si>
    <t>FuelTrust</t>
  </si>
  <si>
    <t xml:space="preserve">       Avg. Fuel Fraud Savings</t>
  </si>
  <si>
    <t xml:space="preserve">                        COMBINED SAVINGS (Constant EUA Price)</t>
  </si>
  <si>
    <t>COMBINED ETS LIABILITIES - PreSavings (Euros)</t>
  </si>
  <si>
    <t>ETS SAVINGS (Constant Price)</t>
  </si>
  <si>
    <t>COMBINED ETS LIABILITIES - FUTURES PRICING</t>
  </si>
  <si>
    <t>FT Savings Futures Prices (Euros)</t>
  </si>
  <si>
    <t>Ships by Type</t>
  </si>
  <si>
    <t>Annual CO2</t>
  </si>
  <si>
    <t>CO2e</t>
  </si>
  <si>
    <t>CO2e Reduction</t>
  </si>
  <si>
    <t>Annual Totals</t>
  </si>
  <si>
    <t>with FuelTrust</t>
  </si>
  <si>
    <t>These estimates use the conservative case for savings.</t>
  </si>
  <si>
    <t>Scrubber use measured savings are not included in these numbers</t>
  </si>
  <si>
    <t>Fleet Price Models</t>
  </si>
  <si>
    <t>Fleet Size</t>
  </si>
  <si>
    <t>from Fleet Value tab</t>
  </si>
  <si>
    <t xml:space="preserve">         Pricing for Fleet</t>
  </si>
  <si>
    <t>ETS SAVINGS (Euros)</t>
  </si>
  <si>
    <t>Base Plus Profit Share</t>
  </si>
  <si>
    <t>Base Cost per Yr / Ship</t>
  </si>
  <si>
    <t>FT Savings Share %</t>
  </si>
  <si>
    <t>Annual Total Base-Plus Share</t>
  </si>
  <si>
    <t>Customer ROI</t>
  </si>
  <si>
    <t>Pure Profit Share</t>
  </si>
  <si>
    <r>
      <rPr>
        <b/>
        <sz val="20"/>
        <color rgb="FFE97132"/>
        <rFont val="Arial"/>
      </rPr>
      <t xml:space="preserve">SaaS </t>
    </r>
    <r>
      <rPr>
        <sz val="13"/>
        <color rgb="FFE97132"/>
        <rFont val="Arial"/>
      </rPr>
      <t>(No Profit Share)</t>
    </r>
  </si>
  <si>
    <t>Ship Types</t>
  </si>
  <si>
    <t>Avg SEA DAY MT</t>
  </si>
  <si>
    <t>AVG PORT DAY MT</t>
  </si>
  <si>
    <t>AVG NM SEA</t>
  </si>
  <si>
    <t>AVG NM PORT DAY</t>
  </si>
  <si>
    <t>AVG ANN CO2</t>
  </si>
  <si>
    <t>CO2e ANN</t>
  </si>
  <si>
    <t>HFO cost/yr</t>
  </si>
  <si>
    <t>MGO cost/yr</t>
  </si>
  <si>
    <t>EU2EU CO2</t>
  </si>
  <si>
    <t>EU2World CO2</t>
  </si>
  <si>
    <t>ROW CO2</t>
  </si>
  <si>
    <t>Total CO2</t>
  </si>
  <si>
    <t>EU CO2e</t>
  </si>
  <si>
    <t>EU2EU CO2e</t>
  </si>
  <si>
    <t>EU2World CO2e</t>
  </si>
  <si>
    <t>ROW CO2e</t>
  </si>
  <si>
    <t>Total CO2e</t>
  </si>
  <si>
    <t>FT EU CO2x</t>
  </si>
  <si>
    <t>FT EU2EU CO2x</t>
  </si>
  <si>
    <t>FT EU2World CO2 x</t>
  </si>
  <si>
    <t>FT ROW CO2 x</t>
  </si>
  <si>
    <t>FT Total CO2 X</t>
  </si>
  <si>
    <t>FT EU CO2e X</t>
  </si>
  <si>
    <t>FT EU2EU CO2e X</t>
  </si>
  <si>
    <t>FT EU2World CO2e X</t>
  </si>
  <si>
    <t>FT ROW CO2e X</t>
  </si>
  <si>
    <t>FT Total CO2e X</t>
  </si>
  <si>
    <t>2025 EUA</t>
  </si>
  <si>
    <t>2026 EUA</t>
  </si>
  <si>
    <t>2027 EUA</t>
  </si>
  <si>
    <t>2028 EUA</t>
  </si>
  <si>
    <t>2025 Fut.</t>
  </si>
  <si>
    <t>2026 Fut</t>
  </si>
  <si>
    <t>2027 Fut</t>
  </si>
  <si>
    <t>Mini Bulk Carrier</t>
  </si>
  <si>
    <t>HandyMax</t>
  </si>
  <si>
    <t>SupraMax (bulk carrier)</t>
  </si>
  <si>
    <t>UltraMax (bulk carrier)</t>
  </si>
  <si>
    <t>Panamax (dry bulk)</t>
  </si>
  <si>
    <t>Post-Panamax (dry bulk)</t>
  </si>
  <si>
    <t>KamsarMax</t>
  </si>
  <si>
    <t>Capesize (bulk carrier)</t>
  </si>
  <si>
    <t>NewCastleMax (carrier)</t>
  </si>
  <si>
    <t>VLOC</t>
  </si>
  <si>
    <t>ULOC</t>
  </si>
  <si>
    <t>Coastal Tanker</t>
  </si>
  <si>
    <t>HandyTanker</t>
  </si>
  <si>
    <t>Tanker (MR1)</t>
  </si>
  <si>
    <t>Tanker (Panamax/LR1)</t>
  </si>
  <si>
    <t>Tanker (LR2)</t>
  </si>
  <si>
    <t>Tanker (Aframax)</t>
  </si>
  <si>
    <t>Tanker (SuezMax)</t>
  </si>
  <si>
    <t>Tanker (VLCC/CapeSize)</t>
  </si>
  <si>
    <t>ULCC</t>
  </si>
  <si>
    <t>Coastal Chemical Tanker - IMO3</t>
  </si>
  <si>
    <t>Handy Chemical Tanker</t>
  </si>
  <si>
    <t>Medium Chemical Tanker</t>
  </si>
  <si>
    <t>Large Chemical Tanker</t>
  </si>
  <si>
    <t>Small Scale LNG Carrier</t>
  </si>
  <si>
    <t>Midsize LNG Carrier</t>
  </si>
  <si>
    <t>Large LNG Carrier (Panamax)</t>
  </si>
  <si>
    <t>Q-Flex LNG Carrier</t>
  </si>
  <si>
    <t>Q-Max LNG Carrier</t>
  </si>
  <si>
    <t>RoRo - Medium</t>
  </si>
  <si>
    <t>RoRo - Panamax sized</t>
  </si>
  <si>
    <t>Container 2500 TEU</t>
  </si>
  <si>
    <t>Container 4000 TEU</t>
  </si>
  <si>
    <t>Container 5000 TEU</t>
  </si>
  <si>
    <t>Container 7000 TEU</t>
  </si>
  <si>
    <t>Container 9000 TEU</t>
  </si>
  <si>
    <t>Container 10000+ TEU</t>
  </si>
  <si>
    <t>FuelType</t>
  </si>
  <si>
    <t>Annex II Cf</t>
  </si>
  <si>
    <t>https://transportgeography.org/contents/chapter4/transportation-and-energy/fuel-consumption-containerships/</t>
  </si>
  <si>
    <t>HFO</t>
  </si>
  <si>
    <t>RME to RMK</t>
  </si>
  <si>
    <t>MGO</t>
  </si>
  <si>
    <t>DMX to DMB</t>
  </si>
  <si>
    <t>LSFO</t>
  </si>
  <si>
    <t>ULSFO</t>
  </si>
  <si>
    <t>LFO</t>
  </si>
  <si>
    <t>RMA to RMD</t>
  </si>
  <si>
    <t>LNG</t>
  </si>
  <si>
    <t>LPG - Buthane</t>
  </si>
  <si>
    <t>LPG - Propane</t>
  </si>
  <si>
    <t>Hydrogen</t>
  </si>
  <si>
    <t>Ammonia (NH3)</t>
  </si>
  <si>
    <t>Methanol</t>
  </si>
  <si>
    <t>Ethanol (E100)</t>
  </si>
  <si>
    <t>Bio-Diesel</t>
  </si>
  <si>
    <t>HVO</t>
  </si>
  <si>
    <t>Bio-LNG</t>
  </si>
  <si>
    <t>Bio-Hydrogen</t>
  </si>
  <si>
    <t>e-Diesel</t>
  </si>
  <si>
    <t>e-Methanol</t>
  </si>
  <si>
    <t>e-LNG</t>
  </si>
  <si>
    <t>e-H2 (Hydrogen)</t>
  </si>
  <si>
    <t>e-Ammonia (NH3)</t>
  </si>
  <si>
    <t>Avg CO2 Actuals Reduction</t>
  </si>
  <si>
    <t>Avg CO2E Actuals Reduction</t>
  </si>
  <si>
    <t>Scrubber CO2 Reduction</t>
  </si>
  <si>
    <t>CO2e Equivalent</t>
  </si>
  <si>
    <t>CO2 Ann. SEA</t>
  </si>
  <si>
    <t>CALCULATED</t>
  </si>
  <si>
    <t>CO2 Ann. Port</t>
  </si>
  <si>
    <t>HFO Avg Price</t>
  </si>
  <si>
    <t>MGO Avg Price</t>
  </si>
  <si>
    <t>Fraud Percentage (conservative)</t>
  </si>
  <si>
    <t>ETS Liability Percentages</t>
  </si>
  <si>
    <t>EUA Price Futures</t>
  </si>
  <si>
    <t>CO2</t>
  </si>
  <si>
    <t>current futures multiple</t>
  </si>
  <si>
    <t>Between 2 EU ports, 100% of emissions applies. To/From outside EU, 50% of emissions applies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</si>
</sst>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(* #,##0_);_(* \(#,##0\);_(* &quot;-&quot;??_);_(@_)"/>
    <numFmt numFmtId="165" formatCode="_([$€-2]\ * #,##0_);_([$€-2]\ * \(#,##0\);_([$€-2]\ * &quot;-&quot;??_);_(@_)"/>
    <numFmt numFmtId="166" formatCode="_([$€-2]\ * #,##0.00_);_([$€-2]\ * \(#,##0.00\);_([$€-2]\ * &quot;-&quot;??_);_(@_)"/>
    <numFmt numFmtId="167" formatCode="[$€]#,##0.00"/>
    <numFmt numFmtId="168" formatCode="[$€]#,##0"/>
    <numFmt numFmtId="169" formatCode="0.0000"/>
  </numFmts>
  <fonts count="92">
    <font>
      <sz val="12"/>
      <color theme="1"/>
      <name val="aptos narrow"/>
      <scheme val="minor"/>
    </font>
    <font>
      <sz val="12"/>
      <color theme="1"/>
      <name val="&quot;aptos narrow&quot;"/>
    </font>
    <font>
      <b/>
      <sz val="23"/>
      <color rgb="FF073763"/>
      <name val="Arial"/>
    </font>
    <font>
      <b/>
      <sz val="26"/>
      <color theme="1"/>
      <name val="&quot;aptos narrow&quot;"/>
    </font>
    <font>
      <sz val="12"/>
      <color rgb="FF156082"/>
      <name val="&quot;aptos narrow&quot;"/>
    </font>
    <font>
      <b/>
      <sz val="18"/>
      <color theme="1"/>
      <name val="&quot;aptos narrow&quot;"/>
    </font>
    <font>
      <b/>
      <sz val="22"/>
      <color rgb="FFFFFFFF"/>
      <name val="Arial"/>
    </font>
    <font>
      <sz val="18"/>
      <color theme="1"/>
      <name val="&quot;aptos narrow&quot;"/>
    </font>
    <font>
      <sz val="18"/>
      <color rgb="FF156082"/>
      <name val="&quot;aptos narrow&quot;"/>
    </font>
    <font>
      <sz val="18"/>
      <color theme="1"/>
      <name val="Arial"/>
    </font>
    <font>
      <sz val="18"/>
      <color rgb="FF156082"/>
      <name val="Arial"/>
    </font>
    <font>
      <b/>
      <sz val="18"/>
      <color rgb="FF980000"/>
      <name val="&quot;aptos narrow&quot;"/>
    </font>
    <font>
      <b/>
      <sz val="12"/>
      <color rgb="FF156082"/>
      <name val="Arial"/>
    </font>
    <font>
      <b/>
      <sz val="18"/>
      <color rgb="FFFFFFFF"/>
      <name val="Arial"/>
    </font>
    <font>
      <sz val="14"/>
      <color theme="1"/>
      <name val="Arial"/>
    </font>
    <font>
      <sz val="14"/>
      <color theme="1"/>
      <name val="&quot;aptos narrow&quot;"/>
    </font>
    <font>
      <i/>
      <sz val="12"/>
      <color theme="1"/>
      <name val="&quot;aptos narrow&quot;"/>
    </font>
    <font>
      <sz val="18"/>
      <color rgb="FF000000"/>
      <name val="Arial"/>
    </font>
    <font>
      <b/>
      <sz val="18"/>
      <color rgb="FF275317"/>
      <name val="&quot;aptos narrow&quot;"/>
    </font>
    <font>
      <sz val="12"/>
      <color rgb="FFF3F3F3"/>
      <name val="&quot;aptos narrow&quot;"/>
    </font>
    <font>
      <sz val="18"/>
      <color rgb="FF0B5394"/>
      <name val="&quot;aptos narrow&quot;"/>
    </font>
    <font>
      <b/>
      <sz val="21"/>
      <color rgb="FFFFFFFF"/>
      <name val="Arial"/>
    </font>
    <font>
      <b/>
      <sz val="18"/>
      <color rgb="FF156082"/>
      <name val="&quot;aptos narrow&quot;"/>
    </font>
    <font>
      <b/>
      <sz val="16"/>
      <color theme="1"/>
      <name val="Arial"/>
    </font>
    <font>
      <b/>
      <sz val="14"/>
      <color theme="1"/>
      <name val="&quot;aptos narrow&quot;"/>
    </font>
    <font>
      <i/>
      <sz val="14"/>
      <color theme="1"/>
      <name val="&quot;aptos narrow&quot;"/>
    </font>
    <font>
      <b/>
      <i/>
      <sz val="14"/>
      <color theme="1"/>
      <name val="&quot;aptos narrow&quot;"/>
    </font>
    <font>
      <sz val="12"/>
      <color theme="1"/>
      <name val="&quot;aptos narrow&quot;"/>
    </font>
    <font>
      <i/>
      <sz val="14"/>
      <color theme="1"/>
      <name val="Arial"/>
    </font>
    <font>
      <b/>
      <i/>
      <sz val="14"/>
      <color rgb="FF275317"/>
      <name val="&quot;aptos narrow&quot;"/>
    </font>
    <font>
      <i/>
      <sz val="18"/>
      <color theme="1"/>
      <name val="&quot;aptos narrow&quot;"/>
    </font>
    <font>
      <i/>
      <u/>
      <sz val="12"/>
      <color rgb="FF999999"/>
      <name val="&quot;aptos narrow&quot;"/>
    </font>
    <font>
      <i/>
      <sz val="12"/>
      <color rgb="FF7F7F7F"/>
      <name val="Arial"/>
    </font>
    <font>
      <b/>
      <sz val="13"/>
      <color rgb="FF0B5394"/>
      <name val="Arial"/>
    </font>
    <font>
      <sz val="12"/>
      <color theme="1"/>
      <name val="aptos narrow"/>
      <scheme val="minor"/>
    </font>
    <font>
      <sz val="9"/>
      <color theme="1"/>
      <name val="aptos narrow"/>
      <scheme val="minor"/>
    </font>
    <font>
      <sz val="9"/>
      <color rgb="FF1155CC"/>
      <name val="Arial"/>
    </font>
    <font>
      <b/>
      <sz val="12"/>
      <color theme="1"/>
      <name val="Arial"/>
    </font>
    <font>
      <b/>
      <sz val="14"/>
      <color rgb="FF134F5C"/>
      <name val="Arial"/>
    </font>
    <font>
      <b/>
      <i/>
      <sz val="12"/>
      <color theme="1"/>
      <name val="Arial"/>
    </font>
    <font>
      <b/>
      <i/>
      <sz val="12"/>
      <color rgb="FFFF0000"/>
      <name val="Arial"/>
    </font>
    <font>
      <b/>
      <sz val="12"/>
      <color theme="1"/>
      <name val="Arial"/>
    </font>
    <font>
      <b/>
      <sz val="13"/>
      <color rgb="FFFFFFFF"/>
      <name val="Arial"/>
    </font>
    <font>
      <b/>
      <sz val="12"/>
      <color rgb="FF1155CC"/>
      <name val="aptos narrow"/>
      <scheme val="minor"/>
    </font>
    <font>
      <b/>
      <sz val="12"/>
      <color theme="1"/>
      <name val="aptos narrow"/>
      <scheme val="minor"/>
    </font>
    <font>
      <b/>
      <sz val="14"/>
      <color rgb="FF000000"/>
      <name val="aptos narrow"/>
      <scheme val="minor"/>
    </font>
    <font>
      <b/>
      <sz val="12"/>
      <color rgb="FFFFFFFF"/>
      <name val="aptos narrow"/>
      <scheme val="minor"/>
    </font>
    <font>
      <b/>
      <sz val="12"/>
      <color rgb="FFFFFFFF"/>
      <name val="Arial"/>
    </font>
    <font>
      <b/>
      <i/>
      <sz val="13"/>
      <color rgb="FF134F5C"/>
      <name val="aptos narrow"/>
      <scheme val="minor"/>
    </font>
    <font>
      <b/>
      <sz val="13"/>
      <color rgb="FF275317"/>
      <name val="aptos narrow"/>
      <scheme val="minor"/>
    </font>
    <font>
      <b/>
      <sz val="12"/>
      <color rgb="FF980000"/>
      <name val="aptos narrow"/>
      <scheme val="minor"/>
    </font>
    <font>
      <b/>
      <sz val="12"/>
      <color rgb="FFFF9900"/>
      <name val="aptos narrow"/>
      <scheme val="minor"/>
    </font>
    <font>
      <b/>
      <sz val="12"/>
      <color rgb="FF073763"/>
      <name val="Arial"/>
    </font>
    <font>
      <b/>
      <sz val="12"/>
      <color rgb="FF1C4587"/>
      <name val="aptos narrow"/>
      <scheme val="minor"/>
    </font>
    <font>
      <i/>
      <sz val="12"/>
      <color rgb="FF741B47"/>
      <name val="aptos narrow"/>
      <scheme val="minor"/>
    </font>
    <font>
      <i/>
      <sz val="12"/>
      <color rgb="FF741B47"/>
      <name val="Arial"/>
    </font>
    <font>
      <sz val="27"/>
      <color theme="1"/>
      <name val="Arial"/>
    </font>
    <font>
      <b/>
      <sz val="20"/>
      <color rgb="FFFFFFFF"/>
      <name val="&quot;aptos narrow&quot;"/>
    </font>
    <font>
      <b/>
      <sz val="16"/>
      <color rgb="FF666666"/>
      <name val="Arial"/>
    </font>
    <font>
      <b/>
      <sz val="20"/>
      <color rgb="FF275317"/>
      <name val="&quot;aptos narrow&quot;"/>
    </font>
    <font>
      <b/>
      <i/>
      <sz val="12"/>
      <color theme="1"/>
      <name val="Arial"/>
    </font>
    <font>
      <b/>
      <sz val="12"/>
      <color rgb="FF0B5394"/>
      <name val="Arial"/>
    </font>
    <font>
      <b/>
      <sz val="17"/>
      <color rgb="FFFFFFFF"/>
      <name val="Arial"/>
    </font>
    <font>
      <sz val="16"/>
      <color rgb="FF275317"/>
      <name val="&quot;aptos narrow&quot;"/>
    </font>
    <font>
      <b/>
      <sz val="12"/>
      <color rgb="FF38761D"/>
      <name val="Arial"/>
    </font>
    <font>
      <i/>
      <sz val="12"/>
      <color theme="1"/>
      <name val="Arial"/>
    </font>
    <font>
      <b/>
      <sz val="16"/>
      <color rgb="FF38761D"/>
      <name val="&quot;aptos narrow&quot;"/>
    </font>
    <font>
      <b/>
      <sz val="20"/>
      <color rgb="FF351C75"/>
      <name val="Arial"/>
    </font>
    <font>
      <b/>
      <sz val="16"/>
      <color rgb="FF073763"/>
      <name val="&quot;aptos narrow&quot;"/>
    </font>
    <font>
      <b/>
      <sz val="20"/>
      <color rgb="FFE97132"/>
      <name val="Arial"/>
    </font>
    <font>
      <b/>
      <sz val="16"/>
      <color rgb="FFE97132"/>
      <name val="&quot;aptos narrow&quot;"/>
    </font>
    <font>
      <b/>
      <sz val="12"/>
      <color theme="1"/>
      <name val="&quot;aptos narrow&quot;"/>
    </font>
    <font>
      <b/>
      <sz val="13"/>
      <color rgb="FF275317"/>
      <name val="&quot;aptos narrow&quot;"/>
    </font>
    <font>
      <b/>
      <sz val="12"/>
      <color theme="1"/>
      <name val="&quot;aptos narrow&quot;"/>
    </font>
    <font>
      <b/>
      <sz val="9"/>
      <color theme="1"/>
      <name val="&quot;aptos narrow&quot;"/>
    </font>
    <font>
      <b/>
      <sz val="9"/>
      <color theme="1"/>
      <name val="Arial"/>
    </font>
    <font>
      <b/>
      <sz val="9"/>
      <color rgb="FFFFFFFF"/>
      <name val="Arial"/>
    </font>
    <font>
      <b/>
      <sz val="12"/>
      <color rgb="FFFFFFFF"/>
      <name val="Arial"/>
    </font>
    <font>
      <sz val="12"/>
      <color theme="1"/>
      <name val="Arial"/>
    </font>
    <font>
      <sz val="12"/>
      <color theme="1"/>
      <name val="Arial"/>
    </font>
    <font>
      <b/>
      <sz val="12"/>
      <color rgb="FFFFFFFF"/>
      <name val="&quot;aptos narrow&quot;"/>
    </font>
    <font>
      <sz val="11"/>
      <color theme="1"/>
      <name val="Calibri"/>
    </font>
    <font>
      <u/>
      <sz val="9"/>
      <color rgb="FF666666"/>
      <name val="Arial"/>
    </font>
    <font>
      <sz val="12"/>
      <color rgb="FFE97132"/>
      <name val="Arial"/>
    </font>
    <font>
      <b/>
      <sz val="12"/>
      <color rgb="FFE97132"/>
      <name val="&quot;aptos narrow&quot;"/>
    </font>
    <font>
      <sz val="12"/>
      <color rgb="FF1155CC"/>
      <name val="Arial"/>
    </font>
    <font>
      <b/>
      <sz val="12"/>
      <color rgb="FF980000"/>
      <name val="&quot;aptos narrow&quot;"/>
    </font>
    <font>
      <sz val="12"/>
      <color rgb="FF980000"/>
      <name val="&quot;aptos narrow&quot;"/>
    </font>
    <font>
      <sz val="12"/>
      <color rgb="FF000000"/>
      <name val="Arial"/>
    </font>
    <font>
      <sz val="11"/>
      <color rgb="FF000000"/>
      <name val="Arial"/>
    </font>
    <font>
      <sz val="13"/>
      <color rgb="FFE97132"/>
      <name val="Arial"/>
    </font>
    <font>
      <sz val="18"/>
      <color theme="4" tint="-0.249977111117893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45B0E1"/>
        <bgColor rgb="FF45B0E1"/>
      </patternFill>
    </fill>
    <fill>
      <patternFill patternType="solid">
        <fgColor rgb="FFD8D8D8"/>
        <bgColor rgb="FFD8D8D8"/>
      </patternFill>
    </fill>
    <fill>
      <patternFill patternType="solid">
        <fgColor rgb="FFD9F2D0"/>
        <bgColor rgb="FFD9F2D0"/>
      </patternFill>
    </fill>
    <fill>
      <patternFill patternType="solid">
        <fgColor rgb="FFF4CCCC"/>
        <bgColor rgb="FFF4CCCC"/>
      </patternFill>
    </fill>
    <fill>
      <patternFill patternType="solid">
        <fgColor rgb="FF0F9ED5"/>
        <bgColor rgb="FF0F9ED5"/>
      </patternFill>
    </fill>
    <fill>
      <patternFill patternType="solid">
        <fgColor rgb="FF8ED873"/>
        <bgColor rgb="FF8ED873"/>
      </patternFill>
    </fill>
    <fill>
      <patternFill patternType="solid">
        <fgColor rgb="FFFFE599"/>
        <bgColor rgb="FFFFE599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F3F3F3"/>
        <bgColor rgb="FFF3F3F3"/>
      </patternFill>
    </fill>
    <fill>
      <patternFill patternType="solid">
        <fgColor theme="7"/>
        <bgColor theme="7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A2C4C9"/>
        <bgColor rgb="FFA2C4C9"/>
      </patternFill>
    </fill>
    <fill>
      <patternFill patternType="solid">
        <fgColor rgb="FFFF0000"/>
        <bgColor rgb="FFFF0000"/>
      </patternFill>
    </fill>
    <fill>
      <patternFill patternType="solid">
        <fgColor rgb="FF1155CC"/>
        <bgColor rgb="FF1155CC"/>
      </patternFill>
    </fill>
    <fill>
      <patternFill patternType="solid">
        <fgColor rgb="FF4A86E8"/>
        <bgColor rgb="FF4A86E8"/>
      </patternFill>
    </fill>
    <fill>
      <patternFill patternType="solid">
        <fgColor rgb="FF45818E"/>
        <bgColor rgb="FF45818E"/>
      </patternFill>
    </fill>
    <fill>
      <patternFill patternType="solid">
        <fgColor rgb="FFB6D7A8"/>
        <bgColor rgb="FFB6D7A8"/>
      </patternFill>
    </fill>
    <fill>
      <patternFill patternType="solid">
        <fgColor rgb="FFEAD1DC"/>
        <bgColor rgb="FFEAD1DC"/>
      </patternFill>
    </fill>
    <fill>
      <patternFill patternType="solid">
        <fgColor rgb="FFF9CB9C"/>
        <bgColor rgb="FFF9CB9C"/>
      </patternFill>
    </fill>
    <fill>
      <patternFill patternType="solid">
        <fgColor rgb="FF8E7CC3"/>
        <bgColor rgb="FF8E7CC3"/>
      </patternFill>
    </fill>
    <fill>
      <patternFill patternType="solid">
        <fgColor rgb="FFD9D9D9"/>
        <bgColor rgb="FFD9D9D9"/>
      </patternFill>
    </fill>
    <fill>
      <patternFill patternType="solid">
        <fgColor rgb="FFF1C232"/>
        <bgColor rgb="FFF1C232"/>
      </patternFill>
    </fill>
  </fills>
  <borders count="1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</borders>
  <cellStyleXfs count="1">
    <xf numFmtId="0" fontId="0" fillId="0" borderId="0"/>
  </cellStyleXfs>
  <cellXfs count="211">
    <xf numFmtId="0" fontId="0" fillId="0" borderId="0" xfId="0"/>
    <xf numFmtId="0" fontId="1" fillId="0" borderId="0" xfId="0" applyFont="1"/>
    <xf numFmtId="0" fontId="2" fillId="0" borderId="0" xfId="0" quotePrefix="1" applyFont="1"/>
    <xf numFmtId="0" fontId="1" fillId="2" borderId="0" xfId="0" applyFont="1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3" borderId="0" xfId="0" applyFont="1" applyFill="1" applyAlignment="1">
      <alignment horizontal="center"/>
    </xf>
    <xf numFmtId="2" fontId="5" fillId="4" borderId="0" xfId="0" applyNumberFormat="1" applyFont="1" applyFill="1" applyAlignment="1">
      <alignment horizontal="right"/>
    </xf>
    <xf numFmtId="0" fontId="7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1" fontId="5" fillId="0" borderId="0" xfId="0" applyNumberFormat="1" applyFont="1" applyAlignment="1">
      <alignment horizontal="right"/>
    </xf>
    <xf numFmtId="0" fontId="10" fillId="0" borderId="0" xfId="0" applyFont="1" applyAlignment="1">
      <alignment horizontal="center"/>
    </xf>
    <xf numFmtId="0" fontId="9" fillId="5" borderId="0" xfId="0" applyFont="1" applyFill="1"/>
    <xf numFmtId="164" fontId="5" fillId="5" borderId="0" xfId="0" applyNumberFormat="1" applyFont="1" applyFill="1" applyAlignment="1">
      <alignment horizontal="right"/>
    </xf>
    <xf numFmtId="0" fontId="9" fillId="6" borderId="0" xfId="0" applyFont="1" applyFill="1"/>
    <xf numFmtId="164" fontId="5" fillId="6" borderId="0" xfId="0" applyNumberFormat="1" applyFont="1" applyFill="1" applyAlignment="1">
      <alignment horizontal="right"/>
    </xf>
    <xf numFmtId="165" fontId="11" fillId="6" borderId="0" xfId="0" applyNumberFormat="1" applyFont="1" applyFill="1" applyAlignment="1">
      <alignment horizontal="right"/>
    </xf>
    <xf numFmtId="0" fontId="12" fillId="0" borderId="0" xfId="0" applyFont="1"/>
    <xf numFmtId="9" fontId="13" fillId="7" borderId="0" xfId="0" applyNumberFormat="1" applyFont="1" applyFill="1" applyAlignment="1">
      <alignment horizontal="center"/>
    </xf>
    <xf numFmtId="0" fontId="14" fillId="0" borderId="0" xfId="0" applyFont="1"/>
    <xf numFmtId="3" fontId="15" fillId="0" borderId="0" xfId="0" applyNumberFormat="1" applyFont="1" applyAlignment="1">
      <alignment horizontal="right"/>
    </xf>
    <xf numFmtId="9" fontId="16" fillId="0" borderId="0" xfId="0" applyNumberFormat="1" applyFont="1" applyAlignment="1">
      <alignment horizontal="center" vertical="top"/>
    </xf>
    <xf numFmtId="0" fontId="17" fillId="0" borderId="0" xfId="0" applyFont="1"/>
    <xf numFmtId="166" fontId="18" fillId="8" borderId="0" xfId="0" applyNumberFormat="1" applyFont="1" applyFill="1" applyAlignment="1">
      <alignment horizontal="right"/>
    </xf>
    <xf numFmtId="166" fontId="19" fillId="0" borderId="0" xfId="0" applyNumberFormat="1" applyFont="1" applyAlignment="1">
      <alignment horizontal="right"/>
    </xf>
    <xf numFmtId="0" fontId="20" fillId="0" borderId="0" xfId="0" applyFont="1"/>
    <xf numFmtId="1" fontId="20" fillId="0" borderId="0" xfId="0" applyNumberFormat="1" applyFont="1" applyAlignment="1">
      <alignment horizontal="center"/>
    </xf>
    <xf numFmtId="0" fontId="21" fillId="3" borderId="0" xfId="0" applyFont="1" applyFill="1" applyAlignment="1">
      <alignment horizontal="center"/>
    </xf>
    <xf numFmtId="10" fontId="22" fillId="0" borderId="0" xfId="0" applyNumberFormat="1" applyFont="1" applyAlignment="1">
      <alignment horizontal="center"/>
    </xf>
    <xf numFmtId="0" fontId="23" fillId="9" borderId="0" xfId="0" applyFont="1" applyFill="1"/>
    <xf numFmtId="166" fontId="18" fillId="9" borderId="0" xfId="0" applyNumberFormat="1" applyFont="1" applyFill="1" applyAlignment="1">
      <alignment horizontal="right"/>
    </xf>
    <xf numFmtId="0" fontId="24" fillId="0" borderId="0" xfId="0" applyFont="1"/>
    <xf numFmtId="0" fontId="25" fillId="0" borderId="0" xfId="0" applyFont="1"/>
    <xf numFmtId="1" fontId="26" fillId="0" borderId="0" xfId="0" applyNumberFormat="1" applyFont="1" applyAlignment="1">
      <alignment horizontal="right"/>
    </xf>
    <xf numFmtId="0" fontId="27" fillId="0" borderId="0" xfId="0" applyFont="1"/>
    <xf numFmtId="1" fontId="26" fillId="10" borderId="0" xfId="0" applyNumberFormat="1" applyFont="1" applyFill="1"/>
    <xf numFmtId="1" fontId="26" fillId="10" borderId="0" xfId="0" applyNumberFormat="1" applyFont="1" applyFill="1" applyAlignment="1">
      <alignment horizontal="right"/>
    </xf>
    <xf numFmtId="0" fontId="28" fillId="0" borderId="0" xfId="0" applyFont="1"/>
    <xf numFmtId="166" fontId="29" fillId="11" borderId="0" xfId="0" applyNumberFormat="1" applyFont="1" applyFill="1" applyAlignment="1">
      <alignment horizontal="right"/>
    </xf>
    <xf numFmtId="0" fontId="30" fillId="0" borderId="0" xfId="0" applyFont="1"/>
    <xf numFmtId="167" fontId="21" fillId="7" borderId="0" xfId="0" applyNumberFormat="1" applyFont="1" applyFill="1" applyAlignment="1">
      <alignment horizontal="center"/>
    </xf>
    <xf numFmtId="0" fontId="31" fillId="0" borderId="0" xfId="0" applyFont="1"/>
    <xf numFmtId="0" fontId="32" fillId="0" borderId="0" xfId="0" applyFont="1"/>
    <xf numFmtId="0" fontId="33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0" fontId="37" fillId="0" borderId="0" xfId="0" applyFont="1"/>
    <xf numFmtId="0" fontId="38" fillId="0" borderId="0" xfId="0" quotePrefix="1" applyFont="1" applyAlignment="1">
      <alignment vertical="center"/>
    </xf>
    <xf numFmtId="0" fontId="37" fillId="0" borderId="1" xfId="0" quotePrefix="1" applyFont="1" applyBorder="1"/>
    <xf numFmtId="0" fontId="34" fillId="0" borderId="1" xfId="0" applyFont="1" applyBorder="1"/>
    <xf numFmtId="0" fontId="37" fillId="0" borderId="1" xfId="0" applyFont="1" applyBorder="1"/>
    <xf numFmtId="0" fontId="37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39" fillId="0" borderId="2" xfId="0" applyFont="1" applyBorder="1" applyAlignment="1">
      <alignment horizontal="center"/>
    </xf>
    <xf numFmtId="0" fontId="39" fillId="0" borderId="3" xfId="0" applyFont="1" applyBorder="1" applyAlignment="1">
      <alignment horizontal="center"/>
    </xf>
    <xf numFmtId="0" fontId="39" fillId="0" borderId="4" xfId="0" applyFont="1" applyBorder="1" applyAlignment="1">
      <alignment horizontal="center"/>
    </xf>
    <xf numFmtId="0" fontId="40" fillId="0" borderId="2" xfId="0" applyFont="1" applyBorder="1" applyAlignment="1">
      <alignment horizontal="center"/>
    </xf>
    <xf numFmtId="0" fontId="40" fillId="0" borderId="3" xfId="0" applyFont="1" applyBorder="1" applyAlignment="1">
      <alignment horizontal="center"/>
    </xf>
    <xf numFmtId="0" fontId="40" fillId="0" borderId="4" xfId="0" applyFont="1" applyBorder="1" applyAlignment="1">
      <alignment horizontal="center"/>
    </xf>
    <xf numFmtId="0" fontId="39" fillId="12" borderId="2" xfId="0" applyFont="1" applyFill="1" applyBorder="1" applyAlignment="1">
      <alignment horizontal="center"/>
    </xf>
    <xf numFmtId="0" fontId="39" fillId="12" borderId="3" xfId="0" applyFont="1" applyFill="1" applyBorder="1" applyAlignment="1">
      <alignment horizontal="center"/>
    </xf>
    <xf numFmtId="0" fontId="39" fillId="13" borderId="2" xfId="0" applyFont="1" applyFill="1" applyBorder="1" applyAlignment="1">
      <alignment horizontal="center"/>
    </xf>
    <xf numFmtId="0" fontId="39" fillId="13" borderId="3" xfId="0" applyFont="1" applyFill="1" applyBorder="1" applyAlignment="1">
      <alignment horizontal="center"/>
    </xf>
    <xf numFmtId="0" fontId="39" fillId="13" borderId="4" xfId="0" applyFont="1" applyFill="1" applyBorder="1" applyAlignment="1">
      <alignment horizontal="center"/>
    </xf>
    <xf numFmtId="0" fontId="41" fillId="14" borderId="0" xfId="0" applyFont="1" applyFill="1"/>
    <xf numFmtId="1" fontId="42" fillId="15" borderId="0" xfId="0" applyNumberFormat="1" applyFont="1" applyFill="1" applyAlignment="1">
      <alignment horizontal="center"/>
    </xf>
    <xf numFmtId="1" fontId="34" fillId="14" borderId="0" xfId="0" applyNumberFormat="1" applyFont="1" applyFill="1" applyAlignment="1">
      <alignment horizontal="center"/>
    </xf>
    <xf numFmtId="1" fontId="43" fillId="14" borderId="0" xfId="0" applyNumberFormat="1" applyFont="1" applyFill="1" applyAlignment="1">
      <alignment horizontal="center"/>
    </xf>
    <xf numFmtId="3" fontId="34" fillId="16" borderId="5" xfId="0" applyNumberFormat="1" applyFont="1" applyFill="1" applyBorder="1"/>
    <xf numFmtId="3" fontId="34" fillId="16" borderId="0" xfId="0" applyNumberFormat="1" applyFont="1" applyFill="1"/>
    <xf numFmtId="3" fontId="34" fillId="16" borderId="1" xfId="0" applyNumberFormat="1" applyFont="1" applyFill="1" applyBorder="1"/>
    <xf numFmtId="3" fontId="44" fillId="17" borderId="5" xfId="0" applyNumberFormat="1" applyFont="1" applyFill="1" applyBorder="1"/>
    <xf numFmtId="3" fontId="34" fillId="6" borderId="5" xfId="0" applyNumberFormat="1" applyFont="1" applyFill="1" applyBorder="1"/>
    <xf numFmtId="3" fontId="34" fillId="14" borderId="5" xfId="0" applyNumberFormat="1" applyFont="1" applyFill="1" applyBorder="1"/>
    <xf numFmtId="3" fontId="34" fillId="13" borderId="5" xfId="0" applyNumberFormat="1" applyFont="1" applyFill="1" applyBorder="1"/>
    <xf numFmtId="1" fontId="34" fillId="18" borderId="0" xfId="0" applyNumberFormat="1" applyFont="1" applyFill="1" applyAlignment="1">
      <alignment horizontal="center"/>
    </xf>
    <xf numFmtId="1" fontId="43" fillId="18" borderId="0" xfId="0" applyNumberFormat="1" applyFont="1" applyFill="1" applyAlignment="1">
      <alignment horizontal="center"/>
    </xf>
    <xf numFmtId="3" fontId="34" fillId="18" borderId="5" xfId="0" applyNumberFormat="1" applyFont="1" applyFill="1" applyBorder="1"/>
    <xf numFmtId="3" fontId="34" fillId="18" borderId="0" xfId="0" applyNumberFormat="1" applyFont="1" applyFill="1"/>
    <xf numFmtId="3" fontId="34" fillId="18" borderId="1" xfId="0" applyNumberFormat="1" applyFont="1" applyFill="1" applyBorder="1"/>
    <xf numFmtId="3" fontId="44" fillId="19" borderId="5" xfId="0" applyNumberFormat="1" applyFont="1" applyFill="1" applyBorder="1"/>
    <xf numFmtId="1" fontId="45" fillId="12" borderId="0" xfId="0" applyNumberFormat="1" applyFont="1" applyFill="1" applyAlignment="1">
      <alignment horizontal="center"/>
    </xf>
    <xf numFmtId="0" fontId="37" fillId="11" borderId="6" xfId="0" applyFont="1" applyFill="1" applyBorder="1" applyAlignment="1">
      <alignment horizontal="center"/>
    </xf>
    <xf numFmtId="0" fontId="39" fillId="11" borderId="6" xfId="0" applyFont="1" applyFill="1" applyBorder="1" applyAlignment="1">
      <alignment horizontal="center"/>
    </xf>
    <xf numFmtId="0" fontId="44" fillId="20" borderId="7" xfId="0" applyFont="1" applyFill="1" applyBorder="1" applyAlignment="1">
      <alignment horizontal="center"/>
    </xf>
    <xf numFmtId="0" fontId="37" fillId="20" borderId="7" xfId="0" applyFont="1" applyFill="1" applyBorder="1" applyAlignment="1">
      <alignment horizontal="center"/>
    </xf>
    <xf numFmtId="0" fontId="44" fillId="11" borderId="7" xfId="0" applyFont="1" applyFill="1" applyBorder="1" applyAlignment="1">
      <alignment horizontal="center"/>
    </xf>
    <xf numFmtId="0" fontId="37" fillId="11" borderId="7" xfId="0" applyFont="1" applyFill="1" applyBorder="1" applyAlignment="1">
      <alignment horizontal="center"/>
    </xf>
    <xf numFmtId="0" fontId="46" fillId="21" borderId="7" xfId="0" applyFont="1" applyFill="1" applyBorder="1" applyAlignment="1">
      <alignment horizontal="center"/>
    </xf>
    <xf numFmtId="0" fontId="47" fillId="21" borderId="7" xfId="0" applyFont="1" applyFill="1" applyBorder="1" applyAlignment="1">
      <alignment horizontal="center"/>
    </xf>
    <xf numFmtId="0" fontId="44" fillId="0" borderId="0" xfId="0" applyFont="1"/>
    <xf numFmtId="3" fontId="44" fillId="0" borderId="0" xfId="0" applyNumberFormat="1" applyFont="1" applyAlignment="1">
      <alignment horizontal="center"/>
    </xf>
    <xf numFmtId="3" fontId="43" fillId="0" borderId="0" xfId="0" applyNumberFormat="1" applyFont="1" applyAlignment="1">
      <alignment horizontal="center"/>
    </xf>
    <xf numFmtId="3" fontId="34" fillId="0" borderId="0" xfId="0" applyNumberFormat="1" applyFont="1" applyAlignment="1">
      <alignment horizontal="center"/>
    </xf>
    <xf numFmtId="168" fontId="48" fillId="0" borderId="0" xfId="0" applyNumberFormat="1" applyFont="1"/>
    <xf numFmtId="168" fontId="49" fillId="0" borderId="0" xfId="0" applyNumberFormat="1" applyFont="1"/>
    <xf numFmtId="168" fontId="50" fillId="0" borderId="0" xfId="0" applyNumberFormat="1" applyFont="1"/>
    <xf numFmtId="168" fontId="51" fillId="14" borderId="0" xfId="0" applyNumberFormat="1" applyFont="1" applyFill="1"/>
    <xf numFmtId="0" fontId="52" fillId="0" borderId="0" xfId="0" applyFont="1" applyAlignment="1">
      <alignment horizontal="right"/>
    </xf>
    <xf numFmtId="168" fontId="53" fillId="0" borderId="0" xfId="0" applyNumberFormat="1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1" fontId="1" fillId="0" borderId="0" xfId="0" applyNumberFormat="1" applyFont="1"/>
    <xf numFmtId="1" fontId="21" fillId="22" borderId="0" xfId="0" applyNumberFormat="1" applyFont="1" applyFill="1"/>
    <xf numFmtId="1" fontId="57" fillId="22" borderId="0" xfId="0" applyNumberFormat="1" applyFont="1" applyFill="1" applyAlignment="1">
      <alignment horizontal="center"/>
    </xf>
    <xf numFmtId="1" fontId="1" fillId="0" borderId="8" xfId="0" applyNumberFormat="1" applyFont="1" applyBorder="1"/>
    <xf numFmtId="0" fontId="58" fillId="0" borderId="8" xfId="0" quotePrefix="1" applyFont="1" applyBorder="1"/>
    <xf numFmtId="0" fontId="1" fillId="0" borderId="6" xfId="0" applyFont="1" applyBorder="1"/>
    <xf numFmtId="0" fontId="41" fillId="0" borderId="6" xfId="0" applyFont="1" applyBorder="1"/>
    <xf numFmtId="0" fontId="1" fillId="0" borderId="9" xfId="0" applyFont="1" applyBorder="1"/>
    <xf numFmtId="0" fontId="59" fillId="0" borderId="0" xfId="0" applyFont="1"/>
    <xf numFmtId="0" fontId="1" fillId="0" borderId="10" xfId="0" applyFont="1" applyBorder="1"/>
    <xf numFmtId="1" fontId="23" fillId="0" borderId="11" xfId="0" applyNumberFormat="1" applyFont="1" applyBorder="1" applyAlignment="1">
      <alignment horizontal="center"/>
    </xf>
    <xf numFmtId="0" fontId="1" fillId="0" borderId="1" xfId="0" applyFont="1" applyBorder="1"/>
    <xf numFmtId="0" fontId="60" fillId="12" borderId="6" xfId="0" applyFont="1" applyFill="1" applyBorder="1" applyAlignment="1">
      <alignment horizontal="center"/>
    </xf>
    <xf numFmtId="0" fontId="60" fillId="12" borderId="9" xfId="0" applyFont="1" applyFill="1" applyBorder="1" applyAlignment="1">
      <alignment horizontal="center"/>
    </xf>
    <xf numFmtId="0" fontId="60" fillId="13" borderId="6" xfId="0" applyFont="1" applyFill="1" applyBorder="1" applyAlignment="1">
      <alignment horizontal="center"/>
    </xf>
    <xf numFmtId="0" fontId="60" fillId="13" borderId="9" xfId="0" applyFont="1" applyFill="1" applyBorder="1" applyAlignment="1">
      <alignment horizontal="center"/>
    </xf>
    <xf numFmtId="0" fontId="61" fillId="0" borderId="0" xfId="0" applyFont="1"/>
    <xf numFmtId="0" fontId="62" fillId="23" borderId="10" xfId="0" applyFont="1" applyFill="1" applyBorder="1" applyAlignment="1">
      <alignment horizontal="right"/>
    </xf>
    <xf numFmtId="3" fontId="63" fillId="0" borderId="10" xfId="0" applyNumberFormat="1" applyFont="1" applyBorder="1" applyAlignment="1">
      <alignment horizontal="right"/>
    </xf>
    <xf numFmtId="3" fontId="1" fillId="17" borderId="1" xfId="0" applyNumberFormat="1" applyFont="1" applyFill="1" applyBorder="1" applyAlignment="1">
      <alignment horizontal="right"/>
    </xf>
    <xf numFmtId="3" fontId="1" fillId="17" borderId="0" xfId="0" applyNumberFormat="1" applyFont="1" applyFill="1" applyAlignment="1">
      <alignment horizontal="right"/>
    </xf>
    <xf numFmtId="3" fontId="1" fillId="16" borderId="1" xfId="0" applyNumberFormat="1" applyFont="1" applyFill="1" applyBorder="1" applyAlignment="1">
      <alignment horizontal="right"/>
    </xf>
    <xf numFmtId="3" fontId="1" fillId="16" borderId="0" xfId="0" applyNumberFormat="1" applyFont="1" applyFill="1" applyAlignment="1">
      <alignment horizontal="right"/>
    </xf>
    <xf numFmtId="0" fontId="64" fillId="0" borderId="0" xfId="0" applyFont="1"/>
    <xf numFmtId="9" fontId="62" fillId="23" borderId="10" xfId="0" applyNumberFormat="1" applyFont="1" applyFill="1" applyBorder="1" applyAlignment="1">
      <alignment horizontal="right"/>
    </xf>
    <xf numFmtId="3" fontId="63" fillId="0" borderId="11" xfId="0" applyNumberFormat="1" applyFont="1" applyBorder="1" applyAlignment="1">
      <alignment horizontal="right"/>
    </xf>
    <xf numFmtId="3" fontId="1" fillId="18" borderId="0" xfId="0" applyNumberFormat="1" applyFont="1" applyFill="1" applyAlignment="1">
      <alignment horizontal="right"/>
    </xf>
    <xf numFmtId="3" fontId="1" fillId="18" borderId="1" xfId="0" applyNumberFormat="1" applyFont="1" applyFill="1" applyBorder="1" applyAlignment="1">
      <alignment horizontal="right"/>
    </xf>
    <xf numFmtId="0" fontId="65" fillId="0" borderId="0" xfId="0" applyFont="1"/>
    <xf numFmtId="3" fontId="63" fillId="0" borderId="0" xfId="0" applyNumberFormat="1" applyFont="1" applyAlignment="1">
      <alignment horizontal="right"/>
    </xf>
    <xf numFmtId="0" fontId="1" fillId="0" borderId="8" xfId="0" applyFont="1" applyBorder="1"/>
    <xf numFmtId="0" fontId="66" fillId="0" borderId="12" xfId="0" applyFont="1" applyBorder="1"/>
    <xf numFmtId="0" fontId="1" fillId="0" borderId="11" xfId="0" applyFont="1" applyBorder="1"/>
    <xf numFmtId="3" fontId="66" fillId="0" borderId="11" xfId="0" applyNumberFormat="1" applyFont="1" applyBorder="1" applyAlignment="1">
      <alignment horizontal="right"/>
    </xf>
    <xf numFmtId="0" fontId="67" fillId="0" borderId="0" xfId="0" applyFont="1"/>
    <xf numFmtId="3" fontId="1" fillId="17" borderId="6" xfId="0" applyNumberFormat="1" applyFont="1" applyFill="1" applyBorder="1" applyAlignment="1">
      <alignment horizontal="right"/>
    </xf>
    <xf numFmtId="3" fontId="1" fillId="17" borderId="9" xfId="0" applyNumberFormat="1" applyFont="1" applyFill="1" applyBorder="1" applyAlignment="1">
      <alignment horizontal="right"/>
    </xf>
    <xf numFmtId="0" fontId="68" fillId="0" borderId="12" xfId="0" applyFont="1" applyBorder="1"/>
    <xf numFmtId="3" fontId="68" fillId="0" borderId="11" xfId="0" applyNumberFormat="1" applyFont="1" applyBorder="1" applyAlignment="1">
      <alignment horizontal="right"/>
    </xf>
    <xf numFmtId="0" fontId="69" fillId="0" borderId="0" xfId="0" applyFont="1"/>
    <xf numFmtId="0" fontId="70" fillId="0" borderId="12" xfId="0" applyFont="1" applyBorder="1"/>
    <xf numFmtId="3" fontId="70" fillId="0" borderId="11" xfId="0" applyNumberFormat="1" applyFont="1" applyBorder="1" applyAlignment="1">
      <alignment horizontal="right"/>
    </xf>
    <xf numFmtId="3" fontId="1" fillId="18" borderId="6" xfId="0" applyNumberFormat="1" applyFont="1" applyFill="1" applyBorder="1" applyAlignment="1">
      <alignment horizontal="right"/>
    </xf>
    <xf numFmtId="3" fontId="1" fillId="18" borderId="9" xfId="0" applyNumberFormat="1" applyFont="1" applyFill="1" applyBorder="1" applyAlignment="1">
      <alignment horizontal="right"/>
    </xf>
    <xf numFmtId="0" fontId="71" fillId="11" borderId="9" xfId="0" applyFont="1" applyFill="1" applyBorder="1" applyAlignment="1">
      <alignment horizontal="center"/>
    </xf>
    <xf numFmtId="0" fontId="41" fillId="11" borderId="9" xfId="0" applyFont="1" applyFill="1" applyBorder="1" applyAlignment="1">
      <alignment horizontal="center"/>
    </xf>
    <xf numFmtId="168" fontId="72" fillId="0" borderId="0" xfId="0" applyNumberFormat="1" applyFont="1" applyAlignment="1">
      <alignment horizontal="right"/>
    </xf>
    <xf numFmtId="0" fontId="73" fillId="0" borderId="0" xfId="0" applyFont="1" applyAlignment="1">
      <alignment horizontal="center"/>
    </xf>
    <xf numFmtId="0" fontId="37" fillId="0" borderId="1" xfId="0" applyFont="1" applyBorder="1" applyAlignment="1">
      <alignment horizontal="center"/>
    </xf>
    <xf numFmtId="0" fontId="74" fillId="0" borderId="4" xfId="0" applyFont="1" applyBorder="1" applyAlignment="1">
      <alignment horizontal="center"/>
    </xf>
    <xf numFmtId="0" fontId="75" fillId="0" borderId="4" xfId="0" applyFont="1" applyBorder="1" applyAlignment="1">
      <alignment horizontal="center"/>
    </xf>
    <xf numFmtId="0" fontId="1" fillId="0" borderId="4" xfId="0" applyFont="1" applyBorder="1"/>
    <xf numFmtId="0" fontId="76" fillId="24" borderId="4" xfId="0" applyFont="1" applyFill="1" applyBorder="1" applyAlignment="1">
      <alignment horizontal="center"/>
    </xf>
    <xf numFmtId="0" fontId="75" fillId="25" borderId="4" xfId="0" applyFont="1" applyFill="1" applyBorder="1" applyAlignment="1">
      <alignment horizontal="center"/>
    </xf>
    <xf numFmtId="0" fontId="41" fillId="0" borderId="0" xfId="0" applyFont="1" applyAlignment="1">
      <alignment horizontal="center"/>
    </xf>
    <xf numFmtId="0" fontId="77" fillId="24" borderId="0" xfId="0" applyFont="1" applyFill="1" applyAlignment="1">
      <alignment horizontal="center"/>
    </xf>
    <xf numFmtId="0" fontId="78" fillId="9" borderId="0" xfId="0" applyFont="1" applyFill="1"/>
    <xf numFmtId="0" fontId="78" fillId="0" borderId="0" xfId="0" applyFont="1" applyAlignment="1">
      <alignment horizontal="center"/>
    </xf>
    <xf numFmtId="0" fontId="79" fillId="0" borderId="0" xfId="0" applyFont="1" applyAlignment="1">
      <alignment horizontal="right"/>
    </xf>
    <xf numFmtId="1" fontId="1" fillId="11" borderId="0" xfId="0" applyNumberFormat="1" applyFont="1" applyFill="1" applyAlignment="1">
      <alignment horizontal="right"/>
    </xf>
    <xf numFmtId="1" fontId="1" fillId="26" borderId="0" xfId="0" applyNumberFormat="1" applyFont="1" applyFill="1" applyAlignment="1">
      <alignment horizontal="right"/>
    </xf>
    <xf numFmtId="168" fontId="27" fillId="0" borderId="0" xfId="0" applyNumberFormat="1" applyFont="1" applyAlignment="1">
      <alignment horizontal="right"/>
    </xf>
    <xf numFmtId="168" fontId="27" fillId="0" borderId="1" xfId="0" applyNumberFormat="1" applyFont="1" applyBorder="1" applyAlignment="1">
      <alignment horizontal="right"/>
    </xf>
    <xf numFmtId="1" fontId="1" fillId="27" borderId="6" xfId="0" applyNumberFormat="1" applyFont="1" applyFill="1" applyBorder="1" applyAlignment="1">
      <alignment horizontal="right"/>
    </xf>
    <xf numFmtId="1" fontId="1" fillId="28" borderId="6" xfId="0" applyNumberFormat="1" applyFont="1" applyFill="1" applyBorder="1" applyAlignment="1">
      <alignment horizontal="right"/>
    </xf>
    <xf numFmtId="1" fontId="1" fillId="26" borderId="6" xfId="0" applyNumberFormat="1" applyFont="1" applyFill="1" applyBorder="1" applyAlignment="1">
      <alignment horizontal="right"/>
    </xf>
    <xf numFmtId="1" fontId="1" fillId="0" borderId="6" xfId="0" applyNumberFormat="1" applyFont="1" applyBorder="1" applyAlignment="1">
      <alignment horizontal="right"/>
    </xf>
    <xf numFmtId="1" fontId="80" fillId="23" borderId="9" xfId="0" applyNumberFormat="1" applyFont="1" applyFill="1" applyBorder="1" applyAlignment="1">
      <alignment horizontal="right"/>
    </xf>
    <xf numFmtId="1" fontId="1" fillId="29" borderId="9" xfId="0" applyNumberFormat="1" applyFont="1" applyFill="1" applyBorder="1"/>
    <xf numFmtId="168" fontId="1" fillId="0" borderId="0" xfId="0" applyNumberFormat="1" applyFont="1" applyAlignment="1">
      <alignment horizontal="right"/>
    </xf>
    <xf numFmtId="168" fontId="71" fillId="30" borderId="0" xfId="0" applyNumberFormat="1" applyFont="1" applyFill="1" applyAlignment="1">
      <alignment horizontal="right"/>
    </xf>
    <xf numFmtId="1" fontId="1" fillId="27" borderId="0" xfId="0" applyNumberFormat="1" applyFont="1" applyFill="1" applyAlignment="1">
      <alignment horizontal="right"/>
    </xf>
    <xf numFmtId="1" fontId="1" fillId="28" borderId="0" xfId="0" applyNumberFormat="1" applyFont="1" applyFill="1" applyAlignment="1">
      <alignment horizontal="right"/>
    </xf>
    <xf numFmtId="1" fontId="1" fillId="0" borderId="0" xfId="0" applyNumberFormat="1" applyFont="1" applyAlignment="1">
      <alignment horizontal="right"/>
    </xf>
    <xf numFmtId="1" fontId="80" fillId="23" borderId="1" xfId="0" applyNumberFormat="1" applyFont="1" applyFill="1" applyBorder="1" applyAlignment="1">
      <alignment horizontal="right"/>
    </xf>
    <xf numFmtId="1" fontId="1" fillId="29" borderId="1" xfId="0" applyNumberFormat="1" applyFont="1" applyFill="1" applyBorder="1"/>
    <xf numFmtId="0" fontId="1" fillId="0" borderId="0" xfId="0" applyFont="1" applyAlignment="1">
      <alignment horizontal="right"/>
    </xf>
    <xf numFmtId="0" fontId="78" fillId="11" borderId="0" xfId="0" applyFont="1" applyFill="1"/>
    <xf numFmtId="0" fontId="81" fillId="6" borderId="0" xfId="0" applyFont="1" applyFill="1"/>
    <xf numFmtId="0" fontId="81" fillId="20" borderId="0" xfId="0" applyFont="1" applyFill="1"/>
    <xf numFmtId="0" fontId="78" fillId="0" borderId="0" xfId="0" applyFont="1"/>
    <xf numFmtId="0" fontId="82" fillId="0" borderId="0" xfId="0" applyFont="1"/>
    <xf numFmtId="169" fontId="78" fillId="0" borderId="0" xfId="0" applyNumberFormat="1" applyFont="1" applyAlignment="1">
      <alignment horizontal="right"/>
    </xf>
    <xf numFmtId="0" fontId="83" fillId="0" borderId="0" xfId="0" applyFont="1"/>
    <xf numFmtId="10" fontId="84" fillId="0" borderId="0" xfId="0" applyNumberFormat="1" applyFont="1" applyAlignment="1">
      <alignment horizontal="right"/>
    </xf>
    <xf numFmtId="0" fontId="85" fillId="0" borderId="0" xfId="0" applyFont="1"/>
    <xf numFmtId="10" fontId="61" fillId="0" borderId="0" xfId="0" applyNumberFormat="1" applyFont="1" applyAlignment="1">
      <alignment horizontal="right"/>
    </xf>
    <xf numFmtId="10" fontId="71" fillId="0" borderId="0" xfId="0" applyNumberFormat="1" applyFont="1" applyAlignment="1">
      <alignment horizontal="right"/>
    </xf>
    <xf numFmtId="0" fontId="71" fillId="0" borderId="0" xfId="0" applyFont="1" applyAlignment="1">
      <alignment horizontal="center"/>
    </xf>
    <xf numFmtId="0" fontId="86" fillId="0" borderId="0" xfId="0" applyFont="1" applyAlignment="1">
      <alignment horizontal="right"/>
    </xf>
    <xf numFmtId="0" fontId="87" fillId="0" borderId="0" xfId="0" applyFont="1" applyAlignment="1">
      <alignment horizontal="right"/>
    </xf>
    <xf numFmtId="4" fontId="86" fillId="0" borderId="0" xfId="0" applyNumberFormat="1" applyFont="1" applyAlignment="1">
      <alignment horizontal="right"/>
    </xf>
    <xf numFmtId="0" fontId="86" fillId="0" borderId="0" xfId="0" applyFont="1"/>
    <xf numFmtId="2" fontId="87" fillId="0" borderId="0" xfId="0" applyNumberFormat="1" applyFont="1" applyAlignment="1">
      <alignment horizontal="right"/>
    </xf>
    <xf numFmtId="167" fontId="1" fillId="0" borderId="0" xfId="0" applyNumberFormat="1" applyFont="1" applyAlignment="1">
      <alignment horizontal="right"/>
    </xf>
    <xf numFmtId="10" fontId="79" fillId="0" borderId="0" xfId="0" applyNumberFormat="1" applyFont="1" applyAlignment="1">
      <alignment horizontal="right"/>
    </xf>
    <xf numFmtId="0" fontId="71" fillId="0" borderId="0" xfId="0" applyFont="1"/>
    <xf numFmtId="9" fontId="1" fillId="0" borderId="0" xfId="0" applyNumberFormat="1" applyFont="1" applyAlignment="1">
      <alignment horizontal="right"/>
    </xf>
    <xf numFmtId="167" fontId="71" fillId="0" borderId="0" xfId="0" applyNumberFormat="1" applyFont="1" applyAlignment="1">
      <alignment horizontal="right"/>
    </xf>
    <xf numFmtId="0" fontId="16" fillId="0" borderId="0" xfId="0" applyFont="1"/>
    <xf numFmtId="0" fontId="16" fillId="0" borderId="0" xfId="0" applyFont="1" applyAlignment="1">
      <alignment horizontal="right"/>
    </xf>
    <xf numFmtId="9" fontId="79" fillId="0" borderId="0" xfId="0" applyNumberFormat="1" applyFont="1" applyAlignment="1">
      <alignment horizontal="right"/>
    </xf>
    <xf numFmtId="0" fontId="65" fillId="0" borderId="0" xfId="0" applyFont="1" applyAlignment="1">
      <alignment horizontal="right"/>
    </xf>
    <xf numFmtId="0" fontId="91" fillId="0" borderId="0" xfId="0" applyFont="1" applyAlignment="1">
      <alignment horizontal="center" vertical="center"/>
    </xf>
  </cellXfs>
  <cellStyles count="1">
    <cellStyle name="Normal" xfId="0" builtinId="0"/>
  </cellStyles>
  <dxfs count="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3" formatCode="#,##0"/>
      <fill>
        <patternFill patternType="solid">
          <fgColor rgb="FFF3F3F3"/>
          <bgColor rgb="FFF3F3F3"/>
        </patternFill>
      </fill>
      <border diagonalUp="0" diagonalDown="0">
        <left style="thin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3" formatCode="#,##0"/>
      <fill>
        <patternFill patternType="solid">
          <fgColor rgb="FFF3F3F3"/>
          <bgColor rgb="FFF3F3F3"/>
        </patternFill>
      </fill>
      <border diagonalUp="0" diagonalDown="0">
        <left style="thin">
          <color rgb="FF000000"/>
        </left>
        <right/>
        <top/>
        <bottom/>
        <vertical/>
        <horizontal/>
      </border>
    </dxf>
    <dxf>
      <numFmt numFmtId="3" formatCode="#,##0"/>
    </dxf>
    <dxf>
      <numFmt numFmtId="3" formatCode="#,##0"/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</dxfs>
  <tableStyles count="36">
    <tableStyle name="Fleet Value-style" pivot="0" count="2" xr9:uid="{00000000-0011-0000-FFFF-FFFF00000000}">
      <tableStyleElement type="firstRowStripe" dxfId="75"/>
      <tableStyleElement type="secondRowStripe" dxfId="74"/>
    </tableStyle>
    <tableStyle name="Fleet Value-style 2" pivot="0" count="2" xr9:uid="{00000000-0011-0000-FFFF-FFFF01000000}">
      <tableStyleElement type="firstRowStripe" dxfId="73"/>
      <tableStyleElement type="secondRowStripe" dxfId="72"/>
    </tableStyle>
    <tableStyle name="Fleet Value-style 3" pivot="0" count="2" xr9:uid="{00000000-0011-0000-FFFF-FFFF02000000}">
      <tableStyleElement type="firstRowStripe" dxfId="71"/>
      <tableStyleElement type="secondRowStripe" dxfId="70"/>
    </tableStyle>
    <tableStyle name="Fleet Value-style 4" pivot="0" count="2" xr9:uid="{00000000-0011-0000-FFFF-FFFF03000000}">
      <tableStyleElement type="firstRowStripe" dxfId="69"/>
      <tableStyleElement type="secondRowStripe" dxfId="68"/>
    </tableStyle>
    <tableStyle name="Fleet Value-style 5" pivot="0" count="2" xr9:uid="{00000000-0011-0000-FFFF-FFFF04000000}">
      <tableStyleElement type="firstRowStripe" dxfId="67"/>
      <tableStyleElement type="secondRowStripe" dxfId="66"/>
    </tableStyle>
    <tableStyle name="Fleet Value-style 6" pivot="0" count="2" xr9:uid="{00000000-0011-0000-FFFF-FFFF05000000}">
      <tableStyleElement type="firstRowStripe" dxfId="65"/>
      <tableStyleElement type="secondRowStripe" dxfId="64"/>
    </tableStyle>
    <tableStyle name="Fleet Value-style 7" pivot="0" count="2" xr9:uid="{00000000-0011-0000-FFFF-FFFF06000000}">
      <tableStyleElement type="firstRowStripe" dxfId="63"/>
      <tableStyleElement type="secondRowStripe" dxfId="62"/>
    </tableStyle>
    <tableStyle name="Fleet Value-style 8" pivot="0" count="2" xr9:uid="{00000000-0011-0000-FFFF-FFFF07000000}">
      <tableStyleElement type="firstRowStripe" dxfId="61"/>
      <tableStyleElement type="secondRowStripe" dxfId="60"/>
    </tableStyle>
    <tableStyle name="Fleet Value-style 9" pivot="0" count="2" xr9:uid="{00000000-0011-0000-FFFF-FFFF08000000}">
      <tableStyleElement type="firstRowStripe" dxfId="59"/>
      <tableStyleElement type="secondRowStripe" dxfId="58"/>
    </tableStyle>
    <tableStyle name="Fleet Value-style 10" pivot="0" count="2" xr9:uid="{00000000-0011-0000-FFFF-FFFF09000000}">
      <tableStyleElement type="firstRowStripe" dxfId="57"/>
      <tableStyleElement type="secondRowStripe" dxfId="56"/>
    </tableStyle>
    <tableStyle name="Fleet Value-style 11" pivot="0" count="2" xr9:uid="{00000000-0011-0000-FFFF-FFFF0A000000}">
      <tableStyleElement type="firstRowStripe" dxfId="55"/>
      <tableStyleElement type="secondRowStripe" dxfId="54"/>
    </tableStyle>
    <tableStyle name="Fleet Value-style 12" pivot="0" count="2" xr9:uid="{00000000-0011-0000-FFFF-FFFF0B000000}">
      <tableStyleElement type="firstRowStripe" dxfId="53"/>
      <tableStyleElement type="secondRowStripe" dxfId="52"/>
    </tableStyle>
    <tableStyle name="Fleet Value-style 13" pivot="0" count="2" xr9:uid="{00000000-0011-0000-FFFF-FFFF0C000000}">
      <tableStyleElement type="firstRowStripe" dxfId="51"/>
      <tableStyleElement type="secondRowStripe" dxfId="50"/>
    </tableStyle>
    <tableStyle name="Fleet Value-style 14" pivot="0" count="2" xr9:uid="{00000000-0011-0000-FFFF-FFFF0D000000}">
      <tableStyleElement type="firstRowStripe" dxfId="49"/>
      <tableStyleElement type="secondRowStripe" dxfId="48"/>
    </tableStyle>
    <tableStyle name="Fleet Value-style 15" pivot="0" count="2" xr9:uid="{00000000-0011-0000-FFFF-FFFF0E000000}">
      <tableStyleElement type="firstRowStripe" dxfId="47"/>
      <tableStyleElement type="secondRowStripe" dxfId="46"/>
    </tableStyle>
    <tableStyle name="Fleet Value-style 16" pivot="0" count="2" xr9:uid="{00000000-0011-0000-FFFF-FFFF0F000000}">
      <tableStyleElement type="firstRowStripe" dxfId="45"/>
      <tableStyleElement type="secondRowStripe" dxfId="44"/>
    </tableStyle>
    <tableStyle name="Fleet Value-style 17" pivot="0" count="2" xr9:uid="{00000000-0011-0000-FFFF-FFFF10000000}">
      <tableStyleElement type="firstRowStripe" dxfId="43"/>
      <tableStyleElement type="secondRowStripe" dxfId="42"/>
    </tableStyle>
    <tableStyle name="Fleet Value-style 18" pivot="0" count="2" xr9:uid="{00000000-0011-0000-FFFF-FFFF11000000}">
      <tableStyleElement type="firstRowStripe" dxfId="41"/>
      <tableStyleElement type="secondRowStripe" dxfId="40"/>
    </tableStyle>
    <tableStyle name="Fleet Value-style 19" pivot="0" count="2" xr9:uid="{00000000-0011-0000-FFFF-FFFF12000000}">
      <tableStyleElement type="firstRowStripe" dxfId="39"/>
      <tableStyleElement type="secondRowStripe" dxfId="38"/>
    </tableStyle>
    <tableStyle name="Fleet Value-style 20" pivot="0" count="2" xr9:uid="{00000000-0011-0000-FFFF-FFFF13000000}">
      <tableStyleElement type="firstRowStripe" dxfId="37"/>
      <tableStyleElement type="secondRowStripe" dxfId="36"/>
    </tableStyle>
    <tableStyle name="Fleet Value-style 21" pivot="0" count="2" xr9:uid="{00000000-0011-0000-FFFF-FFFF14000000}">
      <tableStyleElement type="firstRowStripe" dxfId="35"/>
      <tableStyleElement type="secondRowStripe" dxfId="34"/>
    </tableStyle>
    <tableStyle name="Fleet Value-style 22" pivot="0" count="2" xr9:uid="{00000000-0011-0000-FFFF-FFFF15000000}">
      <tableStyleElement type="firstRowStripe" dxfId="33"/>
      <tableStyleElement type="secondRowStripe" dxfId="32"/>
    </tableStyle>
    <tableStyle name="Fleet Value-style 23" pivot="0" count="2" xr9:uid="{00000000-0011-0000-FFFF-FFFF16000000}">
      <tableStyleElement type="firstRowStripe" dxfId="31"/>
      <tableStyleElement type="secondRowStripe" dxfId="30"/>
    </tableStyle>
    <tableStyle name="Fleet Value-style 24" pivot="0" count="2" xr9:uid="{00000000-0011-0000-FFFF-FFFF17000000}">
      <tableStyleElement type="firstRowStripe" dxfId="29"/>
      <tableStyleElement type="secondRowStripe" dxfId="28"/>
    </tableStyle>
    <tableStyle name="Fleet Value-style 25" pivot="0" count="2" xr9:uid="{00000000-0011-0000-FFFF-FFFF18000000}">
      <tableStyleElement type="firstRowStripe" dxfId="27"/>
      <tableStyleElement type="secondRowStripe" dxfId="26"/>
    </tableStyle>
    <tableStyle name="Fleet Value-style 26" pivot="0" count="2" xr9:uid="{00000000-0011-0000-FFFF-FFFF19000000}">
      <tableStyleElement type="firstRowStripe" dxfId="25"/>
      <tableStyleElement type="secondRowStripe" dxfId="24"/>
    </tableStyle>
    <tableStyle name="Fleet Value-style 27" pivot="0" count="2" xr9:uid="{00000000-0011-0000-FFFF-FFFF1A000000}">
      <tableStyleElement type="firstRowStripe" dxfId="23"/>
      <tableStyleElement type="secondRowStripe" dxfId="22"/>
    </tableStyle>
    <tableStyle name="Fleet Value-style 28" pivot="0" count="2" xr9:uid="{00000000-0011-0000-FFFF-FFFF1B000000}">
      <tableStyleElement type="firstRowStripe" dxfId="21"/>
      <tableStyleElement type="secondRowStripe" dxfId="20"/>
    </tableStyle>
    <tableStyle name="Fleet Value-style 29" pivot="0" count="2" xr9:uid="{00000000-0011-0000-FFFF-FFFF1C000000}">
      <tableStyleElement type="firstRowStripe" dxfId="19"/>
      <tableStyleElement type="secondRowStripe" dxfId="18"/>
    </tableStyle>
    <tableStyle name="Fleet Value-style 30" pivot="0" count="2" xr9:uid="{00000000-0011-0000-FFFF-FFFF1D000000}">
      <tableStyleElement type="firstRowStripe" dxfId="17"/>
      <tableStyleElement type="secondRowStripe" dxfId="16"/>
    </tableStyle>
    <tableStyle name="Fleet Value-style 31" pivot="0" count="2" xr9:uid="{00000000-0011-0000-FFFF-FFFF1E000000}">
      <tableStyleElement type="firstRowStripe" dxfId="15"/>
      <tableStyleElement type="secondRowStripe" dxfId="14"/>
    </tableStyle>
    <tableStyle name="Fleet Value-style 32" pivot="0" count="2" xr9:uid="{00000000-0011-0000-FFFF-FFFF1F000000}">
      <tableStyleElement type="firstRowStripe" dxfId="13"/>
      <tableStyleElement type="secondRowStripe" dxfId="12"/>
    </tableStyle>
    <tableStyle name="Price Models-style" pivot="0" count="2" xr9:uid="{00000000-0011-0000-FFFF-FFFF20000000}">
      <tableStyleElement type="firstRowStripe" dxfId="11"/>
      <tableStyleElement type="secondRowStripe" dxfId="10"/>
    </tableStyle>
    <tableStyle name="Price Models-style 2" pivot="0" count="2" xr9:uid="{00000000-0011-0000-FFFF-FFFF21000000}">
      <tableStyleElement type="firstRowStripe" dxfId="9"/>
      <tableStyleElement type="secondRowStripe" dxfId="8"/>
    </tableStyle>
    <tableStyle name="Price Models-style 3" pivot="0" count="2" xr9:uid="{00000000-0011-0000-FFFF-FFFF22000000}">
      <tableStyleElement type="firstRowStripe" dxfId="7"/>
      <tableStyleElement type="secondRowStripe" dxfId="6"/>
    </tableStyle>
    <tableStyle name="Price Models-style 4" pivot="0" count="2" xr9:uid="{00000000-0011-0000-FFFF-FFFF23000000}"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275317"/>
                </a:solidFill>
                <a:latin typeface="sans-serif"/>
              </a:defRPr>
            </a:pPr>
            <a:r>
              <a:rPr lang="nl-NL" b="1">
                <a:solidFill>
                  <a:srgbClr val="275317"/>
                </a:solidFill>
                <a:latin typeface="sans-serif"/>
              </a:rPr>
              <a:t>Total Savings with Bunker Insights</a:t>
            </a:r>
          </a:p>
        </c:rich>
      </c:tx>
      <c:overlay val="0"/>
    </c:title>
    <c:autoTitleDeleted val="0"/>
    <c:plotArea>
      <c:layout/>
      <c:areaChart>
        <c:grouping val="stacked"/>
        <c:varyColors val="1"/>
        <c:ser>
          <c:idx val="0"/>
          <c:order val="0"/>
          <c:spPr>
            <a:solidFill>
              <a:srgbClr val="F1C232">
                <a:alpha val="50000"/>
              </a:srgbClr>
            </a:solidFill>
            <a:ln cmpd="sng">
              <a:solidFill>
                <a:srgbClr val="F1C232">
                  <a:alpha val="100000"/>
                </a:srgbClr>
              </a:solidFill>
            </a:ln>
          </c:spPr>
          <c:cat>
            <c:strRef>
              <c:f>LookupTables!$A$82:$A$86</c:f>
              <c:strCache>
                <c:ptCount val="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Between 2 EU ports, 100% of emissions applies. To/From outside EU, 50% of emissions applies</c:v>
                </c:pt>
              </c:strCache>
            </c:strRef>
          </c:cat>
          <c:val>
            <c:numRef>
              <c:f>'Ship Estimator'!$F$16:$F$19</c:f>
              <c:numCache>
                <c:formatCode>_([$€-2]\ * #,##0.00_);_([$€-2]\ * \(#,##0.00\);_([$€-2]\ * "-"??_);_(@_)</c:formatCode>
                <c:ptCount val="4"/>
                <c:pt idx="0">
                  <c:v>28281.600000000002</c:v>
                </c:pt>
                <c:pt idx="1">
                  <c:v>28281.600000000002</c:v>
                </c:pt>
                <c:pt idx="2">
                  <c:v>28281.600000000002</c:v>
                </c:pt>
                <c:pt idx="3">
                  <c:v>28281.600000000002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B3-4860-B17D-D14D716E41F7}"/>
            </c:ext>
          </c:extLst>
        </c:ser>
        <c:ser>
          <c:idx val="1"/>
          <c:order val="1"/>
          <c:spPr>
            <a:solidFill>
              <a:srgbClr val="6AA84F">
                <a:alpha val="70000"/>
              </a:srgbClr>
            </a:solidFill>
            <a:ln cmpd="sng">
              <a:solidFill>
                <a:srgbClr val="6AA84F">
                  <a:alpha val="100000"/>
                </a:srgbClr>
              </a:solidFill>
            </a:ln>
          </c:spPr>
          <c:cat>
            <c:strRef>
              <c:f>LookupTables!$A$82:$A$86</c:f>
              <c:strCache>
                <c:ptCount val="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Between 2 EU ports, 100% of emissions applies. To/From outside EU, 50% of emissions applies</c:v>
                </c:pt>
              </c:strCache>
            </c:strRef>
          </c:cat>
          <c:val>
            <c:numRef>
              <c:f>'Ship Estimator'!$E$16:$E$19</c:f>
              <c:numCache>
                <c:formatCode>_([$€-2]\ * #,##0.00_);_([$€-2]\ * \(#,##0.00\);_([$€-2]\ * "-"??_);_(@_)</c:formatCode>
                <c:ptCount val="4"/>
                <c:pt idx="0">
                  <c:v>19499.848800870011</c:v>
                </c:pt>
                <c:pt idx="1">
                  <c:v>52606.95354818373</c:v>
                </c:pt>
                <c:pt idx="2">
                  <c:v>75152.790783119621</c:v>
                </c:pt>
                <c:pt idx="3">
                  <c:v>75152.790783119621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B3-4860-B17D-D14D716E4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5916"/>
        <c:axId val="488012099"/>
      </c:areaChart>
      <c:catAx>
        <c:axId val="5835459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endParaRPr lang="nl-NL"/>
          </a:p>
        </c:txPr>
        <c:crossAx val="488012099"/>
        <c:crosses val="autoZero"/>
        <c:auto val="1"/>
        <c:lblAlgn val="ctr"/>
        <c:lblOffset val="100"/>
        <c:noMultiLvlLbl val="1"/>
      </c:catAx>
      <c:valAx>
        <c:axId val="4880120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nl-NL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endParaRPr lang="nl-NL"/>
          </a:p>
        </c:txPr>
        <c:crossAx val="58354591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sans-serif"/>
            </a:defRPr>
          </a:pPr>
          <a:endParaRPr lang="nl-N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400" b="1">
                <a:solidFill>
                  <a:srgbClr val="1C4587"/>
                </a:solidFill>
                <a:latin typeface="sans-serif"/>
              </a:defRPr>
            </a:pPr>
            <a:r>
              <a:rPr lang="en-US" sz="2400" b="1">
                <a:solidFill>
                  <a:srgbClr val="1C4587"/>
                </a:solidFill>
                <a:latin typeface="sans-serif"/>
              </a:rPr>
              <a:t>Fleet ETS Costs (Constant Price)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400">
                    <a:latin typeface="sans-serif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'Fleet Value'!$P$41:$S$41</c:f>
              <c:numCache>
                <c:formatCode>General</c:formatCode>
                <c:ptCount val="4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</c:numCache>
            </c:numRef>
          </c:cat>
          <c:val>
            <c:numRef>
              <c:f>'Fleet Value'!$P$42:$S$42</c:f>
              <c:numCache>
                <c:formatCode>[$€]#,##0</c:formatCode>
                <c:ptCount val="4"/>
                <c:pt idx="0">
                  <c:v>43809326.974607997</c:v>
                </c:pt>
                <c:pt idx="1">
                  <c:v>113903331.24507925</c:v>
                </c:pt>
                <c:pt idx="2">
                  <c:v>113903331.24507925</c:v>
                </c:pt>
                <c:pt idx="3">
                  <c:v>162719044.63582757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AC-4DEA-9987-80F8BB64DCC9}"/>
            </c:ext>
          </c:extLst>
        </c:ser>
        <c:ser>
          <c:idx val="1"/>
          <c:order val="1"/>
          <c:spPr>
            <a:ln cmpd="sng">
              <a:solidFill>
                <a:srgbClr val="1C4587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1C4587">
                  <a:alpha val="100000"/>
                </a:srgbClr>
              </a:solidFill>
              <a:ln cmpd="sng">
                <a:solidFill>
                  <a:srgbClr val="1C4587">
                    <a:alpha val="100000"/>
                  </a:srgb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400">
                    <a:latin typeface="sans-serif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'Fleet Value'!$P$41:$S$41</c:f>
              <c:numCache>
                <c:formatCode>General</c:formatCode>
                <c:ptCount val="4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</c:numCache>
            </c:numRef>
          </c:cat>
          <c:val>
            <c:numRef>
              <c:f>'Fleet Value'!$P$43:$S$43</c:f>
              <c:numCache>
                <c:formatCode>[$€]#,##0</c:formatCode>
                <c:ptCount val="4"/>
                <c:pt idx="0">
                  <c:v>42963255.903379917</c:v>
                </c:pt>
                <c:pt idx="1">
                  <c:v>109324417.32902706</c:v>
                </c:pt>
                <c:pt idx="2">
                  <c:v>109324417.32902706</c:v>
                </c:pt>
                <c:pt idx="3">
                  <c:v>156177739.04146731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AC-4DEA-9987-80F8BB64D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6493648"/>
        <c:axId val="1622815775"/>
      </c:lineChart>
      <c:catAx>
        <c:axId val="936493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2400" b="0">
                <a:solidFill>
                  <a:srgbClr val="000000"/>
                </a:solidFill>
                <a:latin typeface="sans-serif"/>
              </a:defRPr>
            </a:pPr>
            <a:endParaRPr lang="nl-NL"/>
          </a:p>
        </c:txPr>
        <c:crossAx val="1622815775"/>
        <c:crosses val="autoZero"/>
        <c:auto val="1"/>
        <c:lblAlgn val="ctr"/>
        <c:lblOffset val="100"/>
        <c:noMultiLvlLbl val="1"/>
      </c:catAx>
      <c:valAx>
        <c:axId val="16228157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600" b="0">
                    <a:solidFill>
                      <a:srgbClr val="000000"/>
                    </a:solidFill>
                    <a:latin typeface="sans-serif"/>
                  </a:defRPr>
                </a:pPr>
                <a:r>
                  <a:rPr lang="en-US" sz="1600" b="0">
                    <a:solidFill>
                      <a:srgbClr val="000000"/>
                    </a:solidFill>
                    <a:latin typeface="sans-serif"/>
                  </a:rPr>
                  <a:t>Euros (1K)</a:t>
                </a:r>
              </a:p>
            </c:rich>
          </c:tx>
          <c:overlay val="0"/>
        </c:title>
        <c:numFmt formatCode="[$€]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endParaRPr lang="nl-NL"/>
          </a:p>
        </c:txPr>
        <c:crossAx val="93649364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400" b="1">
                <a:solidFill>
                  <a:srgbClr val="1C4587"/>
                </a:solidFill>
                <a:latin typeface="sans-serif"/>
              </a:defRPr>
            </a:pPr>
            <a:r>
              <a:rPr lang="en-US" sz="2400" b="1">
                <a:solidFill>
                  <a:srgbClr val="1C4587"/>
                </a:solidFill>
                <a:latin typeface="sans-serif"/>
              </a:rPr>
              <a:t>Fleet ETS Costs (Futures)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400">
                    <a:latin typeface="sans-serif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'Fleet Value'!$P$41:$S$41</c:f>
              <c:numCache>
                <c:formatCode>General</c:formatCode>
                <c:ptCount val="4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</c:numCache>
            </c:numRef>
          </c:cat>
          <c:val>
            <c:numRef>
              <c:f>'Fleet Value'!$Z$42:$AC$42</c:f>
              <c:numCache>
                <c:formatCode>[$€]#,##0</c:formatCode>
                <c:ptCount val="4"/>
                <c:pt idx="0">
                  <c:v>43809326.974607997</c:v>
                </c:pt>
                <c:pt idx="1">
                  <c:v>145796263.99370143</c:v>
                </c:pt>
                <c:pt idx="2">
                  <c:v>286385518.55905646</c:v>
                </c:pt>
                <c:pt idx="3">
                  <c:v>423069516.05315155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D-46F5-BD94-FBC11A5CE563}"/>
            </c:ext>
          </c:extLst>
        </c:ser>
        <c:ser>
          <c:idx val="1"/>
          <c:order val="1"/>
          <c:spPr>
            <a:ln cmpd="sng">
              <a:solidFill>
                <a:srgbClr val="1C4587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1C4587">
                  <a:alpha val="100000"/>
                </a:srgbClr>
              </a:solidFill>
              <a:ln cmpd="sng">
                <a:solidFill>
                  <a:srgbClr val="1C4587">
                    <a:alpha val="100000"/>
                  </a:srgb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400">
                    <a:latin typeface="sans-serif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'Fleet Value'!$P$41:$S$41</c:f>
              <c:numCache>
                <c:formatCode>General</c:formatCode>
                <c:ptCount val="4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</c:numCache>
            </c:numRef>
          </c:cat>
          <c:val>
            <c:numRef>
              <c:f>'Fleet Value'!$Z$43:$AC$43</c:f>
              <c:numCache>
                <c:formatCode>[$€]#,##0</c:formatCode>
                <c:ptCount val="4"/>
                <c:pt idx="0">
                  <c:v>42069837.789236397</c:v>
                </c:pt>
                <c:pt idx="1">
                  <c:v>139935254.18115464</c:v>
                </c:pt>
                <c:pt idx="2">
                  <c:v>278326630.06680459</c:v>
                </c:pt>
                <c:pt idx="3">
                  <c:v>406062121.50781488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2D-46F5-BD94-FBC11A5CE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217006"/>
        <c:axId val="333553847"/>
      </c:lineChart>
      <c:catAx>
        <c:axId val="4762170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2400" b="0">
                <a:solidFill>
                  <a:srgbClr val="000000"/>
                </a:solidFill>
                <a:latin typeface="sans-serif"/>
              </a:defRPr>
            </a:pPr>
            <a:endParaRPr lang="nl-NL"/>
          </a:p>
        </c:txPr>
        <c:crossAx val="333553847"/>
        <c:crosses val="autoZero"/>
        <c:auto val="1"/>
        <c:lblAlgn val="ctr"/>
        <c:lblOffset val="100"/>
        <c:noMultiLvlLbl val="1"/>
      </c:catAx>
      <c:valAx>
        <c:axId val="3335538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600" b="0">
                    <a:solidFill>
                      <a:srgbClr val="000000"/>
                    </a:solidFill>
                    <a:latin typeface="sans-serif"/>
                  </a:defRPr>
                </a:pPr>
                <a:r>
                  <a:rPr lang="en-US" sz="1600" b="0">
                    <a:solidFill>
                      <a:srgbClr val="000000"/>
                    </a:solidFill>
                    <a:latin typeface="sans-serif"/>
                  </a:rPr>
                  <a:t>Euros (1K)</a:t>
                </a:r>
              </a:p>
            </c:rich>
          </c:tx>
          <c:overlay val="0"/>
        </c:title>
        <c:numFmt formatCode="[$€]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endParaRPr lang="nl-NL"/>
          </a:p>
        </c:txPr>
        <c:crossAx val="47621700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400" b="1">
                <a:solidFill>
                  <a:srgbClr val="073763"/>
                </a:solidFill>
                <a:latin typeface="sans-serif"/>
              </a:defRPr>
            </a:pPr>
            <a:r>
              <a:rPr lang="nl-NL" sz="2400" b="1">
                <a:solidFill>
                  <a:srgbClr val="073763"/>
                </a:solidFill>
                <a:latin typeface="sans-serif"/>
              </a:rPr>
              <a:t>Savings w/ Bunker Insights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chemeClr val="accent1"/>
              </a:solidFill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latin typeface="sans-serif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'Fleet Value'!$U$41:$X$41</c:f>
              <c:numCache>
                <c:formatCode>General</c:formatCode>
                <c:ptCount val="4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</c:numCache>
            </c:numRef>
          </c:cat>
          <c:val>
            <c:numRef>
              <c:f>'Fleet Value'!$U$42:$X$42</c:f>
              <c:numCache>
                <c:formatCode>[$€]#,##0</c:formatCode>
                <c:ptCount val="4"/>
                <c:pt idx="0">
                  <c:v>846071.07122807996</c:v>
                </c:pt>
                <c:pt idx="1">
                  <c:v>4578913.9160521869</c:v>
                </c:pt>
                <c:pt idx="2">
                  <c:v>4578913.9160521869</c:v>
                </c:pt>
                <c:pt idx="3">
                  <c:v>6541305.5943602659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0F-4467-86AC-B1FE0C810E4A}"/>
            </c:ext>
          </c:extLst>
        </c:ser>
        <c:ser>
          <c:idx val="1"/>
          <c:order val="1"/>
          <c:spPr>
            <a:ln cmpd="sng">
              <a:solidFill>
                <a:srgbClr val="38761D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38761D">
                  <a:alpha val="100000"/>
                </a:srgbClr>
              </a:solidFill>
              <a:ln cmpd="sng">
                <a:solidFill>
                  <a:srgbClr val="38761D">
                    <a:alpha val="100000"/>
                  </a:srgb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>
                    <a:latin typeface="sans-serif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'Fleet Value'!$U$41:$X$41</c:f>
              <c:numCache>
                <c:formatCode>General</c:formatCode>
                <c:ptCount val="4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</c:numCache>
            </c:numRef>
          </c:cat>
          <c:val>
            <c:numRef>
              <c:f>'Fleet Value'!$AE$42:$AH$42</c:f>
              <c:numCache>
                <c:formatCode>[$€]#,##0</c:formatCode>
                <c:ptCount val="4"/>
                <c:pt idx="0">
                  <c:v>1739489.1853715999</c:v>
                </c:pt>
                <c:pt idx="1">
                  <c:v>5861009.812546798</c:v>
                </c:pt>
                <c:pt idx="2">
                  <c:v>8058888.4922518488</c:v>
                </c:pt>
                <c:pt idx="3">
                  <c:v>17007394.545336694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0F-4467-86AC-B1FE0C810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6877501"/>
        <c:axId val="1116468440"/>
      </c:lineChart>
      <c:catAx>
        <c:axId val="11868775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800" b="0">
                <a:solidFill>
                  <a:srgbClr val="666666"/>
                </a:solidFill>
                <a:latin typeface="sans-serif"/>
              </a:defRPr>
            </a:pPr>
            <a:endParaRPr lang="nl-NL"/>
          </a:p>
        </c:txPr>
        <c:crossAx val="1116468440"/>
        <c:crosses val="autoZero"/>
        <c:auto val="1"/>
        <c:lblAlgn val="ctr"/>
        <c:lblOffset val="100"/>
        <c:noMultiLvlLbl val="1"/>
      </c:catAx>
      <c:valAx>
        <c:axId val="11164684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600" b="0">
                    <a:solidFill>
                      <a:srgbClr val="000000"/>
                    </a:solidFill>
                    <a:latin typeface="sans-serif"/>
                  </a:defRPr>
                </a:pPr>
                <a:r>
                  <a:rPr lang="nl-NL" sz="1600" b="0">
                    <a:solidFill>
                      <a:srgbClr val="000000"/>
                    </a:solidFill>
                    <a:latin typeface="sans-serif"/>
                  </a:rPr>
                  <a:t>Euros 1K</a:t>
                </a:r>
              </a:p>
            </c:rich>
          </c:tx>
          <c:overlay val="0"/>
        </c:title>
        <c:numFmt formatCode="[$€]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200" b="0">
                <a:solidFill>
                  <a:srgbClr val="000000"/>
                </a:solidFill>
                <a:latin typeface="sans-serif"/>
              </a:defRPr>
            </a:pPr>
            <a:endParaRPr lang="nl-NL"/>
          </a:p>
        </c:txPr>
        <c:crossAx val="118687750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333375</xdr:colOff>
      <xdr:row>4</xdr:row>
      <xdr:rowOff>104775</xdr:rowOff>
    </xdr:from>
    <xdr:ext cx="5715000" cy="52197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95250</xdr:colOff>
      <xdr:row>0</xdr:row>
      <xdr:rowOff>85725</xdr:rowOff>
    </xdr:from>
    <xdr:ext cx="3238500" cy="552450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295275</xdr:colOff>
      <xdr:row>84</xdr:row>
      <xdr:rowOff>152400</xdr:rowOff>
    </xdr:from>
    <xdr:ext cx="6981825" cy="58959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542925</xdr:colOff>
      <xdr:row>84</xdr:row>
      <xdr:rowOff>152400</xdr:rowOff>
    </xdr:from>
    <xdr:ext cx="6981825" cy="58959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9</xdr:col>
      <xdr:colOff>200025</xdr:colOff>
      <xdr:row>48</xdr:row>
      <xdr:rowOff>171450</xdr:rowOff>
    </xdr:from>
    <xdr:ext cx="8334375" cy="58959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</xdr:col>
      <xdr:colOff>800100</xdr:colOff>
      <xdr:row>0</xdr:row>
      <xdr:rowOff>28575</xdr:rowOff>
    </xdr:from>
    <xdr:ext cx="2085975" cy="352425"/>
    <xdr:pic>
      <xdr:nvPicPr>
        <xdr:cNvPr id="5" name="image2.png" title="Image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400050</xdr:colOff>
      <xdr:row>42</xdr:row>
      <xdr:rowOff>47625</xdr:rowOff>
    </xdr:from>
    <xdr:ext cx="8667750" cy="38195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U4:X5" headerRowCount="0">
  <tableColumns count="4">
    <tableColumn id="1" xr3:uid="{00000000-0010-0000-0000-000001000000}" name="Column1">
      <calculatedColumnFormula xml:space="preserve"> IFERROR(
    B4 * (
        _xlfn.XLOOKUP(A4, ShipTypes, FT_EU2EU_CO2xLookUpTable) +
        _xlfn.XLOOKUP(A4, ShipTypes, FT_EU2World_CO2_xLookUpTable) * EUAprice * EUA_24
    ),
    ""
)</calculatedColumnFormula>
    </tableColumn>
    <tableColumn id="2" xr3:uid="{00000000-0010-0000-0000-000002000000}" name="Column2">
      <calculatedColumnFormula>IFERROR(
    B4 * (
        _xlfn.XLOOKUP(A4, ShipTypes, FT_EU2EU_CO2e_X2025LookUpAC) +
        _xlfn.XLOOKUP(A4, ShipTypes, FT_EU2World_CO2e_X2025LookUpAD)
    ) * EUAprice * EUA_25,
    ""
)</calculatedColumnFormula>
    </tableColumn>
    <tableColumn id="3" xr3:uid="{00000000-0010-0000-0000-000003000000}" name="Column3">
      <calculatedColumnFormula>IFERROR(
    B4 * (
        _xlfn.XLOOKUP(A4, ShipTypes, FT_EU2EU_CO2e_X2025LookUpAC) +
        _xlfn.XLOOKUP(A4, ShipTypes, FT_EU2World_CO2e_X2025LookUpAD)
    ) * EUAprice * EUA_26,
    ""
)</calculatedColumnFormula>
    </tableColumn>
    <tableColumn id="4" xr3:uid="{00000000-0010-0000-0000-000004000000}" name="Column4">
      <calculatedColumnFormula>IFERROR(
    B4 * (
        _xlfn.XLOOKUP(A4, ShipTypes, FT_EU2EU_CO2e_X2025LookUpAC) +
        _xlfn.XLOOKUP(A4, ShipTypes, FT_EU2World_CO2e_X2025LookUpAD)
    ) * EUAprice * EUA_27,
    ""
)</calculatedColumnFormula>
    </tableColumn>
  </tableColumns>
  <tableStyleInfo name="Fleet Value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AE18:AH18" headerRowCount="0">
  <tableColumns count="4">
    <tableColumn id="1" xr3:uid="{00000000-0010-0000-0900-000001000000}" name="Column1">
      <calculatedColumnFormula>SUM(B18*(((_xlfn.XLOOKUP(A18,ShipTypes,LookupTables!$M$2:$M$39)*FT_CO2reduction)+(((_xlfn.XLOOKUP(A18,ShipTypes,LookupTables!$N$2:$N$39)))*FT_CO2reduction))*EUAprice)*EUA_24)</calculatedColumnFormula>
    </tableColumn>
    <tableColumn id="2" xr3:uid="{00000000-0010-0000-0900-000002000000}" name="Column2">
      <calculatedColumnFormula>SUM(B18*(((_xlfn.XLOOKUP(A18,ShipTypes,LookupTables!$R$2:$R$39)*FT_CO2reduction)+(((_xlfn.XLOOKUP(A18,ShipTypes,LookupTables!$S$2:$S$39)))*FT_CO2reduction))*EUAfuture25)*EUA_25)</calculatedColumnFormula>
    </tableColumn>
    <tableColumn id="3" xr3:uid="{00000000-0010-0000-0900-000003000000}" name="Column3">
      <calculatedColumnFormula>SUM(B18*(((_xlfn.XLOOKUP(A18,ShipTypes,LookupTables!$R$2:$R$39)*FT_CO2reduction)+(((_xlfn.XLOOKUP(A18,ShipTypes,LookupTables!$S$2:$S$39)))*FT_CO2reduction))*EUAfuture26)*EUA_26)</calculatedColumnFormula>
    </tableColumn>
    <tableColumn id="4" xr3:uid="{00000000-0010-0000-0900-000004000000}" name="Column4">
      <calculatedColumnFormula>SUM(B18*(((_xlfn.XLOOKUP(A18,ShipTypes,LookupTables!$R$2:$R$39)*FT_CO2reduction)+(((_xlfn.XLOOKUP(A18,ShipTypes,LookupTables!$S$2:$S$39)))*FT_CO2reduction))*EUAfuture27)*EUA_27)</calculatedColumnFormula>
    </tableColumn>
  </tableColumns>
  <tableStyleInfo name="Fleet Value-style 10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U20:X20" headerRowCount="0">
  <tableColumns count="4">
    <tableColumn id="1" xr3:uid="{00000000-0010-0000-0A00-000001000000}" name="Column1">
      <calculatedColumnFormula xml:space="preserve"> IFERROR(
    B20 * (
        _xlfn.XLOOKUP(A20, ShipTypes, FT_EU2EU_CO2xLookUpTable) +
        _xlfn.XLOOKUP(A20, ShipTypes, FT_EU2World_CO2_xLookUpTable) * EUAprice * EUA_24
    ),
    ""
)</calculatedColumnFormula>
    </tableColumn>
    <tableColumn id="2" xr3:uid="{00000000-0010-0000-0A00-000002000000}" name="Column2">
      <calculatedColumnFormula>IFERROR(
    B20 * (
        _xlfn.XLOOKUP(A20, ShipTypes, FT_EU2EU_CO2e_X2025LookUpAC) +
        _xlfn.XLOOKUP(A20, ShipTypes, FT_EU2World_CO2e_X2025LookUpAD)
    ) * EUAprice * EUA_25,
    ""
)</calculatedColumnFormula>
    </tableColumn>
    <tableColumn id="3" xr3:uid="{00000000-0010-0000-0A00-000003000000}" name="Column3">
      <calculatedColumnFormula>IFERROR(
    B20 * (
        _xlfn.XLOOKUP(A20, ShipTypes, FT_EU2EU_CO2e_X2025LookUpAC) +
        _xlfn.XLOOKUP(A20, ShipTypes, FT_EU2World_CO2e_X2025LookUpAD)
    ) * EUAprice * EUA_26,
    ""
)</calculatedColumnFormula>
    </tableColumn>
    <tableColumn id="4" xr3:uid="{00000000-0010-0000-0A00-000004000000}" name="Column4">
      <calculatedColumnFormula>IFERROR(
    B20 * (
        _xlfn.XLOOKUP(A20, ShipTypes, FT_EU2EU_CO2e_X2025LookUpAC) +
        _xlfn.XLOOKUP(A20, ShipTypes, FT_EU2World_CO2e_X2025LookUpAD)
    ) * EUAprice * EUA_27,
    ""
)</calculatedColumnFormula>
    </tableColumn>
  </tableColumns>
  <tableStyleInfo name="Fleet Value-style 11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AE20:AH20" headerRowCount="0">
  <tableColumns count="4">
    <tableColumn id="1" xr3:uid="{00000000-0010-0000-0B00-000001000000}" name="Column1">
      <calculatedColumnFormula>SUM(B20*(((_xlfn.XLOOKUP(A20,ShipTypes,LookupTables!$M$2:$M$39)*FT_CO2reduction)+(((_xlfn.XLOOKUP(A20,ShipTypes,LookupTables!$N$2:$N$39)))*FT_CO2reduction))*EUAprice)*EUA_24)</calculatedColumnFormula>
    </tableColumn>
    <tableColumn id="2" xr3:uid="{00000000-0010-0000-0B00-000002000000}" name="Column2">
      <calculatedColumnFormula>SUM(B20*(((_xlfn.XLOOKUP(A20,ShipTypes,LookupTables!$R$2:$R$39)*FT_CO2reduction)+(((_xlfn.XLOOKUP(A20,ShipTypes,LookupTables!$S$2:$S$39)))*FT_CO2reduction))*EUAfuture25)*EUA_25)</calculatedColumnFormula>
    </tableColumn>
    <tableColumn id="3" xr3:uid="{00000000-0010-0000-0B00-000003000000}" name="Column3">
      <calculatedColumnFormula>SUM(B20*(((_xlfn.XLOOKUP(A20,ShipTypes,LookupTables!$R$2:$R$39)*FT_CO2reduction)+(((_xlfn.XLOOKUP(A20,ShipTypes,LookupTables!$S$2:$S$39)))*FT_CO2reduction))*EUAfuture26)*EUA_26)</calculatedColumnFormula>
    </tableColumn>
    <tableColumn id="4" xr3:uid="{00000000-0010-0000-0B00-000004000000}" name="Column4">
      <calculatedColumnFormula>SUM(B20*(((_xlfn.XLOOKUP(A20,ShipTypes,LookupTables!$R$2:$R$39)*FT_CO2reduction)+(((_xlfn.XLOOKUP(A20,ShipTypes,LookupTables!$S$2:$S$39)))*FT_CO2reduction))*EUAfuture27)*EUA_27)</calculatedColumnFormula>
    </tableColumn>
  </tableColumns>
  <tableStyleInfo name="Fleet Value-style 12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3" displayName="Table_13" ref="U22:X22" headerRowCount="0">
  <tableColumns count="4">
    <tableColumn id="1" xr3:uid="{00000000-0010-0000-0C00-000001000000}" name="Column1">
      <calculatedColumnFormula xml:space="preserve"> IFERROR(
    B22 * (
        _xlfn.XLOOKUP(A22, ShipTypes, FT_EU2EU_CO2xLookUpTable) +
        _xlfn.XLOOKUP(A22, ShipTypes, FT_EU2World_CO2_xLookUpTable) * EUAprice * EUA_24
    ),
    ""
)</calculatedColumnFormula>
    </tableColumn>
    <tableColumn id="2" xr3:uid="{00000000-0010-0000-0C00-000002000000}" name="Column2">
      <calculatedColumnFormula>IFERROR(
    B22 * (
        _xlfn.XLOOKUP(A22, ShipTypes, FT_EU2EU_CO2e_X2025LookUpAC) +
        _xlfn.XLOOKUP(A22, ShipTypes, FT_EU2World_CO2e_X2025LookUpAD)
    ) * EUAprice * EUA_25,
    ""
)</calculatedColumnFormula>
    </tableColumn>
    <tableColumn id="3" xr3:uid="{00000000-0010-0000-0C00-000003000000}" name="Column3">
      <calculatedColumnFormula>IFERROR(
    B22 * (
        _xlfn.XLOOKUP(A22, ShipTypes, FT_EU2EU_CO2e_X2025LookUpAC) +
        _xlfn.XLOOKUP(A22, ShipTypes, FT_EU2World_CO2e_X2025LookUpAD)
    ) * EUAprice * EUA_26,
    ""
)</calculatedColumnFormula>
    </tableColumn>
    <tableColumn id="4" xr3:uid="{00000000-0010-0000-0C00-000004000000}" name="Column4">
      <calculatedColumnFormula>IFERROR(
    B22 * (
        _xlfn.XLOOKUP(A22, ShipTypes, FT_EU2EU_CO2e_X2025LookUpAC) +
        _xlfn.XLOOKUP(A22, ShipTypes, FT_EU2World_CO2e_X2025LookUpAD)
    ) * EUAprice * EUA_27,
    ""
)</calculatedColumnFormula>
    </tableColumn>
  </tableColumns>
  <tableStyleInfo name="Fleet Value-style 13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14" displayName="Table_14" ref="AE22:AH22" headerRowCount="0">
  <tableColumns count="4">
    <tableColumn id="1" xr3:uid="{00000000-0010-0000-0D00-000001000000}" name="Column1" dataDxfId="1">
      <calculatedColumnFormula>SUM(B22*(((_xlfn.XLOOKUP(A22,ShipTypes,LookupTables!$M$2:$M$39)*FT_CO2reduction)+(((_xlfn.XLOOKUP(A22,ShipTypes,LookupTables!$N$2:$N$39)))*FT_CO2reduction))*EUAprice)*EUA_24)</calculatedColumnFormula>
    </tableColumn>
    <tableColumn id="2" xr3:uid="{00000000-0010-0000-0D00-000002000000}" name="Column2">
      <calculatedColumnFormula>SUM(B22*(((_xlfn.XLOOKUP(A22,ShipTypes,LookupTables!$R$2:$R$39)*FT_CO2reduction)+(((_xlfn.XLOOKUP(A22,ShipTypes,LookupTables!$S$2:$S$39)))*FT_CO2reduction))*EUAfuture25)*EUA_25)</calculatedColumnFormula>
    </tableColumn>
    <tableColumn id="3" xr3:uid="{00000000-0010-0000-0D00-000003000000}" name="Column3">
      <calculatedColumnFormula>SUM(B22*(((_xlfn.XLOOKUP(A22,ShipTypes,LookupTables!$R$2:$R$39)*FT_CO2reduction)+(((_xlfn.XLOOKUP(A22,ShipTypes,LookupTables!$S$2:$S$39)))*FT_CO2reduction))*EUAfuture26)*EUA_26)</calculatedColumnFormula>
    </tableColumn>
    <tableColumn id="4" xr3:uid="{00000000-0010-0000-0D00-000004000000}" name="Column4">
      <calculatedColumnFormula>SUM(B22*(((_xlfn.XLOOKUP(A22,ShipTypes,LookupTables!$R$2:$R$39)*FT_CO2reduction)+(((_xlfn.XLOOKUP(A22,ShipTypes,LookupTables!$S$2:$S$39)))*FT_CO2reduction))*EUAfuture27)*EUA_27)</calculatedColumnFormula>
    </tableColumn>
  </tableColumns>
  <tableStyleInfo name="Fleet Value-style 14" showFirstColumn="1" showLastColumn="1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_15" displayName="Table_15" ref="U24:X24" headerRowCount="0">
  <tableColumns count="4">
    <tableColumn id="1" xr3:uid="{00000000-0010-0000-0E00-000001000000}" name="Column1">
      <calculatedColumnFormula xml:space="preserve"> IFERROR(
    B24 * (
        _xlfn.XLOOKUP(A24, ShipTypes, FT_EU2EU_CO2xLookUpTable) +
        _xlfn.XLOOKUP(A24, ShipTypes, FT_EU2World_CO2_xLookUpTable) * EUAprice * EUA_24
    ),
    ""
)</calculatedColumnFormula>
    </tableColumn>
    <tableColumn id="2" xr3:uid="{00000000-0010-0000-0E00-000002000000}" name="Column2">
      <calculatedColumnFormula>IFERROR(
    B24 * (
        _xlfn.XLOOKUP(A24, ShipTypes, FT_EU2EU_CO2e_X2025LookUpAC) +
        _xlfn.XLOOKUP(A24, ShipTypes, FT_EU2World_CO2e_X2025LookUpAD)
    ) * EUAprice * EUA_25,
    ""
)</calculatedColumnFormula>
    </tableColumn>
    <tableColumn id="3" xr3:uid="{00000000-0010-0000-0E00-000003000000}" name="Column3">
      <calculatedColumnFormula>IFERROR(
    B24 * (
        _xlfn.XLOOKUP(A24, ShipTypes, FT_EU2EU_CO2e_X2025LookUpAC) +
        _xlfn.XLOOKUP(A24, ShipTypes, FT_EU2World_CO2e_X2025LookUpAD)
    ) * EUAprice * EUA_26,
    ""
)</calculatedColumnFormula>
    </tableColumn>
    <tableColumn id="4" xr3:uid="{00000000-0010-0000-0E00-000004000000}" name="Column4">
      <calculatedColumnFormula>IFERROR(
    B24 * (
        _xlfn.XLOOKUP(A24, ShipTypes, FT_EU2EU_CO2e_X2025LookUpAC) +
        _xlfn.XLOOKUP(A24, ShipTypes, FT_EU2World_CO2e_X2025LookUpAD)
    ) * EUAprice * EUA_27,
    ""
)</calculatedColumnFormula>
    </tableColumn>
  </tableColumns>
  <tableStyleInfo name="Fleet Value-style 15" showFirstColumn="1" showLastColumn="1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_16" displayName="Table_16" ref="AE24:AH24" headerRowCount="0">
  <tableColumns count="4">
    <tableColumn id="1" xr3:uid="{00000000-0010-0000-0F00-000001000000}" name="Column1">
      <calculatedColumnFormula>SUM(B24*(((_xlfn.XLOOKUP(A24,ShipTypes,LookupTables!$M$2:$M$39)*FT_CO2reduction)+(((_xlfn.XLOOKUP(A24,ShipTypes,LookupTables!$N$2:$N$39)))*FT_CO2reduction))*EUAprice)*EUA_24)</calculatedColumnFormula>
    </tableColumn>
    <tableColumn id="2" xr3:uid="{00000000-0010-0000-0F00-000002000000}" name="Column2">
      <calculatedColumnFormula>SUM(B24*(((_xlfn.XLOOKUP(A24,ShipTypes,LookupTables!$R$2:$R$39)*FT_CO2reduction)+(((_xlfn.XLOOKUP(A24,ShipTypes,LookupTables!$S$2:$S$39)))*FT_CO2reduction))*EUAfuture25)*EUA_25)</calculatedColumnFormula>
    </tableColumn>
    <tableColumn id="3" xr3:uid="{00000000-0010-0000-0F00-000003000000}" name="Column3">
      <calculatedColumnFormula>SUM(B24*(((_xlfn.XLOOKUP(A24,ShipTypes,LookupTables!$R$2:$R$39)*FT_CO2reduction)+(((_xlfn.XLOOKUP(A24,ShipTypes,LookupTables!$S$2:$S$39)))*FT_CO2reduction))*EUAfuture26)*EUA_26)</calculatedColumnFormula>
    </tableColumn>
    <tableColumn id="4" xr3:uid="{00000000-0010-0000-0F00-000004000000}" name="Column4">
      <calculatedColumnFormula>SUM(B24*(((_xlfn.XLOOKUP(A24,ShipTypes,LookupTables!$R$2:$R$39)*FT_CO2reduction)+(((_xlfn.XLOOKUP(A24,ShipTypes,LookupTables!$S$2:$S$39)))*FT_CO2reduction))*EUAfuture27)*EUA_27)</calculatedColumnFormula>
    </tableColumn>
  </tableColumns>
  <tableStyleInfo name="Fleet Value-style 16" showFirstColumn="1" showLastColumn="1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_17" displayName="Table_17" ref="U26:X26" headerRowCount="0">
  <tableColumns count="4">
    <tableColumn id="1" xr3:uid="{00000000-0010-0000-1000-000001000000}" name="Column1">
      <calculatedColumnFormula xml:space="preserve"> IFERROR(
    B26 * (
        _xlfn.XLOOKUP(A26, ShipTypes, FT_EU2EU_CO2xLookUpTable) +
        _xlfn.XLOOKUP(A26, ShipTypes, FT_EU2World_CO2_xLookUpTable) * EUAprice * EUA_24
    ),
    ""
)</calculatedColumnFormula>
    </tableColumn>
    <tableColumn id="2" xr3:uid="{00000000-0010-0000-1000-000002000000}" name="Column2">
      <calculatedColumnFormula>IFERROR(
    B26 * (
        _xlfn.XLOOKUP(A26, ShipTypes, FT_EU2EU_CO2e_X2025LookUpAC) +
        _xlfn.XLOOKUP(A26, ShipTypes, FT_EU2World_CO2e_X2025LookUpAD)
    ) * EUAprice * EUA_25,
    ""
)</calculatedColumnFormula>
    </tableColumn>
    <tableColumn id="3" xr3:uid="{00000000-0010-0000-1000-000003000000}" name="Column3">
      <calculatedColumnFormula>IFERROR(
    B26 * (
        _xlfn.XLOOKUP(A26, ShipTypes, FT_EU2EU_CO2e_X2025LookUpAC) +
        _xlfn.XLOOKUP(A26, ShipTypes, FT_EU2World_CO2e_X2025LookUpAD)
    ) * EUAprice * EUA_26,
    ""
)</calculatedColumnFormula>
    </tableColumn>
    <tableColumn id="4" xr3:uid="{00000000-0010-0000-1000-000004000000}" name="Column4">
      <calculatedColumnFormula>IFERROR(
    B26 * (
        _xlfn.XLOOKUP(A26, ShipTypes, FT_EU2EU_CO2e_X2025LookUpAC) +
        _xlfn.XLOOKUP(A26, ShipTypes, FT_EU2World_CO2e_X2025LookUpAD)
    ) * EUAprice * EUA_27,
    ""
)</calculatedColumnFormula>
    </tableColumn>
  </tableColumns>
  <tableStyleInfo name="Fleet Value-style 17" showFirstColumn="1" showLastColumn="1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_18" displayName="Table_18" ref="AE26:AH26" headerRowCount="0">
  <tableColumns count="4">
    <tableColumn id="1" xr3:uid="{00000000-0010-0000-1100-000001000000}" name="Column1">
      <calculatedColumnFormula>SUM(B26*(((_xlfn.XLOOKUP(A26,ShipTypes,LookupTables!$M$2:$M$39)*FT_CO2reduction)+(((_xlfn.XLOOKUP(A26,ShipTypes,LookupTables!$N$2:$N$39)))*FT_CO2reduction))*EUAprice)*EUA_24)</calculatedColumnFormula>
    </tableColumn>
    <tableColumn id="2" xr3:uid="{00000000-0010-0000-1100-000002000000}" name="Column2">
      <calculatedColumnFormula>SUM(B26*(((_xlfn.XLOOKUP(A26,ShipTypes,LookupTables!$R$2:$R$39)*FT_CO2reduction)+(((_xlfn.XLOOKUP(A26,ShipTypes,LookupTables!$S$2:$S$39)))*FT_CO2reduction))*EUAfuture25)*EUA_25)</calculatedColumnFormula>
    </tableColumn>
    <tableColumn id="3" xr3:uid="{00000000-0010-0000-1100-000003000000}" name="Column3">
      <calculatedColumnFormula>SUM(B26*(((_xlfn.XLOOKUP(A26,ShipTypes,LookupTables!$R$2:$R$39)*FT_CO2reduction)+(((_xlfn.XLOOKUP(A26,ShipTypes,LookupTables!$S$2:$S$39)))*FT_CO2reduction))*EUAfuture26)*EUA_26)</calculatedColumnFormula>
    </tableColumn>
    <tableColumn id="4" xr3:uid="{00000000-0010-0000-1100-000004000000}" name="Column4">
      <calculatedColumnFormula>SUM(B26*(((_xlfn.XLOOKUP(A26,ShipTypes,LookupTables!$R$2:$R$39)*FT_CO2reduction)+(((_xlfn.XLOOKUP(A26,ShipTypes,LookupTables!$S$2:$S$39)))*FT_CO2reduction))*EUAfuture27)*EUA_27)</calculatedColumnFormula>
    </tableColumn>
  </tableColumns>
  <tableStyleInfo name="Fleet Value-style 18" showFirstColumn="1" showLastColumn="1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_19" displayName="Table_19" ref="U28:X28" headerRowCount="0">
  <tableColumns count="4">
    <tableColumn id="1" xr3:uid="{00000000-0010-0000-1200-000001000000}" name="Column1">
      <calculatedColumnFormula xml:space="preserve"> IFERROR(
    B28 * (
        _xlfn.XLOOKUP(A28, ShipTypes, FT_EU2EU_CO2xLookUpTable) +
        _xlfn.XLOOKUP(A28, ShipTypes, FT_EU2World_CO2_xLookUpTable) * EUAprice * EUA_24
    ),
    ""
)</calculatedColumnFormula>
    </tableColumn>
    <tableColumn id="2" xr3:uid="{00000000-0010-0000-1200-000002000000}" name="Column2">
      <calculatedColumnFormula>IFERROR(
    B28 * (
        _xlfn.XLOOKUP(A28, ShipTypes, FT_EU2EU_CO2e_X2025LookUpAC) +
        _xlfn.XLOOKUP(A28, ShipTypes, FT_EU2World_CO2e_X2025LookUpAD)
    ) * EUAprice * EUA_25,
    ""
)</calculatedColumnFormula>
    </tableColumn>
    <tableColumn id="3" xr3:uid="{00000000-0010-0000-1200-000003000000}" name="Column3">
      <calculatedColumnFormula>IFERROR(
    B28 * (
        _xlfn.XLOOKUP(A28, ShipTypes, FT_EU2EU_CO2e_X2025LookUpAC) +
        _xlfn.XLOOKUP(A28, ShipTypes, FT_EU2World_CO2e_X2025LookUpAD)
    ) * EUAprice * EUA_26,
    ""
)</calculatedColumnFormula>
    </tableColumn>
    <tableColumn id="4" xr3:uid="{00000000-0010-0000-1200-000004000000}" name="Column4">
      <calculatedColumnFormula>IFERROR(
    B28 * (
        _xlfn.XLOOKUP(A28, ShipTypes, FT_EU2EU_CO2e_X2025LookUpAC) +
        _xlfn.XLOOKUP(A28, ShipTypes, FT_EU2World_CO2e_X2025LookUpAD)
    ) * EUAprice * EUA_27,
    ""
)</calculatedColumnFormula>
    </tableColumn>
  </tableColumns>
  <tableStyleInfo name="Fleet Value-style 19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E4:AH5" headerRowCount="0">
  <tableColumns count="4">
    <tableColumn id="1" xr3:uid="{00000000-0010-0000-0100-000001000000}" name="Column1" dataDxfId="3">
      <calculatedColumnFormula>SUM(B4*(((_xlfn.XLOOKUP(A4,ShipTypes,LookupTables!$M$2:$M$39)*FT_CO2reduction)+(((_xlfn.XLOOKUP(A4,ShipTypes,LookupTables!$N$2:$N$39)))*FT_CO2reduction))*EUAprice)*EUA_24)</calculatedColumnFormula>
    </tableColumn>
    <tableColumn id="2" xr3:uid="{00000000-0010-0000-0100-000002000000}" name="Column2">
      <calculatedColumnFormula>SUM(B4*(((_xlfn.XLOOKUP(A4,ShipTypes,LookupTables!$R$2:$R$39)*FT_CO2reduction)+(((_xlfn.XLOOKUP(A4,ShipTypes,LookupTables!$S$2:$S$39)))*FT_CO2reduction))*EUAfuture25)*EUA_25)</calculatedColumnFormula>
    </tableColumn>
    <tableColumn id="3" xr3:uid="{00000000-0010-0000-0100-000003000000}" name="Column3">
      <calculatedColumnFormula>SUM(B4*(((_xlfn.XLOOKUP(A4,ShipTypes,LookupTables!$R$2:$R$39)*FT_CO2reduction)+(((_xlfn.XLOOKUP(A4,ShipTypes,LookupTables!$S$2:$S$39)))*FT_CO2reduction))*EUAfuture26)*EUA_26)</calculatedColumnFormula>
    </tableColumn>
    <tableColumn id="4" xr3:uid="{00000000-0010-0000-0100-000004000000}" name="Column4">
      <calculatedColumnFormula>SUM(B4*(((_xlfn.XLOOKUP(A4,ShipTypes,LookupTables!$R$2:$R$39)*FT_CO2reduction)+(((_xlfn.XLOOKUP(A4,ShipTypes,LookupTables!$S$2:$S$39)))*FT_CO2reduction))*EUAfuture27)*EUA_27)</calculatedColumnFormula>
    </tableColumn>
  </tableColumns>
  <tableStyleInfo name="Fleet Value-style 2" showFirstColumn="1" showLastColumn="1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_20" displayName="Table_20" ref="AE28:AH28" headerRowCount="0">
  <tableColumns count="4">
    <tableColumn id="1" xr3:uid="{00000000-0010-0000-1300-000001000000}" name="Column1" dataDxfId="0">
      <calculatedColumnFormula>SUM(B28*(((_xlfn.XLOOKUP(A28,ShipTypes,LookupTables!$M$2:$M$39)*FT_CO2reduction)+(((_xlfn.XLOOKUP(A28,ShipTypes,LookupTables!$N$2:$N$39)))*FT_CO2reduction))*EUAprice)*EUA_24)</calculatedColumnFormula>
    </tableColumn>
    <tableColumn id="2" xr3:uid="{00000000-0010-0000-1300-000002000000}" name="Column2">
      <calculatedColumnFormula>SUM(B28*(((_xlfn.XLOOKUP(A28,ShipTypes,LookupTables!$R$2:$R$39)*FT_CO2reduction)+(((_xlfn.XLOOKUP(A28,ShipTypes,LookupTables!$S$2:$S$39)))*FT_CO2reduction))*EUAfuture25)*EUA_25)</calculatedColumnFormula>
    </tableColumn>
    <tableColumn id="3" xr3:uid="{00000000-0010-0000-1300-000003000000}" name="Column3">
      <calculatedColumnFormula>SUM(B28*(((_xlfn.XLOOKUP(A28,ShipTypes,LookupTables!$R$2:$R$39)*FT_CO2reduction)+(((_xlfn.XLOOKUP(A28,ShipTypes,LookupTables!$S$2:$S$39)))*FT_CO2reduction))*EUAfuture26)*EUA_26)</calculatedColumnFormula>
    </tableColumn>
    <tableColumn id="4" xr3:uid="{00000000-0010-0000-1300-000004000000}" name="Column4">
      <calculatedColumnFormula>SUM(B28*(((_xlfn.XLOOKUP(A28,ShipTypes,LookupTables!$R$2:$R$39)*FT_CO2reduction)+(((_xlfn.XLOOKUP(A28,ShipTypes,LookupTables!$S$2:$S$39)))*FT_CO2reduction))*EUAfuture27)*EUA_27)</calculatedColumnFormula>
    </tableColumn>
  </tableColumns>
  <tableStyleInfo name="Fleet Value-style 20" showFirstColumn="1" showLastColumn="1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_21" displayName="Table_21" ref="U30:X30" headerRowCount="0">
  <tableColumns count="4">
    <tableColumn id="1" xr3:uid="{00000000-0010-0000-1400-000001000000}" name="Column1">
      <calculatedColumnFormula xml:space="preserve"> IFERROR(
    B30 * (
        _xlfn.XLOOKUP(A30, ShipTypes, FT_EU2EU_CO2xLookUpTable) +
        _xlfn.XLOOKUP(A30, ShipTypes, FT_EU2World_CO2_xLookUpTable) * EUAprice * EUA_24
    ),
    ""
)</calculatedColumnFormula>
    </tableColumn>
    <tableColumn id="2" xr3:uid="{00000000-0010-0000-1400-000002000000}" name="Column2">
      <calculatedColumnFormula>IFERROR(
    B30 * (
        _xlfn.XLOOKUP(A30, ShipTypes, FT_EU2EU_CO2e_X2025LookUpAC) +
        _xlfn.XLOOKUP(A30, ShipTypes, FT_EU2World_CO2e_X2025LookUpAD)
    ) * EUAprice * EUA_25,
    ""
)</calculatedColumnFormula>
    </tableColumn>
    <tableColumn id="3" xr3:uid="{00000000-0010-0000-1400-000003000000}" name="Column3">
      <calculatedColumnFormula>IFERROR(
    B30 * (
        _xlfn.XLOOKUP(A30, ShipTypes, FT_EU2EU_CO2e_X2025LookUpAC) +
        _xlfn.XLOOKUP(A30, ShipTypes, FT_EU2World_CO2e_X2025LookUpAD)
    ) * EUAprice * EUA_26,
    ""
)</calculatedColumnFormula>
    </tableColumn>
    <tableColumn id="4" xr3:uid="{00000000-0010-0000-1400-000004000000}" name="Column4">
      <calculatedColumnFormula>IFERROR(
    B30 * (
        _xlfn.XLOOKUP(A30, ShipTypes, FT_EU2EU_CO2e_X2025LookUpAC) +
        _xlfn.XLOOKUP(A30, ShipTypes, FT_EU2World_CO2e_X2025LookUpAD)
    ) * EUAprice * EUA_27,
    ""
)</calculatedColumnFormula>
    </tableColumn>
  </tableColumns>
  <tableStyleInfo name="Fleet Value-style 21" showFirstColumn="1" showLastColumn="1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_22" displayName="Table_22" ref="AE30:AH30" headerRowCount="0">
  <tableColumns count="4">
    <tableColumn id="1" xr3:uid="{00000000-0010-0000-1500-000001000000}" name="Column1">
      <calculatedColumnFormula>SUM(B30*(((_xlfn.XLOOKUP(A30,ShipTypes,LookupTables!$M$2:$M$39)*FT_CO2reduction)+(((_xlfn.XLOOKUP(A30,ShipTypes,LookupTables!$N$2:$N$39)))*FT_CO2reduction))*EUAprice)*EUA_24)</calculatedColumnFormula>
    </tableColumn>
    <tableColumn id="2" xr3:uid="{00000000-0010-0000-1500-000002000000}" name="Column2">
      <calculatedColumnFormula>SUM(B30*(((_xlfn.XLOOKUP(A30,ShipTypes,LookupTables!$R$2:$R$39)*FT_CO2reduction)+(((_xlfn.XLOOKUP(A30,ShipTypes,LookupTables!$S$2:$S$39)))*FT_CO2reduction))*EUAfuture25)*EUA_25)</calculatedColumnFormula>
    </tableColumn>
    <tableColumn id="3" xr3:uid="{00000000-0010-0000-1500-000003000000}" name="Column3">
      <calculatedColumnFormula>SUM(B30*(((_xlfn.XLOOKUP(A30,ShipTypes,LookupTables!$R$2:$R$39)*FT_CO2reduction)+(((_xlfn.XLOOKUP(A30,ShipTypes,LookupTables!$S$2:$S$39)))*FT_CO2reduction))*EUAfuture26)*EUA_26)</calculatedColumnFormula>
    </tableColumn>
    <tableColumn id="4" xr3:uid="{00000000-0010-0000-1500-000004000000}" name="Column4">
      <calculatedColumnFormula>SUM(B30*(((_xlfn.XLOOKUP(A30,ShipTypes,LookupTables!$R$2:$R$39)*FT_CO2reduction)+(((_xlfn.XLOOKUP(A30,ShipTypes,LookupTables!$S$2:$S$39)))*FT_CO2reduction))*EUAfuture27)*EUA_27)</calculatedColumnFormula>
    </tableColumn>
  </tableColumns>
  <tableStyleInfo name="Fleet Value-style 22" showFirstColumn="1" showLastColumn="1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_23" displayName="Table_23" ref="U32:X32" headerRowCount="0">
  <tableColumns count="4">
    <tableColumn id="1" xr3:uid="{00000000-0010-0000-1600-000001000000}" name="Column1">
      <calculatedColumnFormula xml:space="preserve"> IFERROR(
    B32 * (
        _xlfn.XLOOKUP(A32, ShipTypes, FT_EU2EU_CO2xLookUpTable) +
        _xlfn.XLOOKUP(A32, ShipTypes, FT_EU2World_CO2_xLookUpTable) * EUAprice * EUA_24
    ),
    ""
)</calculatedColumnFormula>
    </tableColumn>
    <tableColumn id="2" xr3:uid="{00000000-0010-0000-1600-000002000000}" name="Column2">
      <calculatedColumnFormula>IFERROR(
    B32 * (
        _xlfn.XLOOKUP(A32, ShipTypes, FT_EU2EU_CO2e_X2025LookUpAC) +
        _xlfn.XLOOKUP(A32, ShipTypes, FT_EU2World_CO2e_X2025LookUpAD)
    ) * EUAprice * EUA_25,
    ""
)</calculatedColumnFormula>
    </tableColumn>
    <tableColumn id="3" xr3:uid="{00000000-0010-0000-1600-000003000000}" name="Column3">
      <calculatedColumnFormula>IFERROR(
    B32 * (
        _xlfn.XLOOKUP(A32, ShipTypes, FT_EU2EU_CO2e_X2025LookUpAC) +
        _xlfn.XLOOKUP(A32, ShipTypes, FT_EU2World_CO2e_X2025LookUpAD)
    ) * EUAprice * EUA_26,
    ""
)</calculatedColumnFormula>
    </tableColumn>
    <tableColumn id="4" xr3:uid="{00000000-0010-0000-1600-000004000000}" name="Column4">
      <calculatedColumnFormula>IFERROR(
    B32 * (
        _xlfn.XLOOKUP(A32, ShipTypes, FT_EU2EU_CO2e_X2025LookUpAC) +
        _xlfn.XLOOKUP(A32, ShipTypes, FT_EU2World_CO2e_X2025LookUpAD)
    ) * EUAprice * EUA_27,
    ""
)</calculatedColumnFormula>
    </tableColumn>
  </tableColumns>
  <tableStyleInfo name="Fleet Value-style 23" showFirstColumn="1" showLastColumn="1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le_24" displayName="Table_24" ref="AE32:AH32" headerRowCount="0">
  <tableColumns count="4">
    <tableColumn id="1" xr3:uid="{00000000-0010-0000-1700-000001000000}" name="Column1">
      <calculatedColumnFormula>SUM(B32*(((_xlfn.XLOOKUP(A32,ShipTypes,LookupTables!$M$2:$M$39)*FT_CO2reduction)+(((_xlfn.XLOOKUP(A32,ShipTypes,LookupTables!$N$2:$N$39)))*FT_CO2reduction))*EUAprice)*EUA_24)</calculatedColumnFormula>
    </tableColumn>
    <tableColumn id="2" xr3:uid="{00000000-0010-0000-1700-000002000000}" name="Column2">
      <calculatedColumnFormula>SUM(B32*(((_xlfn.XLOOKUP(A32,ShipTypes,LookupTables!$R$2:$R$39)*FT_CO2reduction)+(((_xlfn.XLOOKUP(A32,ShipTypes,LookupTables!$S$2:$S$39)))*FT_CO2reduction))*EUAfuture25)*EUA_25)</calculatedColumnFormula>
    </tableColumn>
    <tableColumn id="3" xr3:uid="{00000000-0010-0000-1700-000003000000}" name="Column3">
      <calculatedColumnFormula>SUM(B32*(((_xlfn.XLOOKUP(A32,ShipTypes,LookupTables!$R$2:$R$39)*FT_CO2reduction)+(((_xlfn.XLOOKUP(A32,ShipTypes,LookupTables!$S$2:$S$39)))*FT_CO2reduction))*EUAfuture26)*EUA_26)</calculatedColumnFormula>
    </tableColumn>
    <tableColumn id="4" xr3:uid="{00000000-0010-0000-1700-000004000000}" name="Column4">
      <calculatedColumnFormula>SUM(B32*(((_xlfn.XLOOKUP(A32,ShipTypes,LookupTables!$R$2:$R$39)*FT_CO2reduction)+(((_xlfn.XLOOKUP(A32,ShipTypes,LookupTables!$S$2:$S$39)))*FT_CO2reduction))*EUAfuture27)*EUA_27)</calculatedColumnFormula>
    </tableColumn>
  </tableColumns>
  <tableStyleInfo name="Fleet Value-style 24" showFirstColumn="1" showLastColumn="1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le_25" displayName="Table_25" ref="U34:X34" headerRowCount="0">
  <tableColumns count="4">
    <tableColumn id="1" xr3:uid="{00000000-0010-0000-1800-000001000000}" name="Column1">
      <calculatedColumnFormula xml:space="preserve"> IFERROR(
    B34 * (
        _xlfn.XLOOKUP(A34, ShipTypes, FT_EU2EU_CO2xLookUpTable) +
        _xlfn.XLOOKUP(A34, ShipTypes, FT_EU2World_CO2_xLookUpTable) * EUAprice * EUA_24
    ),
    ""
)</calculatedColumnFormula>
    </tableColumn>
    <tableColumn id="2" xr3:uid="{00000000-0010-0000-1800-000002000000}" name="Column2">
      <calculatedColumnFormula>IFERROR(
    B34 * (
        _xlfn.XLOOKUP(A34, ShipTypes, FT_EU2EU_CO2e_X2025LookUpAC) +
        _xlfn.XLOOKUP(A34, ShipTypes, FT_EU2World_CO2e_X2025LookUpAD)
    ) * EUAprice * EUA_25,
    ""
)</calculatedColumnFormula>
    </tableColumn>
    <tableColumn id="3" xr3:uid="{00000000-0010-0000-1800-000003000000}" name="Column3">
      <calculatedColumnFormula>IFERROR(
    B34 * (
        _xlfn.XLOOKUP(A34, ShipTypes, FT_EU2EU_CO2e_X2025LookUpAC) +
        _xlfn.XLOOKUP(A34, ShipTypes, FT_EU2World_CO2e_X2025LookUpAD)
    ) * EUAprice * EUA_26,
    ""
)</calculatedColumnFormula>
    </tableColumn>
    <tableColumn id="4" xr3:uid="{00000000-0010-0000-1800-000004000000}" name="Column4">
      <calculatedColumnFormula>IFERROR(
    B34 * (
        _xlfn.XLOOKUP(A34, ShipTypes, FT_EU2EU_CO2e_X2025LookUpAC) +
        _xlfn.XLOOKUP(A34, ShipTypes, FT_EU2World_CO2e_X2025LookUpAD)
    ) * EUAprice * EUA_27,
    ""
)</calculatedColumnFormula>
    </tableColumn>
  </tableColumns>
  <tableStyleInfo name="Fleet Value-style 25" showFirstColumn="1" showLastColumn="1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Table_26" displayName="Table_26" ref="AE34:AH34" headerRowCount="0">
  <tableColumns count="4">
    <tableColumn id="1" xr3:uid="{00000000-0010-0000-1900-000001000000}" name="Column1">
      <calculatedColumnFormula>SUM(B34*(((_xlfn.XLOOKUP(A34,ShipTypes,LookupTables!$M$2:$M$39)*FT_CO2reduction)+(((_xlfn.XLOOKUP(A34,ShipTypes,LookupTables!$N$2:$N$39)))*FT_CO2reduction))*EUAprice)*EUA_24)</calculatedColumnFormula>
    </tableColumn>
    <tableColumn id="2" xr3:uid="{00000000-0010-0000-1900-000002000000}" name="Column2">
      <calculatedColumnFormula>SUM(B34*(((_xlfn.XLOOKUP(A34,ShipTypes,LookupTables!$R$2:$R$39)*FT_CO2reduction)+(((_xlfn.XLOOKUP(A34,ShipTypes,LookupTables!$S$2:$S$39)))*FT_CO2reduction))*EUAfuture25)*EUA_25)</calculatedColumnFormula>
    </tableColumn>
    <tableColumn id="3" xr3:uid="{00000000-0010-0000-1900-000003000000}" name="Column3">
      <calculatedColumnFormula>SUM(B34*(((_xlfn.XLOOKUP(A34,ShipTypes,LookupTables!$R$2:$R$39)*FT_CO2reduction)+(((_xlfn.XLOOKUP(A34,ShipTypes,LookupTables!$S$2:$S$39)))*FT_CO2reduction))*EUAfuture26)*EUA_26)</calculatedColumnFormula>
    </tableColumn>
    <tableColumn id="4" xr3:uid="{00000000-0010-0000-1900-000004000000}" name="Column4">
      <calculatedColumnFormula>SUM(B34*(((_xlfn.XLOOKUP(A34,ShipTypes,LookupTables!$R$2:$R$39)*FT_CO2reduction)+(((_xlfn.XLOOKUP(A34,ShipTypes,LookupTables!$S$2:$S$39)))*FT_CO2reduction))*EUAfuture27)*EUA_27)</calculatedColumnFormula>
    </tableColumn>
  </tableColumns>
  <tableStyleInfo name="Fleet Value-style 26" showFirstColumn="1" showLastColumn="1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Table_27" displayName="Table_27" ref="U36:X36" headerRowCount="0">
  <tableColumns count="4">
    <tableColumn id="1" xr3:uid="{00000000-0010-0000-1A00-000001000000}" name="Column1">
      <calculatedColumnFormula xml:space="preserve"> IFERROR(
    B36 * (
        _xlfn.XLOOKUP(A36, ShipTypes, FT_EU2EU_CO2xLookUpTable) +
        _xlfn.XLOOKUP(A36, ShipTypes, FT_EU2World_CO2_xLookUpTable) * EUAprice * EUA_24
    ),
    ""
)</calculatedColumnFormula>
    </tableColumn>
    <tableColumn id="2" xr3:uid="{00000000-0010-0000-1A00-000002000000}" name="Column2">
      <calculatedColumnFormula>IFERROR(
    B36 * (
        _xlfn.XLOOKUP(A36, ShipTypes, FT_EU2EU_CO2e_X2025LookUpAC) +
        _xlfn.XLOOKUP(A36, ShipTypes, FT_EU2World_CO2e_X2025LookUpAD)
    ) * EUAprice * EUA_25,
    ""
)</calculatedColumnFormula>
    </tableColumn>
    <tableColumn id="3" xr3:uid="{00000000-0010-0000-1A00-000003000000}" name="Column3">
      <calculatedColumnFormula>IFERROR(
    B36 * (
        _xlfn.XLOOKUP(A36, ShipTypes, FT_EU2EU_CO2e_X2025LookUpAC) +
        _xlfn.XLOOKUP(A36, ShipTypes, FT_EU2World_CO2e_X2025LookUpAD)
    ) * EUAprice * EUA_26,
    ""
)</calculatedColumnFormula>
    </tableColumn>
    <tableColumn id="4" xr3:uid="{00000000-0010-0000-1A00-000004000000}" name="Column4">
      <calculatedColumnFormula>IFERROR(
    B36 * (
        _xlfn.XLOOKUP(A36, ShipTypes, FT_EU2EU_CO2e_X2025LookUpAC) +
        _xlfn.XLOOKUP(A36, ShipTypes, FT_EU2World_CO2e_X2025LookUpAD)
    ) * EUAprice * EUA_27,
    ""
)</calculatedColumnFormula>
    </tableColumn>
  </tableColumns>
  <tableStyleInfo name="Fleet Value-style 27" showFirstColumn="1" showLastColumn="1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Table_28" displayName="Table_28" ref="AE36:AH36" headerRowCount="0">
  <tableColumns count="4">
    <tableColumn id="1" xr3:uid="{00000000-0010-0000-1B00-000001000000}" name="Column1">
      <calculatedColumnFormula>SUM(B36*(((_xlfn.XLOOKUP(A36,ShipTypes,LookupTables!$M$2:$M$39)*FT_CO2reduction)+(((_xlfn.XLOOKUP(A36,ShipTypes,LookupTables!$N$2:$N$39)))*FT_CO2reduction))*EUAprice)*EUA_24)</calculatedColumnFormula>
    </tableColumn>
    <tableColumn id="2" xr3:uid="{00000000-0010-0000-1B00-000002000000}" name="Column2">
      <calculatedColumnFormula>SUM(B36*(((_xlfn.XLOOKUP(A36,ShipTypes,LookupTables!$R$2:$R$39)*FT_CO2reduction)+(((_xlfn.XLOOKUP(A36,ShipTypes,LookupTables!$S$2:$S$39)))*FT_CO2reduction))*EUAfuture25)*EUA_25)</calculatedColumnFormula>
    </tableColumn>
    <tableColumn id="3" xr3:uid="{00000000-0010-0000-1B00-000003000000}" name="Column3">
      <calculatedColumnFormula>SUM(B36*(((_xlfn.XLOOKUP(A36,ShipTypes,LookupTables!$R$2:$R$39)*FT_CO2reduction)+(((_xlfn.XLOOKUP(A36,ShipTypes,LookupTables!$S$2:$S$39)))*FT_CO2reduction))*EUAfuture26)*EUA_26)</calculatedColumnFormula>
    </tableColumn>
    <tableColumn id="4" xr3:uid="{00000000-0010-0000-1B00-000004000000}" name="Column4">
      <calculatedColumnFormula>SUM(B36*(((_xlfn.XLOOKUP(A36,ShipTypes,LookupTables!$R$2:$R$39)*FT_CO2reduction)+(((_xlfn.XLOOKUP(A36,ShipTypes,LookupTables!$S$2:$S$39)))*FT_CO2reduction))*EUAfuture27)*EUA_27)</calculatedColumnFormula>
    </tableColumn>
  </tableColumns>
  <tableStyleInfo name="Fleet Value-style 28" showFirstColumn="1" showLastColumn="1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Table_29" displayName="Table_29" ref="U38:X38" headerRowCount="0">
  <tableColumns count="4">
    <tableColumn id="1" xr3:uid="{00000000-0010-0000-1C00-000001000000}" name="Column1">
      <calculatedColumnFormula xml:space="preserve"> IFERROR(
    B38 * (
        _xlfn.XLOOKUP(A38, ShipTypes, FT_EU2EU_CO2xLookUpTable) +
        _xlfn.XLOOKUP(A38, ShipTypes, FT_EU2World_CO2_xLookUpTable) * EUAprice * EUA_24
    ),
    ""
)</calculatedColumnFormula>
    </tableColumn>
    <tableColumn id="2" xr3:uid="{00000000-0010-0000-1C00-000002000000}" name="Column2">
      <calculatedColumnFormula>IFERROR(
    B38 * (
        _xlfn.XLOOKUP(A38, ShipTypes, FT_EU2EU_CO2e_X2025LookUpAC) +
        _xlfn.XLOOKUP(A38, ShipTypes, FT_EU2World_CO2e_X2025LookUpAD)
    ) * EUAprice * EUA_25,
    ""
)</calculatedColumnFormula>
    </tableColumn>
    <tableColumn id="3" xr3:uid="{00000000-0010-0000-1C00-000003000000}" name="Column3">
      <calculatedColumnFormula>IFERROR(
    B38 * (
        _xlfn.XLOOKUP(A38, ShipTypes, FT_EU2EU_CO2e_X2025LookUpAC) +
        _xlfn.XLOOKUP(A38, ShipTypes, FT_EU2World_CO2e_X2025LookUpAD)
    ) * EUAprice * EUA_26,
    ""
)</calculatedColumnFormula>
    </tableColumn>
    <tableColumn id="4" xr3:uid="{00000000-0010-0000-1C00-000004000000}" name="Column4">
      <calculatedColumnFormula>IFERROR(
    B38 * (
        _xlfn.XLOOKUP(A38, ShipTypes, FT_EU2EU_CO2e_X2025LookUpAC) +
        _xlfn.XLOOKUP(A38, ShipTypes, FT_EU2World_CO2e_X2025LookUpAD)
    ) * EUAprice * EUA_27,
    ""
)</calculatedColumnFormula>
    </tableColumn>
  </tableColumns>
  <tableStyleInfo name="Fleet Value-style 29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6:A17" headerRowCount="0">
  <tableColumns count="1">
    <tableColumn id="1" xr3:uid="{00000000-0010-0000-0200-000001000000}" name="Column1"/>
  </tableColumns>
  <tableStyleInfo name="Fleet Value-style 3" showFirstColumn="1" showLastColumn="1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Table_30" displayName="Table_30" ref="AE38:AH38" headerRowCount="0">
  <tableColumns count="4">
    <tableColumn id="1" xr3:uid="{00000000-0010-0000-1D00-000001000000}" name="Column1">
      <calculatedColumnFormula>SUM(B38*(((_xlfn.XLOOKUP(A38,ShipTypes,LookupTables!$M$2:$M$39)*FT_CO2reduction)+(((_xlfn.XLOOKUP(A38,ShipTypes,LookupTables!$N$2:$N$39)))*FT_CO2reduction))*EUAprice)*EUA_24)</calculatedColumnFormula>
    </tableColumn>
    <tableColumn id="2" xr3:uid="{00000000-0010-0000-1D00-000002000000}" name="Column2">
      <calculatedColumnFormula>SUM(B38*(((_xlfn.XLOOKUP(A38,ShipTypes,LookupTables!$R$2:$R$39)*FT_CO2reduction)+(((_xlfn.XLOOKUP(A38,ShipTypes,LookupTables!$S$2:$S$39)))*FT_CO2reduction))*EUAfuture25)*EUA_25)</calculatedColumnFormula>
    </tableColumn>
    <tableColumn id="3" xr3:uid="{00000000-0010-0000-1D00-000003000000}" name="Column3">
      <calculatedColumnFormula>SUM(B38*(((_xlfn.XLOOKUP(A38,ShipTypes,LookupTables!$R$2:$R$39)*FT_CO2reduction)+(((_xlfn.XLOOKUP(A38,ShipTypes,LookupTables!$S$2:$S$39)))*FT_CO2reduction))*EUAfuture26)*EUA_26)</calculatedColumnFormula>
    </tableColumn>
    <tableColumn id="4" xr3:uid="{00000000-0010-0000-1D00-000004000000}" name="Column4">
      <calculatedColumnFormula>SUM(B38*(((_xlfn.XLOOKUP(A38,ShipTypes,LookupTables!$R$2:$R$39)*FT_CO2reduction)+(((_xlfn.XLOOKUP(A38,ShipTypes,LookupTables!$S$2:$S$39)))*FT_CO2reduction))*EUAfuture27)*EUA_27)</calculatedColumnFormula>
    </tableColumn>
  </tableColumns>
  <tableStyleInfo name="Fleet Value-style 30" showFirstColumn="1" showLastColumn="1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E000000}" name="Table_31" displayName="Table_31" ref="U40:X40" headerRowCount="0">
  <tableColumns count="4">
    <tableColumn id="1" xr3:uid="{00000000-0010-0000-1E00-000001000000}" name="Column1">
      <calculatedColumnFormula xml:space="preserve"> IFERROR(
    B40 * (
        _xlfn.XLOOKUP(A40, ShipTypes, FT_EU2EU_CO2xLookUpTable) +
        _xlfn.XLOOKUP(A40, ShipTypes, FT_EU2World_CO2_xLookUpTable) * EUAprice * EUA_24
    ),
    ""
)</calculatedColumnFormula>
    </tableColumn>
    <tableColumn id="2" xr3:uid="{00000000-0010-0000-1E00-000002000000}" name="Column2">
      <calculatedColumnFormula>IFERROR(
    B40 * (
        _xlfn.XLOOKUP(A40, ShipTypes, FT_EU2EU_CO2e_X2025LookUpAC) +
        _xlfn.XLOOKUP(A40, ShipTypes, FT_EU2World_CO2e_X2025LookUpAD)
    ) * EUAprice * EUA_25,
    ""
)</calculatedColumnFormula>
    </tableColumn>
    <tableColumn id="3" xr3:uid="{00000000-0010-0000-1E00-000003000000}" name="Column3">
      <calculatedColumnFormula>IFERROR(
    B40 * (
        _xlfn.XLOOKUP(A40, ShipTypes, FT_EU2EU_CO2e_X2025LookUpAC) +
        _xlfn.XLOOKUP(A40, ShipTypes, FT_EU2World_CO2e_X2025LookUpAD)
    ) * EUAprice * EUA_26,
    ""
)</calculatedColumnFormula>
    </tableColumn>
    <tableColumn id="4" xr3:uid="{00000000-0010-0000-1E00-000004000000}" name="Column4">
      <calculatedColumnFormula>IFERROR(
    B40 * (
        _xlfn.XLOOKUP(A40, ShipTypes, FT_EU2EU_CO2e_X2025LookUpAC) +
        _xlfn.XLOOKUP(A40, ShipTypes, FT_EU2World_CO2e_X2025LookUpAD)
    ) * EUAprice * EUA_27,
    ""
)</calculatedColumnFormula>
    </tableColumn>
  </tableColumns>
  <tableStyleInfo name="Fleet Value-style 31" showFirstColumn="1" showLastColumn="1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F000000}" name="Table_32" displayName="Table_32" ref="AE40:AH40" headerRowCount="0">
  <tableColumns count="4">
    <tableColumn id="1" xr3:uid="{00000000-0010-0000-1F00-000001000000}" name="Column1">
      <calculatedColumnFormula>SUM(B40*(((_xlfn.XLOOKUP(A40,ShipTypes,LookupTables!$M$2:$M$39)*FT_CO2reduction)+(((_xlfn.XLOOKUP(A40,ShipTypes,LookupTables!$N$2:$N$39)))*FT_CO2reduction))*EUAprice)*EUA_24)</calculatedColumnFormula>
    </tableColumn>
    <tableColumn id="2" xr3:uid="{00000000-0010-0000-1F00-000002000000}" name="Column2">
      <calculatedColumnFormula>SUM(B40*(((_xlfn.XLOOKUP(A40,ShipTypes,LookupTables!$R$2:$R$39)*FT_CO2reduction)+(((_xlfn.XLOOKUP(A40,ShipTypes,LookupTables!$S$2:$S$39)))*FT_CO2reduction))*EUAfuture25)*EUA_25)</calculatedColumnFormula>
    </tableColumn>
    <tableColumn id="3" xr3:uid="{00000000-0010-0000-1F00-000003000000}" name="Column3">
      <calculatedColumnFormula>SUM(B40*(((_xlfn.XLOOKUP(A40,ShipTypes,LookupTables!$R$2:$R$39)*FT_CO2reduction)+(((_xlfn.XLOOKUP(A40,ShipTypes,LookupTables!$S$2:$S$39)))*FT_CO2reduction))*EUAfuture26)*EUA_26)</calculatedColumnFormula>
    </tableColumn>
    <tableColumn id="4" xr3:uid="{00000000-0010-0000-1F00-000004000000}" name="Column4">
      <calculatedColumnFormula>SUM(B40*(((_xlfn.XLOOKUP(A40,ShipTypes,LookupTables!$R$2:$R$39)*FT_CO2reduction)+(((_xlfn.XLOOKUP(A40,ShipTypes,LookupTables!$S$2:$S$39)))*FT_CO2reduction))*EUAfuture27)*EUA_27)</calculatedColumnFormula>
    </tableColumn>
  </tableColumns>
  <tableStyleInfo name="Fleet Value-style 32" showFirstColumn="1" showLastColumn="1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0000000}" name="Table_33" displayName="Table_33" ref="H4:K5" headerRowCount="0">
  <tableColumns count="4">
    <tableColumn id="1" xr3:uid="{00000000-0010-0000-2000-000001000000}" name="Column1"/>
    <tableColumn id="2" xr3:uid="{00000000-0010-0000-2000-000002000000}" name="Column2"/>
    <tableColumn id="3" xr3:uid="{00000000-0010-0000-2000-000003000000}" name="Column3"/>
    <tableColumn id="4" xr3:uid="{00000000-0010-0000-2000-000004000000}" name="Column4"/>
  </tableColumns>
  <tableStyleInfo name="Price Models-style" showFirstColumn="1" showLastColumn="1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1000000}" name="Table_34" displayName="Table_34" ref="M4:P5" headerRowCount="0">
  <tableColumns count="4">
    <tableColumn id="1" xr3:uid="{00000000-0010-0000-2100-000001000000}" name="Column1"/>
    <tableColumn id="2" xr3:uid="{00000000-0010-0000-2100-000002000000}" name="Column2"/>
    <tableColumn id="3" xr3:uid="{00000000-0010-0000-2100-000003000000}" name="Column3"/>
    <tableColumn id="4" xr3:uid="{00000000-0010-0000-2100-000004000000}" name="Column4"/>
  </tableColumns>
  <tableStyleInfo name="Price Models-style 2" showFirstColumn="1" showLastColumn="1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2000000}" name="Table_35" displayName="Table_35" ref="H6:K17" headerRowCount="0">
  <tableColumns count="4">
    <tableColumn id="1" xr3:uid="{00000000-0010-0000-2200-000001000000}" name="Column1"/>
    <tableColumn id="2" xr3:uid="{00000000-0010-0000-2200-000002000000}" name="Column2"/>
    <tableColumn id="3" xr3:uid="{00000000-0010-0000-2200-000003000000}" name="Column3"/>
    <tableColumn id="4" xr3:uid="{00000000-0010-0000-2200-000004000000}" name="Column4"/>
  </tableColumns>
  <tableStyleInfo name="Price Models-style 3" showFirstColumn="1" showLastColumn="1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3000000}" name="Table_36" displayName="Table_36" ref="M6:P17" headerRowCount="0">
  <tableColumns count="4">
    <tableColumn id="1" xr3:uid="{00000000-0010-0000-2300-000001000000}" name="Column1"/>
    <tableColumn id="2" xr3:uid="{00000000-0010-0000-2300-000002000000}" name="Column2"/>
    <tableColumn id="3" xr3:uid="{00000000-0010-0000-2300-000003000000}" name="Column3"/>
    <tableColumn id="4" xr3:uid="{00000000-0010-0000-2300-000004000000}" name="Column4"/>
  </tableColumns>
  <tableStyleInfo name="Price Models-style 4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C6:N17" headerRowCount="0">
  <tableColumns count="12">
    <tableColumn id="1" xr3:uid="{00000000-0010-0000-0300-000001000000}" name="Column1"/>
    <tableColumn id="2" xr3:uid="{00000000-0010-0000-0300-000002000000}" name="Column2"/>
    <tableColumn id="3" xr3:uid="{00000000-0010-0000-0300-000003000000}" name="Column3"/>
    <tableColumn id="4" xr3:uid="{00000000-0010-0000-0300-000004000000}" name="Column4"/>
    <tableColumn id="5" xr3:uid="{00000000-0010-0000-0300-000005000000}" name="Column5"/>
    <tableColumn id="6" xr3:uid="{00000000-0010-0000-0300-000006000000}" name="Column6"/>
    <tableColumn id="7" xr3:uid="{00000000-0010-0000-0300-000007000000}" name="Column7"/>
    <tableColumn id="8" xr3:uid="{00000000-0010-0000-0300-000008000000}" name="Column8"/>
    <tableColumn id="9" xr3:uid="{00000000-0010-0000-0300-000009000000}" name="Column9"/>
    <tableColumn id="10" xr3:uid="{00000000-0010-0000-0300-00000A000000}" name="Column10"/>
    <tableColumn id="11" xr3:uid="{00000000-0010-0000-0300-00000B000000}" name="Column11"/>
    <tableColumn id="12" xr3:uid="{00000000-0010-0000-0300-00000C000000}" name="Column12"/>
  </tableColumns>
  <tableStyleInfo name="Fleet Value-style 4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P6:S17" headerRowCount="0">
  <tableColumns count="4">
    <tableColumn id="1" xr3:uid="{00000000-0010-0000-0400-000001000000}" name="Column1">
      <calculatedColumnFormula>SUM((_xlfn.XLOOKUP(A6,ShipTypes,EUCO2_sum)*EUAprice)*B6)*EUA_24</calculatedColumnFormula>
    </tableColumn>
    <tableColumn id="2" xr3:uid="{00000000-0010-0000-0400-000002000000}" name="Column2">
      <calculatedColumnFormula>SUM((_xlfn.XLOOKUP(A6,ShipTypes,EUCO2eTotal)*EUAprice)*B6)*EUA_25</calculatedColumnFormula>
    </tableColumn>
    <tableColumn id="3" xr3:uid="{00000000-0010-0000-0400-000003000000}" name="Column3">
      <calculatedColumnFormula>SUM((_xlfn.XLOOKUP(A6,ShipTypes,EUCO2eTotal)*EUAprice)*B6)*EUA_26</calculatedColumnFormula>
    </tableColumn>
    <tableColumn id="4" xr3:uid="{00000000-0010-0000-0400-000004000000}" name="Column4">
      <calculatedColumnFormula>SUM((_xlfn.XLOOKUP(A6,ShipTypes,EUCO2eTotal)*EUAprice)*B6)*EUA_27</calculatedColumnFormula>
    </tableColumn>
  </tableColumns>
  <tableStyleInfo name="Fleet Value-style 5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U6:X17" headerRowCount="0">
  <tableColumns count="4">
    <tableColumn id="1" xr3:uid="{00000000-0010-0000-0500-000001000000}" name="Column1">
      <calculatedColumnFormula xml:space="preserve"> IFERROR(
    B6 * (
        _xlfn.XLOOKUP(A6, ShipTypes, FT_EU2EU_CO2xLookUpTable) +
        _xlfn.XLOOKUP(A6, ShipTypes, FT_EU2World_CO2_xLookUpTable) * EUAprice * EUA_24
    ),
    ""
)</calculatedColumnFormula>
    </tableColumn>
    <tableColumn id="2" xr3:uid="{00000000-0010-0000-0500-000002000000}" name="Column2">
      <calculatedColumnFormula>IFERROR(
    B6 * (
        _xlfn.XLOOKUP(A6, ShipTypes, FT_EU2EU_CO2e_X2025LookUpAC) +
        _xlfn.XLOOKUP(A6, ShipTypes, FT_EU2World_CO2e_X2025LookUpAD)
    ) * EUAprice * EUA_25,
    ""
)</calculatedColumnFormula>
    </tableColumn>
    <tableColumn id="3" xr3:uid="{00000000-0010-0000-0500-000003000000}" name="Column3">
      <calculatedColumnFormula>IFERROR(
    B6 * (
        _xlfn.XLOOKUP(A6, ShipTypes, FT_EU2EU_CO2e_X2025LookUpAC) +
        _xlfn.XLOOKUP(A6, ShipTypes, FT_EU2World_CO2e_X2025LookUpAD)
    ) * EUAprice * EUA_26,
    ""
)</calculatedColumnFormula>
    </tableColumn>
    <tableColumn id="4" xr3:uid="{00000000-0010-0000-0500-000004000000}" name="Column4">
      <calculatedColumnFormula>IFERROR(
    B6 * (
        _xlfn.XLOOKUP(A6, ShipTypes, FT_EU2EU_CO2e_X2025LookUpAC) +
        _xlfn.XLOOKUP(A6, ShipTypes, FT_EU2World_CO2e_X2025LookUpAD)
    ) * EUAprice * EUA_27,
    ""
)</calculatedColumnFormula>
    </tableColumn>
  </tableColumns>
  <tableStyleInfo name="Fleet Value-style 6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Z6:AC17" headerRowCount="0">
  <tableColumns count="4">
    <tableColumn id="1" xr3:uid="{00000000-0010-0000-0600-000001000000}" name="Column1">
      <calculatedColumnFormula>SUM(0.4*(_xlfn.XLOOKUP(A6,ShipTypes,EUCO2_sum)*EUAprice)*B6)</calculatedColumnFormula>
    </tableColumn>
    <tableColumn id="2" xr3:uid="{00000000-0010-0000-0600-000002000000}" name="Column2">
      <calculatedColumnFormula>SUM(0.7*(_xlfn.XLOOKUP(A6,ShipTypes,EUCO2eTotal)*EUAfuture25)*B6)</calculatedColumnFormula>
    </tableColumn>
    <tableColumn id="3" xr3:uid="{00000000-0010-0000-0600-000003000000}" name="Column3">
      <calculatedColumnFormula>SUM((_xlfn.XLOOKUP(A6,ShipTypes,EUCO2eTotal)*EUAfuture26)*B6)</calculatedColumnFormula>
    </tableColumn>
    <tableColumn id="4" xr3:uid="{00000000-0010-0000-0600-000004000000}" name="Column4">
      <calculatedColumnFormula>SUM((_xlfn.XLOOKUP(A6,ShipTypes,EUCO2eTotal)*EUAfuture27)*B6)</calculatedColumnFormula>
    </tableColumn>
  </tableColumns>
  <tableStyleInfo name="Fleet Value-style 7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E6:AH17" headerRowCount="0">
  <tableColumns count="4">
    <tableColumn id="1" xr3:uid="{00000000-0010-0000-0700-000001000000}" name="Column1" dataDxfId="2">
      <calculatedColumnFormula>SUM(B6*(((_xlfn.XLOOKUP(A6,ShipTypes,LookupTables!$M$2:$M$39)*FT_CO2reduction)+(((_xlfn.XLOOKUP(A6,ShipTypes,LookupTables!$N$2:$N$39)))*FT_CO2reduction))*EUAprice)*EUA_24)</calculatedColumnFormula>
    </tableColumn>
    <tableColumn id="2" xr3:uid="{00000000-0010-0000-0700-000002000000}" name="Column2">
      <calculatedColumnFormula>SUM(B6*(((_xlfn.XLOOKUP(A6,ShipTypes,LookupTables!$R$2:$R$39)*FT_CO2reduction)+(((_xlfn.XLOOKUP(A6,ShipTypes,LookupTables!$S$2:$S$39)))*FT_CO2reduction))*EUAfuture25)*EUA_25)</calculatedColumnFormula>
    </tableColumn>
    <tableColumn id="3" xr3:uid="{00000000-0010-0000-0700-000003000000}" name="Column3">
      <calculatedColumnFormula>SUM(B6*(((_xlfn.XLOOKUP(A6,ShipTypes,LookupTables!$R$2:$R$39)*FT_CO2reduction)+(((_xlfn.XLOOKUP(A6,ShipTypes,LookupTables!$S$2:$S$39)))*FT_CO2reduction))*EUAfuture26)*EUA_26)</calculatedColumnFormula>
    </tableColumn>
    <tableColumn id="4" xr3:uid="{00000000-0010-0000-0700-000004000000}" name="Column4">
      <calculatedColumnFormula>SUM(B6*(((_xlfn.XLOOKUP(A6,ShipTypes,LookupTables!$R$2:$R$39)*FT_CO2reduction)+(((_xlfn.XLOOKUP(A6,ShipTypes,LookupTables!$S$2:$S$39)))*FT_CO2reduction))*EUAfuture27)*EUA_27)</calculatedColumnFormula>
    </tableColumn>
  </tableColumns>
  <tableStyleInfo name="Fleet Value-style 8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U18:X18" headerRowCount="0">
  <tableColumns count="4">
    <tableColumn id="1" xr3:uid="{00000000-0010-0000-0800-000001000000}" name="Column1">
      <calculatedColumnFormula xml:space="preserve"> IFERROR(
    B18 * (
        _xlfn.XLOOKUP(A18, ShipTypes, FT_EU2EU_CO2xLookUpTable) +
        _xlfn.XLOOKUP(A18, ShipTypes, FT_EU2World_CO2_xLookUpTable) * EUAprice * EUA_24
    ),
    ""
)</calculatedColumnFormula>
    </tableColumn>
    <tableColumn id="2" xr3:uid="{00000000-0010-0000-0800-000002000000}" name="Column2">
      <calculatedColumnFormula>IFERROR(
    B18 * (
        _xlfn.XLOOKUP(A18, ShipTypes, FT_EU2EU_CO2e_X2025LookUpAC) +
        _xlfn.XLOOKUP(A18, ShipTypes, FT_EU2World_CO2e_X2025LookUpAD)
    ) * EUAprice * EUA_25,
    ""
)</calculatedColumnFormula>
    </tableColumn>
    <tableColumn id="3" xr3:uid="{00000000-0010-0000-0800-000003000000}" name="Column3">
      <calculatedColumnFormula>IFERROR(
    B18 * (
        _xlfn.XLOOKUP(A18, ShipTypes, FT_EU2EU_CO2e_X2025LookUpAC) +
        _xlfn.XLOOKUP(A18, ShipTypes, FT_EU2World_CO2e_X2025LookUpAD)
    ) * EUAprice * EUA_26,
    ""
)</calculatedColumnFormula>
    </tableColumn>
    <tableColumn id="4" xr3:uid="{00000000-0010-0000-0800-000004000000}" name="Column4">
      <calculatedColumnFormula>IFERROR(
    B18 * (
        _xlfn.XLOOKUP(A18, ShipTypes, FT_EU2EU_CO2e_X2025LookUpAC) +
        _xlfn.XLOOKUP(A18, ShipTypes, FT_EU2World_CO2e_X2025LookUpAD)
    ) * EUAprice * EUA_27,
    ""
)</calculatedColumnFormula>
    </tableColumn>
  </tableColumns>
  <tableStyleInfo name="Fleet Value-style 9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ex.com/en/market-data/environmentals/spot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26" Type="http://schemas.openxmlformats.org/officeDocument/2006/relationships/table" Target="../tables/table25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33" Type="http://schemas.openxmlformats.org/officeDocument/2006/relationships/table" Target="../tables/table32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29" Type="http://schemas.openxmlformats.org/officeDocument/2006/relationships/table" Target="../tables/table28.xml"/><Relationship Id="rId1" Type="http://schemas.openxmlformats.org/officeDocument/2006/relationships/drawing" Target="../drawings/drawing2.xml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32" Type="http://schemas.openxmlformats.org/officeDocument/2006/relationships/table" Target="../tables/table31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31" Type="http://schemas.openxmlformats.org/officeDocument/2006/relationships/table" Target="../tables/table30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Relationship Id="rId30" Type="http://schemas.openxmlformats.org/officeDocument/2006/relationships/table" Target="../tables/table29.xml"/><Relationship Id="rId8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5.xml"/><Relationship Id="rId2" Type="http://schemas.openxmlformats.org/officeDocument/2006/relationships/table" Target="../tables/table34.xml"/><Relationship Id="rId1" Type="http://schemas.openxmlformats.org/officeDocument/2006/relationships/table" Target="../tables/table33.xml"/><Relationship Id="rId4" Type="http://schemas.openxmlformats.org/officeDocument/2006/relationships/table" Target="../tables/table3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transportgeography.org/contents/chapter4/transportation-and-energy/fuel-consumption-containership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3"/>
  <sheetViews>
    <sheetView showGridLines="0" tabSelected="1" topLeftCell="A3" zoomScale="70" zoomScaleNormal="70" workbookViewId="0">
      <selection activeCell="D17" sqref="D17"/>
    </sheetView>
  </sheetViews>
  <sheetFormatPr defaultColWidth="11.25" defaultRowHeight="15" customHeight="1"/>
  <cols>
    <col min="1" max="1" width="53.375" customWidth="1"/>
    <col min="2" max="2" width="40.75" bestFit="1" customWidth="1"/>
    <col min="3" max="3" width="3" customWidth="1"/>
    <col min="4" max="4" width="41.625" customWidth="1"/>
    <col min="5" max="5" width="23.75" customWidth="1"/>
    <col min="6" max="6" width="15" customWidth="1"/>
    <col min="7" max="26" width="10.5" customWidth="1"/>
  </cols>
  <sheetData>
    <row r="1" spans="1:26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9.25">
      <c r="A2" s="2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>
      <c r="A3" s="3"/>
      <c r="B3" s="3"/>
      <c r="C3" s="3"/>
      <c r="D3" s="3"/>
      <c r="E3" s="3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3.75">
      <c r="A4" s="4" t="s">
        <v>1</v>
      </c>
      <c r="B4" s="1"/>
      <c r="C4" s="1"/>
      <c r="D4" s="4" t="s">
        <v>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>
      <c r="A5" s="1"/>
      <c r="B5" s="5" t="s">
        <v>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.75">
      <c r="A6" s="6" t="s">
        <v>4</v>
      </c>
      <c r="B6" s="7" t="s">
        <v>5</v>
      </c>
      <c r="C6" s="1"/>
      <c r="D6" s="6" t="s">
        <v>6</v>
      </c>
      <c r="E6" s="8">
        <f>SUM((B10*B16)+(B17*B11))/365</f>
        <v>13.95890410958904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3.25">
      <c r="A7" s="9" t="s">
        <v>7</v>
      </c>
      <c r="B7" s="210">
        <f>_xlfn.XLOOKUP(B6,ShipTypes,SeaDayNM)</f>
        <v>127</v>
      </c>
      <c r="C7" s="1"/>
      <c r="D7" s="11" t="s">
        <v>8</v>
      </c>
      <c r="E7" s="12">
        <f>(SeaCarbonAnn+PortCarbonAnn)</f>
        <v>16334.57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3.25">
      <c r="A8" s="9" t="s">
        <v>9</v>
      </c>
      <c r="B8" s="13">
        <v>12</v>
      </c>
      <c r="C8" s="1"/>
      <c r="D8" s="11" t="s">
        <v>10</v>
      </c>
      <c r="E8" s="12">
        <f>SUM((SeaCarbonAnn-(SeaCarbonAnn*$B$21))+(PortCarbonAnn-(PortCarbonAnn*$B$21)))</f>
        <v>15677.920286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3.25">
      <c r="A9" s="1"/>
      <c r="B9" s="1"/>
      <c r="C9" s="1"/>
      <c r="D9" s="14" t="s">
        <v>11</v>
      </c>
      <c r="E9" s="15">
        <f>SUM(E7-E8)</f>
        <v>656.64971399999922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3.25">
      <c r="A10" s="9" t="s">
        <v>12</v>
      </c>
      <c r="B10" s="10">
        <f>_xlfn.XLOOKUP(B6,ShipTypes,SeaDayMT)</f>
        <v>19</v>
      </c>
      <c r="C10" s="1"/>
      <c r="D10" s="16" t="s">
        <v>13</v>
      </c>
      <c r="E10" s="17">
        <f>_xlfn.XLOOKUP(B6,ShipTypes,EU_CO2eLookup)</f>
        <v>17939.011305224998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3.25">
      <c r="A11" s="11" t="s">
        <v>14</v>
      </c>
      <c r="B11" s="10">
        <f>_xlfn.XLOOKUP(B6,ShipTypes,PortDayMT)</f>
        <v>3</v>
      </c>
      <c r="C11" s="1"/>
      <c r="D11" s="16" t="s">
        <v>15</v>
      </c>
      <c r="E11" s="18">
        <f>SUM(E10*EUAprice)*0.4</f>
        <v>485070.86569328397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3.25">
      <c r="A12" s="19" t="s">
        <v>16</v>
      </c>
      <c r="B12" s="20">
        <v>0.4</v>
      </c>
      <c r="C12" s="1"/>
      <c r="D12" s="14" t="s">
        <v>17</v>
      </c>
      <c r="E12" s="15">
        <f>SUM(E10*FT_CO2reduction)</f>
        <v>721.14825447004489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3.25">
      <c r="A13" s="19" t="s">
        <v>18</v>
      </c>
      <c r="B13" s="20">
        <v>0.35</v>
      </c>
      <c r="C13" s="1"/>
      <c r="D13" s="21" t="s">
        <v>19</v>
      </c>
      <c r="E13" s="22">
        <f>_xlfn.XLOOKUP(B6,ShipTypes,EUCO2eTotal)</f>
        <v>17939.011305224998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3.25">
      <c r="A14" s="19" t="s">
        <v>20</v>
      </c>
      <c r="B14" s="20">
        <v>0.25</v>
      </c>
      <c r="C14" s="1"/>
      <c r="D14" s="21" t="s">
        <v>21</v>
      </c>
      <c r="E14" s="22">
        <f>SUM((_xlfn.XLOOKUP($B$6,ShipTypes,EUCO2eTotal))-(_xlfn.XLOOKUP($B$6,ShipTypes,EUCO2eTotal)*FT_CO2eLOWER))</f>
        <v>17199.924039449728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3.25">
      <c r="A15" s="1"/>
      <c r="B15" s="23">
        <f>SUM(B12:B14)</f>
        <v>1</v>
      </c>
      <c r="C15" s="1"/>
      <c r="D15" s="14" t="s">
        <v>22</v>
      </c>
      <c r="E15" s="15">
        <f>SUM(E13-E14)</f>
        <v>739.08726577526977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3.25">
      <c r="A16" s="9" t="s">
        <v>23</v>
      </c>
      <c r="B16" s="10">
        <v>250</v>
      </c>
      <c r="C16" s="1"/>
      <c r="D16" s="24" t="s">
        <v>24</v>
      </c>
      <c r="E16" s="25">
        <f>SUM(E12*EUAprice)*EUA_24</f>
        <v>19499.848800870011</v>
      </c>
      <c r="F16" s="26">
        <f t="shared" ref="F16:F19" si="0">$E$21</f>
        <v>28281.600000000002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3.25">
      <c r="A17" s="9" t="s">
        <v>25</v>
      </c>
      <c r="B17" s="10">
        <v>115</v>
      </c>
      <c r="C17" s="1"/>
      <c r="D17" s="24" t="s">
        <v>26</v>
      </c>
      <c r="E17" s="25">
        <f>SUM((($E$10*CO2eCalc)*FT_CO2eLOWER)*EUA_26)*EUAprice</f>
        <v>52606.95354818373</v>
      </c>
      <c r="F17" s="26">
        <f t="shared" si="0"/>
        <v>28281.600000000002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3.25">
      <c r="A18" s="27" t="s">
        <v>27</v>
      </c>
      <c r="B18" s="28">
        <f>SUM(B16*B7)+(B17*B8)</f>
        <v>33130</v>
      </c>
      <c r="C18" s="1"/>
      <c r="D18" s="24" t="s">
        <v>28</v>
      </c>
      <c r="E18" s="25">
        <f>SUM((($E$10*CO2eCalc)*FT_CO2eLOWER)*EUA_27)*EUAprice</f>
        <v>75152.790783119621</v>
      </c>
      <c r="F18" s="26">
        <f t="shared" si="0"/>
        <v>28281.600000000002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7">
      <c r="A19" s="9" t="s">
        <v>29</v>
      </c>
      <c r="B19" s="29" t="s">
        <v>30</v>
      </c>
      <c r="C19" s="1"/>
      <c r="D19" s="24" t="s">
        <v>31</v>
      </c>
      <c r="E19" s="25">
        <f>SUM((($E$10*CO2eCalc)*FT_CO2eLOWER)*EUA_27)*EUAprice</f>
        <v>75152.790783119621</v>
      </c>
      <c r="F19" s="26">
        <f t="shared" si="0"/>
        <v>28281.600000000002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3.25">
      <c r="A21" s="6" t="s">
        <v>32</v>
      </c>
      <c r="B21" s="30">
        <f>FT_CO2reduction</f>
        <v>4.02E-2</v>
      </c>
      <c r="C21" s="1"/>
      <c r="D21" s="31" t="s">
        <v>33</v>
      </c>
      <c r="E21" s="32">
        <f>SUM(((((B16*B10)*LookupTables!B76))+((B17*B11)*LookupTables!B77))*B23)</f>
        <v>28281.600000000002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3.25">
      <c r="A23" s="33" t="s">
        <v>34</v>
      </c>
      <c r="B23" s="30">
        <f>FT_FraudReductionConservative</f>
        <v>1.6E-2</v>
      </c>
      <c r="C23" s="1"/>
      <c r="D23" s="34" t="s">
        <v>35</v>
      </c>
      <c r="E23" s="35">
        <f>SUM(((SeaCarbonAnn-(SeaCarbonAnn*$B$21))-(((SeaCarbonAnn*ScrubberEffect))))+(PortCarbonAnn-(PortCarbonAnn*$B$21)))</f>
        <v>15053.551786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>
      <c r="A24" s="36" t="s">
        <v>36</v>
      </c>
      <c r="B24" s="1"/>
      <c r="C24" s="1"/>
      <c r="D24" s="37" t="s">
        <v>37</v>
      </c>
      <c r="E24" s="38">
        <f>E7-E23</f>
        <v>1281.0182139999997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>
      <c r="A25" s="1"/>
      <c r="B25" s="1"/>
      <c r="C25" s="1"/>
      <c r="D25" s="39" t="s">
        <v>38</v>
      </c>
      <c r="E25" s="40">
        <f>SUM($E$24*EUAprice)*EUA_24</f>
        <v>34638.732506559987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7">
      <c r="A26" s="41" t="s">
        <v>39</v>
      </c>
      <c r="B26" s="42">
        <v>67.599999999999994</v>
      </c>
      <c r="C26" s="1"/>
      <c r="D26" s="39" t="s">
        <v>40</v>
      </c>
      <c r="E26" s="40">
        <f>SUM((($E$24*EUAprice)*$B$12)+(($E$24*EUAprice)*(0.7*$B$13))*EUA_26)</f>
        <v>49490.089068747577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>
      <c r="A27" s="43" t="s">
        <v>41</v>
      </c>
      <c r="B27" s="1"/>
      <c r="C27" s="1"/>
      <c r="D27" s="39" t="s">
        <v>42</v>
      </c>
      <c r="E27" s="40">
        <f>SUM((($E$24*EUAprice)*$B$12)+(($E$24*EUAprice)*($B$13))*EUA_27)</f>
        <v>64947.623449799969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>
      <c r="A28" s="44" t="s">
        <v>43</v>
      </c>
      <c r="B28" s="1"/>
      <c r="C28" s="1"/>
      <c r="D28" s="39" t="s">
        <v>44</v>
      </c>
      <c r="E28" s="40">
        <f>SUM((($E$24*EUAprice)*$B$12)+(($E$24*EUAprice)*($B$13))*EUA_27)</f>
        <v>64947.623449799969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</sheetData>
  <dataValidations count="2">
    <dataValidation type="list" allowBlank="1" showErrorMessage="1" sqref="B6" xr:uid="{00000000-0002-0000-0000-000000000000}">
      <formula1>ShipTypes</formula1>
    </dataValidation>
    <dataValidation type="list" allowBlank="1" showErrorMessage="1" sqref="B19" xr:uid="{00000000-0002-0000-0000-000001000000}">
      <formula1>FuelType</formula1>
    </dataValidation>
  </dataValidations>
  <hyperlinks>
    <hyperlink ref="A27" r:id="rId1" xr:uid="{00000000-0004-0000-0000-000000000000}"/>
  </hyperlinks>
  <pageMargins left="0.7" right="0.7" top="0.75" bottom="0.75" header="0" footer="0"/>
  <pageSetup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H1023"/>
  <sheetViews>
    <sheetView topLeftCell="H1" workbookViewId="0">
      <selection activeCell="T10" sqref="T10"/>
    </sheetView>
  </sheetViews>
  <sheetFormatPr defaultColWidth="11.25" defaultRowHeight="15" customHeight="1"/>
  <cols>
    <col min="1" max="1" width="35.375" customWidth="1"/>
    <col min="2" max="2" width="13.375" customWidth="1"/>
    <col min="3" max="3" width="11.875" customWidth="1"/>
    <col min="4" max="4" width="14.375" customWidth="1"/>
    <col min="5" max="5" width="9.25" customWidth="1"/>
    <col min="6" max="6" width="15.125" customWidth="1"/>
    <col min="7" max="14" width="14.375" customWidth="1"/>
    <col min="15" max="15" width="7.75" customWidth="1"/>
    <col min="16" max="19" width="16.625" customWidth="1"/>
    <col min="21" max="21" width="14.25" customWidth="1"/>
    <col min="25" max="25" width="5.25" customWidth="1"/>
    <col min="26" max="29" width="14.25" customWidth="1"/>
    <col min="30" max="30" width="9" customWidth="1"/>
    <col min="34" max="34" width="12.75" customWidth="1"/>
  </cols>
  <sheetData>
    <row r="1" spans="1:34" ht="36" customHeight="1">
      <c r="B1" s="45" t="s">
        <v>45</v>
      </c>
      <c r="D1" s="46"/>
      <c r="F1" s="46"/>
    </row>
    <row r="2" spans="1:34" ht="18">
      <c r="C2" s="47" t="s">
        <v>46</v>
      </c>
      <c r="D2" s="48" t="s">
        <v>47</v>
      </c>
      <c r="E2" s="47" t="s">
        <v>46</v>
      </c>
      <c r="F2" s="48" t="s">
        <v>47</v>
      </c>
      <c r="G2" s="49"/>
      <c r="H2" s="50" t="s">
        <v>48</v>
      </c>
      <c r="I2" s="49"/>
      <c r="J2" s="49"/>
      <c r="K2" s="51" t="s">
        <v>49</v>
      </c>
      <c r="M2" s="52"/>
      <c r="Q2" s="53" t="s">
        <v>50</v>
      </c>
      <c r="R2" s="52"/>
      <c r="V2" s="53" t="s">
        <v>51</v>
      </c>
      <c r="W2" s="52"/>
      <c r="AA2" s="53" t="s">
        <v>52</v>
      </c>
      <c r="AB2" s="52"/>
      <c r="AF2" s="53" t="s">
        <v>53</v>
      </c>
      <c r="AG2" s="52"/>
    </row>
    <row r="3" spans="1:34" ht="15.75">
      <c r="B3" s="54" t="s">
        <v>54</v>
      </c>
      <c r="C3" s="54" t="s">
        <v>55</v>
      </c>
      <c r="D3" s="55" t="s">
        <v>11</v>
      </c>
      <c r="E3" s="54" t="s">
        <v>56</v>
      </c>
      <c r="F3" s="54" t="s">
        <v>57</v>
      </c>
      <c r="G3" s="56">
        <v>2025</v>
      </c>
      <c r="H3" s="57">
        <v>2026</v>
      </c>
      <c r="I3" s="57">
        <v>2027</v>
      </c>
      <c r="J3" s="58">
        <v>2028</v>
      </c>
      <c r="K3" s="56">
        <v>2025</v>
      </c>
      <c r="L3" s="57">
        <v>2026</v>
      </c>
      <c r="M3" s="56">
        <v>2027</v>
      </c>
      <c r="N3" s="57">
        <v>2028</v>
      </c>
      <c r="P3" s="59">
        <v>2025</v>
      </c>
      <c r="Q3" s="60">
        <v>2026</v>
      </c>
      <c r="R3" s="60">
        <v>2027</v>
      </c>
      <c r="S3" s="61">
        <v>2028</v>
      </c>
      <c r="U3" s="62">
        <v>2025</v>
      </c>
      <c r="V3" s="63">
        <v>2026</v>
      </c>
      <c r="W3" s="62">
        <v>2027</v>
      </c>
      <c r="X3" s="63">
        <v>2028</v>
      </c>
      <c r="Z3" s="59">
        <v>2025</v>
      </c>
      <c r="AA3" s="59">
        <v>2026</v>
      </c>
      <c r="AB3" s="59">
        <v>2027</v>
      </c>
      <c r="AC3" s="59">
        <v>2028</v>
      </c>
      <c r="AE3" s="64">
        <v>2025</v>
      </c>
      <c r="AF3" s="65">
        <v>2026</v>
      </c>
      <c r="AG3" s="65">
        <v>2027</v>
      </c>
      <c r="AH3" s="66">
        <v>2028</v>
      </c>
    </row>
    <row r="4" spans="1:34" ht="16.5">
      <c r="A4" s="67" t="str">
        <f>LookupTables!A3</f>
        <v>HandySize</v>
      </c>
      <c r="B4" s="68">
        <v>1</v>
      </c>
      <c r="C4" s="69">
        <f>SUM(LookupTables!H3*B4)</f>
        <v>15901.369999999999</v>
      </c>
      <c r="D4" s="70">
        <f t="shared" ref="D4:D40" si="0">SUM(C4*FT_CO2reduction)</f>
        <v>639.23507399999994</v>
      </c>
      <c r="E4" s="69">
        <f>B4*LookupTables!I3</f>
        <v>23918.681740299999</v>
      </c>
      <c r="F4" s="70">
        <f t="shared" ref="F4:F40" si="1">SUM(E4*FT_CO2eLOWER)</f>
        <v>985.44968770035996</v>
      </c>
      <c r="G4" s="71">
        <f>SUM($B4*((LookupTables!$J3+LookupTables!$K3)*FT_FraudReductionConservative))</f>
        <v>28281.600000000002</v>
      </c>
      <c r="H4" s="72">
        <f>SUM($B4*((LookupTables!$J3+LookupTables!$K3)*FT_FraudReductionConservative))</f>
        <v>28281.600000000002</v>
      </c>
      <c r="I4" s="72">
        <f>SUM($B4*((LookupTables!$J3+LookupTables!$K3)*FT_FraudReductionConservative))</f>
        <v>28281.600000000002</v>
      </c>
      <c r="J4" s="73">
        <f>SUM($B4*((LookupTables!$J3+LookupTables!$K3)*FT_FraudReductionConservative))</f>
        <v>28281.600000000002</v>
      </c>
      <c r="K4" s="74">
        <f t="shared" ref="K4:K40" si="2">SUM(G4+U4)</f>
        <v>34587.014769936002</v>
      </c>
      <c r="L4" s="74">
        <f t="shared" ref="L4:N4" si="3">SUM(H4+V4)</f>
        <v>62406.335401522534</v>
      </c>
      <c r="M4" s="74">
        <f t="shared" si="3"/>
        <v>62406.335401522534</v>
      </c>
      <c r="N4" s="74">
        <f t="shared" si="3"/>
        <v>77031.22200217504</v>
      </c>
      <c r="P4" s="75">
        <f t="shared" ref="P4:P40" si="4">SUM((_xlfn.XLOOKUP(A4,ShipTypes,EUCO2_sum)*EUAprice)*B4)*EUA_24</f>
        <v>322479.78359999997</v>
      </c>
      <c r="Q4" s="75">
        <f t="shared" ref="Q4:Q40" si="5">SUM((_xlfn.XLOOKUP(A4,ShipTypes,EUCO2eTotal)*EUAprice)*B4)*EUA_25</f>
        <v>848874.01496324677</v>
      </c>
      <c r="R4" s="75">
        <f t="shared" ref="R4:R40" si="6">SUM((_xlfn.XLOOKUP(A4,ShipTypes,EUCO2eTotal)*EUAprice)*B4)*EUA_26</f>
        <v>848874.01496324677</v>
      </c>
      <c r="S4" s="75">
        <f t="shared" ref="S4:S40" si="7">SUM((_xlfn.XLOOKUP(A4,ShipTypes,EUCO2eTotal)*EUAprice)*B4)*EUA_27</f>
        <v>1212677.1642332098</v>
      </c>
      <c r="U4" s="76">
        <f t="shared" ref="U4:U40" si="8" xml:space="preserve"> IFERROR(
    B4 * (
        _xlfn.XLOOKUP(A4, ShipTypes, FT_EU2EU_CO2xLookUpTable) +
        _xlfn.XLOOKUP(A4, ShipTypes, FT_EU2World_CO2_xLookUpTable) * EUAprice * EUA_24
    ),
    ""
)</f>
        <v>6305.4147699359992</v>
      </c>
      <c r="V4" s="76">
        <f t="shared" ref="V4:V40" si="9">IFERROR(
    B4 * (
        _xlfn.XLOOKUP(A4, ShipTypes, FT_EU2EU_CO2e_X2025LookUpAC) +
        _xlfn.XLOOKUP(A4, ShipTypes, FT_EU2World_CO2e_X2025LookUpAD)
    ) * EUAprice * EUA_25,
    ""
)</f>
        <v>34124.735401522528</v>
      </c>
      <c r="W4" s="76">
        <f t="shared" ref="W4:W40" si="10">IFERROR(
    B4 * (
        _xlfn.XLOOKUP(A4, ShipTypes, FT_EU2EU_CO2e_X2025LookUpAC) +
        _xlfn.XLOOKUP(A4, ShipTypes, FT_EU2World_CO2e_X2025LookUpAD)
    ) * EUAprice * EUA_26,
    ""
)</f>
        <v>34124.735401522528</v>
      </c>
      <c r="X4" s="76">
        <f t="shared" ref="X4:X40" si="11">IFERROR(
    B4 * (
        _xlfn.XLOOKUP(A4, ShipTypes, FT_EU2EU_CO2e_X2025LookUpAC) +
        _xlfn.XLOOKUP(A4, ShipTypes, FT_EU2World_CO2e_X2025LookUpAD)
    ) * EUAprice * EUA_27,
    ""
)</f>
        <v>48749.622002175041</v>
      </c>
      <c r="Z4" s="77">
        <f t="shared" ref="Z4:Z40" si="12">SUM(0.4*(_xlfn.XLOOKUP(A4,ShipTypes,EUCO2_sum)*EUAprice)*B4)</f>
        <v>322479.78359999997</v>
      </c>
      <c r="AA4" s="77">
        <f t="shared" ref="AA4:AA40" si="13">SUM(0.7*(_xlfn.XLOOKUP(A4,ShipTypes,EUCO2eTotal)*EUAfuture25)*B4)</f>
        <v>1086558.7391529558</v>
      </c>
      <c r="AB4" s="77">
        <f t="shared" ref="AB4:AB40" si="14">SUM((_xlfn.XLOOKUP(A4,ShipTypes,EUCO2eTotal)*EUAfuture26)*B4)</f>
        <v>2134311.8090504492</v>
      </c>
      <c r="AC4" s="77">
        <f t="shared" ref="AC4:AC40" si="15">SUM((_xlfn.XLOOKUP(A4,ShipTypes,EUCO2eTotal)*EUAfuture27)*B4)</f>
        <v>3152960.6270063454</v>
      </c>
      <c r="AE4" s="76">
        <f>SUM(B4*(((_xlfn.XLOOKUP(A4,ShipTypes,LookupTables!$M$2:$M$39)*FT_CO2reduction)+(((_xlfn.XLOOKUP(A4,ShipTypes,LookupTables!$N$2:$N$39)))*FT_CO2reduction))*EUAprice)*EUA_24)</f>
        <v>12963.687300719997</v>
      </c>
      <c r="AF4" s="76">
        <f>SUM(B4*(((_xlfn.XLOOKUP(A4,ShipTypes,LookupTables!$R$2:$R$39)*FT_CO2reduction)+(((_xlfn.XLOOKUP(A4,ShipTypes,LookupTables!$S$2:$S$39)))*FT_CO2reduction))*EUAfuture25)*EUA_25)</f>
        <v>43679.661313948833</v>
      </c>
      <c r="AG4" s="76">
        <f>SUM(B4*(((_xlfn.XLOOKUP(A4,ShipTypes,LookupTables!$R$2:$R$39)*FT_CO2reduction)+(((_xlfn.XLOOKUP(A4,ShipTypes,LookupTables!$S$2:$S$39)))*FT_CO2reduction))*EUAfuture26)*EUA_26)</f>
        <v>60059.534306679641</v>
      </c>
      <c r="AH4" s="76">
        <f>SUM(B4*(((_xlfn.XLOOKUP(A4,ShipTypes,LookupTables!$R$2:$R$39)*FT_CO2reduction)+(((_xlfn.XLOOKUP(A4,ShipTypes,LookupTables!$S$2:$S$39)))*FT_CO2reduction))*EUAfuture27)*EUA_27)</f>
        <v>126749.01720565511</v>
      </c>
    </row>
    <row r="5" spans="1:34" ht="16.5">
      <c r="A5" s="67" t="str">
        <f>LookupTables!A4</f>
        <v>HandyMax</v>
      </c>
      <c r="B5" s="68">
        <v>1</v>
      </c>
      <c r="C5" s="78">
        <f>SUM(LookupTables!H4*B5)</f>
        <v>20532.25</v>
      </c>
      <c r="D5" s="79">
        <f t="shared" si="0"/>
        <v>825.39644999999996</v>
      </c>
      <c r="E5" s="78">
        <f>B5*LookupTables!I4</f>
        <v>30884.405127499998</v>
      </c>
      <c r="F5" s="79">
        <f t="shared" si="1"/>
        <v>1272.437491253</v>
      </c>
      <c r="G5" s="80">
        <f>SUM($B5*((LookupTables!$J4+LookupTables!$K4)*FT_FraudReductionConservative))</f>
        <v>37016</v>
      </c>
      <c r="H5" s="81">
        <f>SUM($B5*((LookupTables!$J4+LookupTables!$K4)*FT_FraudReductionConservative))</f>
        <v>37016</v>
      </c>
      <c r="I5" s="81">
        <f>SUM($B5*((LookupTables!$J4+LookupTables!$K4)*FT_FraudReductionConservative))</f>
        <v>37016</v>
      </c>
      <c r="J5" s="82">
        <f>SUM($B5*((LookupTables!$J4+LookupTables!$K4)*FT_FraudReductionConservative))</f>
        <v>37016</v>
      </c>
      <c r="K5" s="83">
        <f t="shared" si="2"/>
        <v>45157.710582799999</v>
      </c>
      <c r="L5" s="83">
        <f t="shared" ref="L5:N5" si="16">SUM(H5+V5)</f>
        <v>81078.719026593986</v>
      </c>
      <c r="M5" s="83">
        <f t="shared" si="16"/>
        <v>81078.719026593986</v>
      </c>
      <c r="N5" s="83">
        <f t="shared" si="16"/>
        <v>99962.741466562846</v>
      </c>
      <c r="P5" s="75">
        <f t="shared" si="4"/>
        <v>416394.03</v>
      </c>
      <c r="Q5" s="75">
        <f t="shared" si="5"/>
        <v>1096087.5379749748</v>
      </c>
      <c r="R5" s="75">
        <f t="shared" si="6"/>
        <v>1096087.5379749748</v>
      </c>
      <c r="S5" s="75">
        <f t="shared" si="7"/>
        <v>1565839.3399642499</v>
      </c>
      <c r="U5" s="76">
        <f t="shared" si="8"/>
        <v>8141.7105828000003</v>
      </c>
      <c r="V5" s="76">
        <f t="shared" si="9"/>
        <v>44062.719026593993</v>
      </c>
      <c r="W5" s="81">
        <f t="shared" si="10"/>
        <v>44062.719026593993</v>
      </c>
      <c r="X5" s="82">
        <f t="shared" si="11"/>
        <v>62946.741466562853</v>
      </c>
      <c r="Z5" s="77">
        <f t="shared" si="12"/>
        <v>416394.03</v>
      </c>
      <c r="AA5" s="77">
        <f t="shared" si="13"/>
        <v>1402992.0486079678</v>
      </c>
      <c r="AB5" s="77">
        <f t="shared" si="14"/>
        <v>2755877.2383370795</v>
      </c>
      <c r="AC5" s="77">
        <f t="shared" si="15"/>
        <v>4071182.2839070498</v>
      </c>
      <c r="AE5" s="76">
        <f>SUM(B5*(((_xlfn.XLOOKUP(A5,ShipTypes,LookupTables!$M$2:$M$39)*FT_CO2reduction)+(((_xlfn.XLOOKUP(A5,ShipTypes,LookupTables!$N$2:$N$39)))*FT_CO2reduction))*EUAprice)*EUA_24)</f>
        <v>16739.040005999999</v>
      </c>
      <c r="AF5" s="76">
        <f>SUM(B5*(((_xlfn.XLOOKUP(A5,ShipTypes,LookupTables!$R$2:$R$39)*FT_CO2reduction)+(((_xlfn.XLOOKUP(A5,ShipTypes,LookupTables!$S$2:$S$39)))*FT_CO2reduction))*EUAfuture25)*EUA_25)</f>
        <v>56400.280354040318</v>
      </c>
      <c r="AG5" s="76">
        <f>SUM(B5*(((_xlfn.XLOOKUP(A5,ShipTypes,LookupTables!$R$2:$R$39)*FT_CO2reduction)+(((_xlfn.XLOOKUP(A5,ShipTypes,LookupTables!$S$2:$S$39)))*FT_CO2reduction))*EUAfuture26)*EUA_26)</f>
        <v>77550.385486805419</v>
      </c>
      <c r="AH5" s="76">
        <f>SUM(B5*(((_xlfn.XLOOKUP(A5,ShipTypes,LookupTables!$R$2:$R$39)*FT_CO2reduction)+(((_xlfn.XLOOKUP(A5,ShipTypes,LookupTables!$S$2:$S$39)))*FT_CO2reduction))*EUAfuture27)*EUA_27)</f>
        <v>163661.52781306341</v>
      </c>
    </row>
    <row r="6" spans="1:34" ht="16.5">
      <c r="A6" s="67" t="str">
        <f>LookupTables!A5</f>
        <v>SupraMax (bulk carrier)</v>
      </c>
      <c r="B6" s="68">
        <v>1</v>
      </c>
      <c r="C6" s="69">
        <f>SUM(LookupTables!H5*B6)</f>
        <v>47642.409999999996</v>
      </c>
      <c r="D6" s="70">
        <f t="shared" si="0"/>
        <v>1915.2248819999998</v>
      </c>
      <c r="E6" s="69">
        <f>B6*LookupTables!I5</f>
        <v>71663.236697899993</v>
      </c>
      <c r="F6" s="70">
        <f t="shared" si="1"/>
        <v>2952.5253519534799</v>
      </c>
      <c r="G6" s="71">
        <f>SUM($B6*((LookupTables!$J5+LookupTables!$K5)*FT_FraudReductionConservative))</f>
        <v>83452</v>
      </c>
      <c r="H6" s="72">
        <f>SUM($B6*((LookupTables!$J5+LookupTables!$K5)*FT_FraudReductionConservative))</f>
        <v>83452</v>
      </c>
      <c r="I6" s="72">
        <f>SUM($B6*((LookupTables!$J5+LookupTables!$K5)*FT_FraudReductionConservative))</f>
        <v>83452</v>
      </c>
      <c r="J6" s="73">
        <f>SUM($B6*((LookupTables!$J5+LookupTables!$K5)*FT_FraudReductionConservative))</f>
        <v>83452</v>
      </c>
      <c r="K6" s="74">
        <f t="shared" si="2"/>
        <v>102343.77823604801</v>
      </c>
      <c r="L6" s="74">
        <f t="shared" ref="L6:L40" si="17">SUM(H6+V6)</f>
        <v>185693.79647042055</v>
      </c>
      <c r="M6" s="74">
        <f t="shared" ref="M6:M40" si="18">SUM(I6+W6)</f>
        <v>185693.79647042055</v>
      </c>
      <c r="N6" s="74">
        <f t="shared" ref="N6:N40" si="19">SUM(J6+X6)</f>
        <v>229511.70924345791</v>
      </c>
      <c r="P6" s="75">
        <f t="shared" si="4"/>
        <v>980565.13463999983</v>
      </c>
      <c r="Q6" s="75">
        <f t="shared" si="5"/>
        <v>2543328.2704084702</v>
      </c>
      <c r="R6" s="75">
        <f t="shared" si="6"/>
        <v>2543328.2704084702</v>
      </c>
      <c r="S6" s="75">
        <f t="shared" si="7"/>
        <v>3633326.1005835291</v>
      </c>
      <c r="U6" s="76">
        <f t="shared" si="8"/>
        <v>18891.778236048001</v>
      </c>
      <c r="V6" s="76">
        <f t="shared" si="9"/>
        <v>102241.79647042054</v>
      </c>
      <c r="W6" s="76">
        <f t="shared" si="10"/>
        <v>102241.79647042054</v>
      </c>
      <c r="X6" s="76">
        <f t="shared" si="11"/>
        <v>146059.70924345791</v>
      </c>
      <c r="Z6" s="77">
        <f t="shared" si="12"/>
        <v>980565.13463999983</v>
      </c>
      <c r="AA6" s="77">
        <f t="shared" si="13"/>
        <v>3255460.1861228421</v>
      </c>
      <c r="AB6" s="77">
        <f t="shared" si="14"/>
        <v>6394653.9370270111</v>
      </c>
      <c r="AC6" s="77">
        <f t="shared" si="15"/>
        <v>9446647.861517176</v>
      </c>
      <c r="AE6" s="76">
        <f>SUM(B6*(((_xlfn.XLOOKUP(A6,ShipTypes,LookupTables!$M$2:$M$39)*FT_CO2reduction)+(((_xlfn.XLOOKUP(A6,ShipTypes,LookupTables!$N$2:$N$39)))*FT_CO2reduction))*EUAprice)*EUA_24)</f>
        <v>38840.760606959993</v>
      </c>
      <c r="AF6" s="76">
        <f>SUM(B6*(((_xlfn.XLOOKUP(A6,ShipTypes,LookupTables!$R$2:$R$39)*FT_CO2reduction)+(((_xlfn.XLOOKUP(A6,ShipTypes,LookupTables!$S$2:$S$39)))*FT_CO2reduction))*EUAfuture25)*EUA_25)</f>
        <v>130869.49948213826</v>
      </c>
      <c r="AG6" s="76">
        <f>SUM(B6*(((_xlfn.XLOOKUP(A6,ShipTypes,LookupTables!$R$2:$R$39)*FT_CO2reduction)+(((_xlfn.XLOOKUP(A6,ShipTypes,LookupTables!$S$2:$S$39)))*FT_CO2reduction))*EUAfuture26)*EUA_26)</f>
        <v>179945.5617879401</v>
      </c>
      <c r="AH6" s="76">
        <f>SUM(B6*(((_xlfn.XLOOKUP(A6,ShipTypes,LookupTables!$R$2:$R$39)*FT_CO2reduction)+(((_xlfn.XLOOKUP(A6,ShipTypes,LookupTables!$S$2:$S$39)))*FT_CO2reduction))*EUAfuture27)*EUA_27)</f>
        <v>379755.24403299054</v>
      </c>
    </row>
    <row r="7" spans="1:34" ht="16.5">
      <c r="A7" s="67" t="str">
        <f>LookupTables!A6</f>
        <v>UltraMax (bulk carrier)</v>
      </c>
      <c r="B7" s="68">
        <v>1</v>
      </c>
      <c r="C7" s="78">
        <f>SUM(LookupTables!H6*B7)</f>
        <v>47642.409999999996</v>
      </c>
      <c r="D7" s="79">
        <f t="shared" si="0"/>
        <v>1915.2248819999998</v>
      </c>
      <c r="E7" s="78">
        <f>B7*LookupTables!I6</f>
        <v>71663.236697899993</v>
      </c>
      <c r="F7" s="79">
        <f t="shared" si="1"/>
        <v>2952.5253519534799</v>
      </c>
      <c r="G7" s="80">
        <f>SUM($B7*((LookupTables!$J6+LookupTables!$K6)*FT_FraudReductionConservative))</f>
        <v>83452</v>
      </c>
      <c r="H7" s="81">
        <f>SUM($B7*((LookupTables!$J6+LookupTables!$K6)*FT_FraudReductionConservative))</f>
        <v>83452</v>
      </c>
      <c r="I7" s="81">
        <f>SUM($B7*((LookupTables!$J6+LookupTables!$K6)*FT_FraudReductionConservative))</f>
        <v>83452</v>
      </c>
      <c r="J7" s="82">
        <f>SUM($B7*((LookupTables!$J6+LookupTables!$K6)*FT_FraudReductionConservative))</f>
        <v>83452</v>
      </c>
      <c r="K7" s="83">
        <f t="shared" si="2"/>
        <v>102343.77823604801</v>
      </c>
      <c r="L7" s="83">
        <f t="shared" si="17"/>
        <v>185693.79647042055</v>
      </c>
      <c r="M7" s="83">
        <f t="shared" si="18"/>
        <v>185693.79647042055</v>
      </c>
      <c r="N7" s="83">
        <f t="shared" si="19"/>
        <v>229511.70924345791</v>
      </c>
      <c r="P7" s="75">
        <f t="shared" si="4"/>
        <v>980565.13463999983</v>
      </c>
      <c r="Q7" s="75">
        <f t="shared" si="5"/>
        <v>2543328.2704084702</v>
      </c>
      <c r="R7" s="75">
        <f t="shared" si="6"/>
        <v>2543328.2704084702</v>
      </c>
      <c r="S7" s="75">
        <f t="shared" si="7"/>
        <v>3633326.1005835291</v>
      </c>
      <c r="U7" s="76">
        <f t="shared" si="8"/>
        <v>18891.778236048001</v>
      </c>
      <c r="V7" s="76">
        <f t="shared" si="9"/>
        <v>102241.79647042054</v>
      </c>
      <c r="W7" s="76">
        <f t="shared" si="10"/>
        <v>102241.79647042054</v>
      </c>
      <c r="X7" s="76">
        <f t="shared" si="11"/>
        <v>146059.70924345791</v>
      </c>
      <c r="Z7" s="77">
        <f t="shared" si="12"/>
        <v>980565.13463999983</v>
      </c>
      <c r="AA7" s="77">
        <f t="shared" si="13"/>
        <v>3255460.1861228421</v>
      </c>
      <c r="AB7" s="77">
        <f t="shared" si="14"/>
        <v>6394653.9370270111</v>
      </c>
      <c r="AC7" s="77">
        <f t="shared" si="15"/>
        <v>9446647.861517176</v>
      </c>
      <c r="AE7" s="76">
        <f>SUM(B7*(((_xlfn.XLOOKUP(A7,ShipTypes,LookupTables!$M$2:$M$39)*FT_CO2reduction)+(((_xlfn.XLOOKUP(A7,ShipTypes,LookupTables!$N$2:$N$39)))*FT_CO2reduction))*EUAprice)*EUA_24)</f>
        <v>38840.760606959993</v>
      </c>
      <c r="AF7" s="76">
        <f>SUM(B7*(((_xlfn.XLOOKUP(A7,ShipTypes,LookupTables!$R$2:$R$39)*FT_CO2reduction)+(((_xlfn.XLOOKUP(A7,ShipTypes,LookupTables!$S$2:$S$39)))*FT_CO2reduction))*EUAfuture25)*EUA_25)</f>
        <v>130869.49948213826</v>
      </c>
      <c r="AG7" s="76">
        <f>SUM(B7*(((_xlfn.XLOOKUP(A7,ShipTypes,LookupTables!$R$2:$R$39)*FT_CO2reduction)+(((_xlfn.XLOOKUP(A7,ShipTypes,LookupTables!$S$2:$S$39)))*FT_CO2reduction))*EUAfuture26)*EUA_26)</f>
        <v>179945.5617879401</v>
      </c>
      <c r="AH7" s="76">
        <f>SUM(B7*(((_xlfn.XLOOKUP(A7,ShipTypes,LookupTables!$R$2:$R$39)*FT_CO2reduction)+(((_xlfn.XLOOKUP(A7,ShipTypes,LookupTables!$S$2:$S$39)))*FT_CO2reduction))*EUAfuture27)*EUA_27)</f>
        <v>379755.24403299054</v>
      </c>
    </row>
    <row r="8" spans="1:34" ht="16.5">
      <c r="A8" s="67" t="str">
        <f>LookupTables!A7</f>
        <v>Panamax (dry bulk)</v>
      </c>
      <c r="B8" s="68">
        <v>1</v>
      </c>
      <c r="C8" s="69">
        <f>SUM(LookupTables!H7*B8)</f>
        <v>37253.64</v>
      </c>
      <c r="D8" s="70">
        <f t="shared" si="0"/>
        <v>1497.5963279999999</v>
      </c>
      <c r="E8" s="69">
        <f>B8*LookupTables!I7</f>
        <v>56036.552751599993</v>
      </c>
      <c r="F8" s="70">
        <f t="shared" si="1"/>
        <v>2308.7059733659198</v>
      </c>
      <c r="G8" s="71">
        <f>SUM($B8*((LookupTables!$J7+LookupTables!$K7)*FT_FraudReductionConservative))</f>
        <v>65803.199999999997</v>
      </c>
      <c r="H8" s="72">
        <f>SUM($B8*((LookupTables!$J7+LookupTables!$K7)*FT_FraudReductionConservative))</f>
        <v>65803.199999999997</v>
      </c>
      <c r="I8" s="72">
        <f>SUM($B8*((LookupTables!$J7+LookupTables!$K7)*FT_FraudReductionConservative))</f>
        <v>65803.199999999997</v>
      </c>
      <c r="J8" s="73">
        <f>SUM($B8*((LookupTables!$J7+LookupTables!$K7)*FT_FraudReductionConservative))</f>
        <v>65803.199999999997</v>
      </c>
      <c r="K8" s="74">
        <f t="shared" si="2"/>
        <v>80575.490179392</v>
      </c>
      <c r="L8" s="74">
        <f t="shared" si="17"/>
        <v>145750.43773760219</v>
      </c>
      <c r="M8" s="74">
        <f t="shared" si="18"/>
        <v>145750.43773760219</v>
      </c>
      <c r="N8" s="74">
        <f t="shared" si="19"/>
        <v>180013.53962514599</v>
      </c>
      <c r="P8" s="75">
        <f t="shared" si="4"/>
        <v>766601.03520000004</v>
      </c>
      <c r="Q8" s="75">
        <f t="shared" si="5"/>
        <v>1988737.2571542836</v>
      </c>
      <c r="R8" s="75">
        <f t="shared" si="6"/>
        <v>1988737.2571542836</v>
      </c>
      <c r="S8" s="75">
        <f t="shared" si="7"/>
        <v>2841053.2245061197</v>
      </c>
      <c r="U8" s="76">
        <f t="shared" si="8"/>
        <v>14772.290179391997</v>
      </c>
      <c r="V8" s="76">
        <f t="shared" si="9"/>
        <v>79947.23773760219</v>
      </c>
      <c r="W8" s="81">
        <f t="shared" si="10"/>
        <v>79947.23773760219</v>
      </c>
      <c r="X8" s="82">
        <f t="shared" si="11"/>
        <v>114210.33962514599</v>
      </c>
      <c r="Z8" s="77">
        <f t="shared" si="12"/>
        <v>766601.03520000004</v>
      </c>
      <c r="AA8" s="77">
        <f t="shared" si="13"/>
        <v>2545583.6891574832</v>
      </c>
      <c r="AB8" s="77">
        <f t="shared" si="14"/>
        <v>5000253.6751307705</v>
      </c>
      <c r="AC8" s="77">
        <f t="shared" si="15"/>
        <v>7386738.3837159108</v>
      </c>
      <c r="AE8" s="76">
        <f>SUM(B8*(((_xlfn.XLOOKUP(A8,ShipTypes,LookupTables!$M$2:$M$39)*FT_CO2reduction)+(((_xlfn.XLOOKUP(A8,ShipTypes,LookupTables!$N$2:$N$39)))*FT_CO2reduction))*EUAprice)*EUA_24)</f>
        <v>30371.253531839997</v>
      </c>
      <c r="AF8" s="76">
        <f>SUM(B8*(((_xlfn.XLOOKUP(A8,ShipTypes,LookupTables!$R$2:$R$39)*FT_CO2reduction)+(((_xlfn.XLOOKUP(A8,ShipTypes,LookupTables!$S$2:$S$39)))*FT_CO2reduction))*EUAfuture25)*EUA_25)</f>
        <v>102332.46430413082</v>
      </c>
      <c r="AG8" s="76">
        <f>SUM(B8*(((_xlfn.XLOOKUP(A8,ShipTypes,LookupTables!$R$2:$R$39)*FT_CO2reduction)+(((_xlfn.XLOOKUP(A8,ShipTypes,LookupTables!$S$2:$S$39)))*FT_CO2reduction))*EUAfuture26)*EUA_26)</f>
        <v>140707.13841817985</v>
      </c>
      <c r="AH8" s="76">
        <f>SUM(B8*(((_xlfn.XLOOKUP(A8,ShipTypes,LookupTables!$R$2:$R$39)*FT_CO2reduction)+(((_xlfn.XLOOKUP(A8,ShipTypes,LookupTables!$S$2:$S$39)))*FT_CO2reduction))*EUAfuture27)*EUA_27)</f>
        <v>296946.88302537962</v>
      </c>
    </row>
    <row r="9" spans="1:34" ht="16.5">
      <c r="A9" s="67" t="str">
        <f>LookupTables!A8</f>
        <v>Post-Panamax (dry bulk)</v>
      </c>
      <c r="B9" s="68">
        <v>1</v>
      </c>
      <c r="C9" s="78">
        <f>SUM(LookupTables!H8*B9)</f>
        <v>41147.14</v>
      </c>
      <c r="D9" s="79">
        <f t="shared" si="0"/>
        <v>1654.1150279999999</v>
      </c>
      <c r="E9" s="78">
        <f>B9*LookupTables!I8</f>
        <v>61893.116516599999</v>
      </c>
      <c r="F9" s="79">
        <f t="shared" si="1"/>
        <v>2549.9964004839198</v>
      </c>
      <c r="G9" s="80">
        <f>SUM($B9*((LookupTables!$J8+LookupTables!$K8)*FT_FraudReductionConservative))</f>
        <v>72403.199999999997</v>
      </c>
      <c r="H9" s="81">
        <f>SUM($B9*((LookupTables!$J8+LookupTables!$K8)*FT_FraudReductionConservative))</f>
        <v>72403.199999999997</v>
      </c>
      <c r="I9" s="81">
        <f>SUM($B9*((LookupTables!$J8+LookupTables!$K8)*FT_FraudReductionConservative))</f>
        <v>72403.199999999997</v>
      </c>
      <c r="J9" s="82">
        <f>SUM($B9*((LookupTables!$J8+LookupTables!$K8)*FT_FraudReductionConservative))</f>
        <v>72403.199999999997</v>
      </c>
      <c r="K9" s="83">
        <f t="shared" si="2"/>
        <v>88719.390636191994</v>
      </c>
      <c r="L9" s="83">
        <f t="shared" si="17"/>
        <v>160705.98554800014</v>
      </c>
      <c r="M9" s="83">
        <f t="shared" si="18"/>
        <v>160705.98554800014</v>
      </c>
      <c r="N9" s="83">
        <f t="shared" si="19"/>
        <v>198550.0364971431</v>
      </c>
      <c r="P9" s="75">
        <f t="shared" si="4"/>
        <v>846794.23919999995</v>
      </c>
      <c r="Q9" s="75">
        <f t="shared" si="5"/>
        <v>2196586.7051741336</v>
      </c>
      <c r="R9" s="75">
        <f t="shared" si="6"/>
        <v>2196586.7051741336</v>
      </c>
      <c r="S9" s="75">
        <f t="shared" si="7"/>
        <v>3137981.0073916195</v>
      </c>
      <c r="U9" s="76">
        <f t="shared" si="8"/>
        <v>16316.190636191999</v>
      </c>
      <c r="V9" s="76">
        <f t="shared" si="9"/>
        <v>88302.78554800016</v>
      </c>
      <c r="W9" s="76">
        <f t="shared" si="10"/>
        <v>88302.78554800016</v>
      </c>
      <c r="X9" s="76">
        <f t="shared" si="11"/>
        <v>126146.83649714309</v>
      </c>
      <c r="Z9" s="77">
        <f t="shared" si="12"/>
        <v>846794.23919999995</v>
      </c>
      <c r="AA9" s="77">
        <f t="shared" si="13"/>
        <v>2811630.9826228907</v>
      </c>
      <c r="AB9" s="77">
        <f t="shared" si="14"/>
        <v>5522846.5730092498</v>
      </c>
      <c r="AC9" s="77">
        <f t="shared" si="15"/>
        <v>8158750.6192182107</v>
      </c>
      <c r="AE9" s="76">
        <f>SUM(B9*(((_xlfn.XLOOKUP(A9,ShipTypes,LookupTables!$M$2:$M$39)*FT_CO2reduction)+(((_xlfn.XLOOKUP(A9,ShipTypes,LookupTables!$N$2:$N$39)))*FT_CO2reduction))*EUAprice)*EUA_24)</f>
        <v>33545.452767839997</v>
      </c>
      <c r="AF9" s="76">
        <f>SUM(B9*(((_xlfn.XLOOKUP(A9,ShipTypes,LookupTables!$R$2:$R$39)*FT_CO2reduction)+(((_xlfn.XLOOKUP(A9,ShipTypes,LookupTables!$S$2:$S$39)))*FT_CO2reduction))*EUAfuture25)*EUA_25)</f>
        <v>113027.5655014402</v>
      </c>
      <c r="AG9" s="76">
        <f>SUM(B9*(((_xlfn.XLOOKUP(A9,ShipTypes,LookupTables!$R$2:$R$39)*FT_CO2reduction)+(((_xlfn.XLOOKUP(A9,ShipTypes,LookupTables!$S$2:$S$39)))*FT_CO2reduction))*EUAfuture26)*EUA_26)</f>
        <v>155412.90256448029</v>
      </c>
      <c r="AH9" s="76">
        <f>SUM(B9*(((_xlfn.XLOOKUP(A9,ShipTypes,LookupTables!$R$2:$R$39)*FT_CO2reduction)+(((_xlfn.XLOOKUP(A9,ShipTypes,LookupTables!$S$2:$S$39)))*FT_CO2reduction))*EUAfuture27)*EUA_27)</f>
        <v>327981.77489257202</v>
      </c>
    </row>
    <row r="10" spans="1:34" ht="16.5">
      <c r="A10" s="67" t="str">
        <f>LookupTables!A9</f>
        <v>KamsarMax</v>
      </c>
      <c r="B10" s="68">
        <v>1</v>
      </c>
      <c r="C10" s="69">
        <f>SUM(LookupTables!H9*B10)</f>
        <v>48745.147999999994</v>
      </c>
      <c r="D10" s="70">
        <f t="shared" si="0"/>
        <v>1959.5549495999996</v>
      </c>
      <c r="E10" s="69">
        <f>B10*LookupTables!I9</f>
        <v>73321.964170119987</v>
      </c>
      <c r="F10" s="70">
        <f t="shared" si="1"/>
        <v>3020.8649238089433</v>
      </c>
      <c r="G10" s="71">
        <f>SUM($B10*((LookupTables!$J9+LookupTables!$K9)*FT_FraudReductionConservative))</f>
        <v>87820.800000000003</v>
      </c>
      <c r="H10" s="72">
        <f>SUM($B10*((LookupTables!$J9+LookupTables!$K9)*FT_FraudReductionConservative))</f>
        <v>87820.800000000003</v>
      </c>
      <c r="I10" s="72">
        <f>SUM($B10*((LookupTables!$J9+LookupTables!$K9)*FT_FraudReductionConservative))</f>
        <v>87820.800000000003</v>
      </c>
      <c r="J10" s="73">
        <f>SUM($B10*((LookupTables!$J9+LookupTables!$K9)*FT_FraudReductionConservative))</f>
        <v>87820.800000000003</v>
      </c>
      <c r="K10" s="74">
        <f t="shared" si="2"/>
        <v>107149.8500228544</v>
      </c>
      <c r="L10" s="74">
        <f t="shared" si="17"/>
        <v>192429.09963758185</v>
      </c>
      <c r="M10" s="74">
        <f t="shared" si="18"/>
        <v>192429.09963758185</v>
      </c>
      <c r="N10" s="74">
        <f t="shared" si="19"/>
        <v>237261.22805368836</v>
      </c>
      <c r="P10" s="75">
        <f t="shared" si="4"/>
        <v>1002617.9392319998</v>
      </c>
      <c r="Q10" s="75">
        <f t="shared" si="5"/>
        <v>2602196.5083975582</v>
      </c>
      <c r="R10" s="75">
        <f t="shared" si="6"/>
        <v>2602196.5083975582</v>
      </c>
      <c r="S10" s="75">
        <f t="shared" si="7"/>
        <v>3717423.5834250832</v>
      </c>
      <c r="U10" s="76">
        <f t="shared" si="8"/>
        <v>19329.050022854397</v>
      </c>
      <c r="V10" s="76">
        <f t="shared" si="9"/>
        <v>104608.29963758186</v>
      </c>
      <c r="W10" s="76">
        <f t="shared" si="10"/>
        <v>104608.29963758186</v>
      </c>
      <c r="X10" s="76">
        <f t="shared" si="11"/>
        <v>149440.42805368837</v>
      </c>
      <c r="Z10" s="77">
        <f t="shared" si="12"/>
        <v>1002617.9392319998</v>
      </c>
      <c r="AA10" s="77">
        <f t="shared" si="13"/>
        <v>3330811.5307488744</v>
      </c>
      <c r="AB10" s="77">
        <f t="shared" si="14"/>
        <v>6542665.5068281461</v>
      </c>
      <c r="AC10" s="77">
        <f t="shared" si="15"/>
        <v>9665301.3169052154</v>
      </c>
      <c r="AE10" s="76">
        <f>SUM(B10*(((_xlfn.XLOOKUP(A10,ShipTypes,LookupTables!$M$2:$M$39)*FT_CO2reduction)+(((_xlfn.XLOOKUP(A10,ShipTypes,LookupTables!$N$2:$N$39)))*FT_CO2reduction))*EUAprice)*EUA_24)</f>
        <v>39739.774377887996</v>
      </c>
      <c r="AF10" s="76">
        <f>SUM(B10*(((_xlfn.XLOOKUP(A10,ShipTypes,LookupTables!$R$2:$R$39)*FT_CO2reduction)+(((_xlfn.XLOOKUP(A10,ShipTypes,LookupTables!$S$2:$S$39)))*FT_CO2reduction))*EUAfuture25)*EUA_25)</f>
        <v>133898.62353610477</v>
      </c>
      <c r="AG10" s="76">
        <f>SUM(B10*(((_xlfn.XLOOKUP(A10,ShipTypes,LookupTables!$R$2:$R$39)*FT_CO2reduction)+(((_xlfn.XLOOKUP(A10,ShipTypes,LookupTables!$S$2:$S$39)))*FT_CO2reduction))*EUAfuture26)*EUA_26)</f>
        <v>184110.60736214404</v>
      </c>
      <c r="AH10" s="76">
        <f>SUM(B10*(((_xlfn.XLOOKUP(A10,ShipTypes,LookupTables!$R$2:$R$39)*FT_CO2reduction)+(((_xlfn.XLOOKUP(A10,ShipTypes,LookupTables!$S$2:$S$39)))*FT_CO2reduction))*EUAfuture27)*EUA_27)</f>
        <v>388545.11293958977</v>
      </c>
    </row>
    <row r="11" spans="1:34" ht="16.5">
      <c r="A11" s="67" t="str">
        <f>LookupTables!A10</f>
        <v>Capesize (bulk carrier)</v>
      </c>
      <c r="B11" s="68">
        <v>1</v>
      </c>
      <c r="C11" s="78">
        <f>SUM(LookupTables!H10*B11)</f>
        <v>55909.187999999995</v>
      </c>
      <c r="D11" s="79">
        <f t="shared" si="0"/>
        <v>2247.5493575999999</v>
      </c>
      <c r="E11" s="78">
        <f>B11*LookupTables!I10</f>
        <v>84098.041497719983</v>
      </c>
      <c r="F11" s="79">
        <f t="shared" si="1"/>
        <v>3464.8393097060634</v>
      </c>
      <c r="G11" s="80">
        <f>SUM($B11*((LookupTables!$J10+LookupTables!$K10)*FT_FraudReductionConservative))</f>
        <v>99964.800000000003</v>
      </c>
      <c r="H11" s="81">
        <f>SUM($B11*((LookupTables!$J10+LookupTables!$K10)*FT_FraudReductionConservative))</f>
        <v>99964.800000000003</v>
      </c>
      <c r="I11" s="81">
        <f>SUM($B11*((LookupTables!$J10+LookupTables!$K10)*FT_FraudReductionConservative))</f>
        <v>99964.800000000003</v>
      </c>
      <c r="J11" s="82">
        <f>SUM($B11*((LookupTables!$J10+LookupTables!$K10)*FT_FraudReductionConservative))</f>
        <v>99964.800000000003</v>
      </c>
      <c r="K11" s="83">
        <f t="shared" si="2"/>
        <v>122134.6268633664</v>
      </c>
      <c r="L11" s="83">
        <f t="shared" si="17"/>
        <v>219947.30760871409</v>
      </c>
      <c r="M11" s="83">
        <f t="shared" si="18"/>
        <v>219947.30760871409</v>
      </c>
      <c r="N11" s="83">
        <f t="shared" si="19"/>
        <v>271368.38229816302</v>
      </c>
      <c r="P11" s="75">
        <f t="shared" si="4"/>
        <v>1150173.434592</v>
      </c>
      <c r="Q11" s="75">
        <f t="shared" si="5"/>
        <v>2984639.4927540822</v>
      </c>
      <c r="R11" s="75">
        <f t="shared" si="6"/>
        <v>2984639.4927540822</v>
      </c>
      <c r="S11" s="75">
        <f t="shared" si="7"/>
        <v>4263770.7039344031</v>
      </c>
      <c r="U11" s="76">
        <f t="shared" si="8"/>
        <v>22169.826863366397</v>
      </c>
      <c r="V11" s="76">
        <f t="shared" si="9"/>
        <v>119982.50760871409</v>
      </c>
      <c r="W11" s="81">
        <f t="shared" si="10"/>
        <v>119982.50760871409</v>
      </c>
      <c r="X11" s="82">
        <f t="shared" si="11"/>
        <v>171403.582298163</v>
      </c>
      <c r="Z11" s="77">
        <f t="shared" si="12"/>
        <v>1150173.434592</v>
      </c>
      <c r="AA11" s="77">
        <f t="shared" si="13"/>
        <v>3820338.5507252249</v>
      </c>
      <c r="AB11" s="77">
        <f t="shared" si="14"/>
        <v>7504236.4389245491</v>
      </c>
      <c r="AC11" s="77">
        <f t="shared" si="15"/>
        <v>11085803.830229448</v>
      </c>
      <c r="AE11" s="76">
        <f>SUM(B11*(((_xlfn.XLOOKUP(A11,ShipTypes,LookupTables!$M$2:$M$39)*FT_CO2reduction)+(((_xlfn.XLOOKUP(A11,ShipTypes,LookupTables!$N$2:$N$39)))*FT_CO2reduction))*EUAprice)*EUA_24)</f>
        <v>45580.300972127996</v>
      </c>
      <c r="AF11" s="76">
        <f>SUM(B11*(((_xlfn.XLOOKUP(A11,ShipTypes,LookupTables!$R$2:$R$39)*FT_CO2reduction)+(((_xlfn.XLOOKUP(A11,ShipTypes,LookupTables!$S$2:$S$39)))*FT_CO2reduction))*EUAfuture25)*EUA_25)</f>
        <v>153577.60973915405</v>
      </c>
      <c r="AG11" s="76">
        <f>SUM(B11*(((_xlfn.XLOOKUP(A11,ShipTypes,LookupTables!$R$2:$R$39)*FT_CO2reduction)+(((_xlfn.XLOOKUP(A11,ShipTypes,LookupTables!$S$2:$S$39)))*FT_CO2reduction))*EUAfuture26)*EUA_26)</f>
        <v>211169.21339133682</v>
      </c>
      <c r="AH11" s="76">
        <f>SUM(B11*(((_xlfn.XLOOKUP(A11,ShipTypes,LookupTables!$R$2:$R$39)*FT_CO2reduction)+(((_xlfn.XLOOKUP(A11,ShipTypes,LookupTables!$S$2:$S$39)))*FT_CO2reduction))*EUAfuture27)*EUA_27)</f>
        <v>445649.31397522386</v>
      </c>
    </row>
    <row r="12" spans="1:34" ht="16.5">
      <c r="A12" s="67" t="str">
        <f>LookupTables!A11</f>
        <v>NewCastleMax (carrier)</v>
      </c>
      <c r="B12" s="68">
        <v>1</v>
      </c>
      <c r="C12" s="69">
        <f>SUM(LookupTables!H11*B12)</f>
        <v>62582.049999999996</v>
      </c>
      <c r="D12" s="70">
        <f t="shared" si="0"/>
        <v>2515.7984099999999</v>
      </c>
      <c r="E12" s="69">
        <f>B12*LookupTables!I11</f>
        <v>94135.293789499992</v>
      </c>
      <c r="F12" s="70">
        <f t="shared" si="1"/>
        <v>3878.3741041273997</v>
      </c>
      <c r="G12" s="71">
        <f>SUM($B12*((LookupTables!$J11+LookupTables!$K11)*FT_FraudReductionConservative))</f>
        <v>108296</v>
      </c>
      <c r="H12" s="72">
        <f>SUM($B12*((LookupTables!$J11+LookupTables!$K11)*FT_FraudReductionConservative))</f>
        <v>108296</v>
      </c>
      <c r="I12" s="72">
        <f>SUM($B12*((LookupTables!$J11+LookupTables!$K11)*FT_FraudReductionConservative))</f>
        <v>108296</v>
      </c>
      <c r="J12" s="73">
        <f>SUM($B12*((LookupTables!$J11+LookupTables!$K11)*FT_FraudReductionConservative))</f>
        <v>108296</v>
      </c>
      <c r="K12" s="74">
        <f t="shared" si="2"/>
        <v>133111.83551623998</v>
      </c>
      <c r="L12" s="74">
        <f t="shared" si="17"/>
        <v>242598.63537889201</v>
      </c>
      <c r="M12" s="74">
        <f t="shared" si="18"/>
        <v>242598.63537889201</v>
      </c>
      <c r="N12" s="74">
        <f t="shared" si="19"/>
        <v>300156.90768413147</v>
      </c>
      <c r="P12" s="75">
        <f t="shared" si="4"/>
        <v>1288399.1484000001</v>
      </c>
      <c r="Q12" s="75">
        <f t="shared" si="5"/>
        <v>3340861.5765893538</v>
      </c>
      <c r="R12" s="75">
        <f t="shared" si="6"/>
        <v>3340861.5765893538</v>
      </c>
      <c r="S12" s="75">
        <f t="shared" si="7"/>
        <v>4772659.3951276485</v>
      </c>
      <c r="U12" s="76">
        <f t="shared" si="8"/>
        <v>24815.835516239997</v>
      </c>
      <c r="V12" s="76">
        <f t="shared" si="9"/>
        <v>134302.63537889201</v>
      </c>
      <c r="W12" s="76">
        <f t="shared" si="10"/>
        <v>134302.63537889201</v>
      </c>
      <c r="X12" s="76">
        <f t="shared" si="11"/>
        <v>191860.90768413147</v>
      </c>
      <c r="Z12" s="77">
        <f t="shared" si="12"/>
        <v>1288399.1484000001</v>
      </c>
      <c r="AA12" s="77">
        <f t="shared" si="13"/>
        <v>4276302.8180343732</v>
      </c>
      <c r="AB12" s="77">
        <f t="shared" si="14"/>
        <v>8399880.5354246609</v>
      </c>
      <c r="AC12" s="77">
        <f t="shared" si="15"/>
        <v>12408914.427331887</v>
      </c>
      <c r="AE12" s="76">
        <f>SUM(B12*(((_xlfn.XLOOKUP(A12,ShipTypes,LookupTables!$M$2:$M$39)*FT_CO2reduction)+(((_xlfn.XLOOKUP(A12,ShipTypes,LookupTables!$N$2:$N$39)))*FT_CO2reduction))*EUAprice)*EUA_24)</f>
        <v>51020.391754799995</v>
      </c>
      <c r="AF12" s="76">
        <f>SUM(B12*(((_xlfn.XLOOKUP(A12,ShipTypes,LookupTables!$R$2:$R$39)*FT_CO2reduction)+(((_xlfn.XLOOKUP(A12,ShipTypes,LookupTables!$S$2:$S$39)))*FT_CO2reduction))*EUAfuture25)*EUA_25)</f>
        <v>171907.37328498179</v>
      </c>
      <c r="AG12" s="76">
        <f>SUM(B12*(((_xlfn.XLOOKUP(A12,ShipTypes,LookupTables!$R$2:$R$39)*FT_CO2reduction)+(((_xlfn.XLOOKUP(A12,ShipTypes,LookupTables!$S$2:$S$39)))*FT_CO2reduction))*EUAfuture26)*EUA_26)</f>
        <v>236372.63826684994</v>
      </c>
      <c r="AH12" s="76">
        <f>SUM(B12*(((_xlfn.XLOOKUP(A12,ShipTypes,LookupTables!$R$2:$R$39)*FT_CO2reduction)+(((_xlfn.XLOOKUP(A12,ShipTypes,LookupTables!$S$2:$S$39)))*FT_CO2reduction))*EUAfuture27)*EUA_27)</f>
        <v>498838.35997874185</v>
      </c>
    </row>
    <row r="13" spans="1:34" ht="16.5">
      <c r="A13" s="67" t="str">
        <f>LookupTables!A12</f>
        <v>VLOC</v>
      </c>
      <c r="B13" s="68">
        <v>1</v>
      </c>
      <c r="C13" s="78">
        <f>SUM(LookupTables!H12*B13)</f>
        <v>120385.548</v>
      </c>
      <c r="D13" s="79">
        <f t="shared" si="0"/>
        <v>4839.4990295999996</v>
      </c>
      <c r="E13" s="78">
        <f>B13*LookupTables!I12</f>
        <v>181082.73744611998</v>
      </c>
      <c r="F13" s="79">
        <f t="shared" si="1"/>
        <v>7460.608782780143</v>
      </c>
      <c r="G13" s="80">
        <f>SUM($B13*((LookupTables!$J12+LookupTables!$K12)*FT_FraudReductionConservative))</f>
        <v>209260.80000000002</v>
      </c>
      <c r="H13" s="81">
        <f>SUM($B13*((LookupTables!$J12+LookupTables!$K12)*FT_FraudReductionConservative))</f>
        <v>209260.80000000002</v>
      </c>
      <c r="I13" s="81">
        <f>SUM($B13*((LookupTables!$J12+LookupTables!$K12)*FT_FraudReductionConservative))</f>
        <v>209260.80000000002</v>
      </c>
      <c r="J13" s="82">
        <f>SUM($B13*((LookupTables!$J12+LookupTables!$K12)*FT_FraudReductionConservative))</f>
        <v>209260.80000000002</v>
      </c>
      <c r="K13" s="83">
        <f t="shared" si="2"/>
        <v>256997.6184279744</v>
      </c>
      <c r="L13" s="83">
        <f t="shared" si="17"/>
        <v>467611.17934890446</v>
      </c>
      <c r="M13" s="83">
        <f t="shared" si="18"/>
        <v>467611.17934890446</v>
      </c>
      <c r="N13" s="83">
        <f t="shared" si="19"/>
        <v>578332.77049843501</v>
      </c>
      <c r="P13" s="75">
        <f t="shared" si="4"/>
        <v>2478172.8928319993</v>
      </c>
      <c r="Q13" s="75">
        <f t="shared" si="5"/>
        <v>6426626.3519627964</v>
      </c>
      <c r="R13" s="75">
        <f t="shared" si="6"/>
        <v>6426626.3519627964</v>
      </c>
      <c r="S13" s="75">
        <f t="shared" si="7"/>
        <v>9180894.7885182817</v>
      </c>
      <c r="U13" s="76">
        <f t="shared" si="8"/>
        <v>47736.818427974395</v>
      </c>
      <c r="V13" s="76">
        <f t="shared" si="9"/>
        <v>258350.37934890445</v>
      </c>
      <c r="W13" s="76">
        <f t="shared" si="10"/>
        <v>258350.37934890445</v>
      </c>
      <c r="X13" s="76">
        <f t="shared" si="11"/>
        <v>369071.97049843497</v>
      </c>
      <c r="Z13" s="77">
        <f t="shared" si="12"/>
        <v>2478172.8928319993</v>
      </c>
      <c r="AA13" s="77">
        <f t="shared" si="13"/>
        <v>8226081.7305123797</v>
      </c>
      <c r="AB13" s="77">
        <f t="shared" si="14"/>
        <v>16158374.827792175</v>
      </c>
      <c r="AC13" s="77">
        <f t="shared" si="15"/>
        <v>23870326.450147532</v>
      </c>
      <c r="AE13" s="76">
        <f>SUM(B13*(((_xlfn.XLOOKUP(A13,ShipTypes,LookupTables!$M$2:$M$39)*FT_CO2reduction)+(((_xlfn.XLOOKUP(A13,ShipTypes,LookupTables!$N$2:$N$39)))*FT_CO2reduction))*EUAprice)*EUA_24)</f>
        <v>98145.040320287982</v>
      </c>
      <c r="AF13" s="76">
        <f>SUM(B13*(((_xlfn.XLOOKUP(A13,ShipTypes,LookupTables!$R$2:$R$39)*FT_CO2reduction)+(((_xlfn.XLOOKUP(A13,ShipTypes,LookupTables!$S$2:$S$39)))*FT_CO2reduction))*EUAfuture25)*EUA_25)</f>
        <v>330688.48556659766</v>
      </c>
      <c r="AG13" s="76">
        <f>SUM(B13*(((_xlfn.XLOOKUP(A13,ShipTypes,LookupTables!$R$2:$R$39)*FT_CO2reduction)+(((_xlfn.XLOOKUP(A13,ShipTypes,LookupTables!$S$2:$S$39)))*FT_CO2reduction))*EUAfuture26)*EUA_26)</f>
        <v>454696.66765407182</v>
      </c>
      <c r="AH13" s="76">
        <f>SUM(B13*(((_xlfn.XLOOKUP(A13,ShipTypes,LookupTables!$R$2:$R$39)*FT_CO2reduction)+(((_xlfn.XLOOKUP(A13,ShipTypes,LookupTables!$S$2:$S$39)))*FT_CO2reduction))*EUAfuture27)*EUA_27)</f>
        <v>959587.12329593091</v>
      </c>
    </row>
    <row r="14" spans="1:34" ht="16.5">
      <c r="A14" s="67" t="str">
        <f>LookupTables!A13</f>
        <v>ULOC</v>
      </c>
      <c r="B14" s="68">
        <v>1</v>
      </c>
      <c r="C14" s="69">
        <f>SUM(LookupTables!H13*B14)</f>
        <v>108658.11599999999</v>
      </c>
      <c r="D14" s="70">
        <f t="shared" si="0"/>
        <v>4368.0562632000001</v>
      </c>
      <c r="E14" s="69">
        <f>B14*LookupTables!I13</f>
        <v>163442.45150603997</v>
      </c>
      <c r="F14" s="70">
        <f t="shared" si="1"/>
        <v>6733.8290020488466</v>
      </c>
      <c r="G14" s="71">
        <f>SUM($B14*((LookupTables!$J13+LookupTables!$K13)*FT_FraudReductionConservative))</f>
        <v>191342.4</v>
      </c>
      <c r="H14" s="72">
        <f>SUM($B14*((LookupTables!$J13+LookupTables!$K13)*FT_FraudReductionConservative))</f>
        <v>191342.4</v>
      </c>
      <c r="I14" s="72">
        <f>SUM($B14*((LookupTables!$J13+LookupTables!$K13)*FT_FraudReductionConservative))</f>
        <v>191342.4</v>
      </c>
      <c r="J14" s="73">
        <f>SUM($B14*((LookupTables!$J13+LookupTables!$K13)*FT_FraudReductionConservative))</f>
        <v>191342.4</v>
      </c>
      <c r="K14" s="74">
        <f t="shared" si="2"/>
        <v>234428.9069802048</v>
      </c>
      <c r="L14" s="74">
        <f t="shared" si="17"/>
        <v>424525.41867876414</v>
      </c>
      <c r="M14" s="74">
        <f t="shared" si="18"/>
        <v>424525.41867876414</v>
      </c>
      <c r="N14" s="74">
        <f t="shared" si="19"/>
        <v>524460.9981125202</v>
      </c>
      <c r="P14" s="75">
        <f t="shared" si="4"/>
        <v>2236108.8335039997</v>
      </c>
      <c r="Q14" s="75">
        <f t="shared" si="5"/>
        <v>5800572.6039493578</v>
      </c>
      <c r="R14" s="75">
        <f t="shared" si="6"/>
        <v>5800572.6039493578</v>
      </c>
      <c r="S14" s="75">
        <f t="shared" si="7"/>
        <v>8286532.2913562264</v>
      </c>
      <c r="U14" s="76">
        <f t="shared" si="8"/>
        <v>43086.506980204795</v>
      </c>
      <c r="V14" s="76">
        <f t="shared" si="9"/>
        <v>233183.01867876414</v>
      </c>
      <c r="W14" s="81">
        <f t="shared" si="10"/>
        <v>233183.01867876414</v>
      </c>
      <c r="X14" s="82">
        <f t="shared" si="11"/>
        <v>333118.59811252024</v>
      </c>
      <c r="Z14" s="77">
        <f t="shared" si="12"/>
        <v>2236108.8335039997</v>
      </c>
      <c r="AA14" s="77">
        <f t="shared" si="13"/>
        <v>7424732.9330551783</v>
      </c>
      <c r="AB14" s="77">
        <f t="shared" si="14"/>
        <v>14584296.832786959</v>
      </c>
      <c r="AC14" s="77">
        <f t="shared" si="15"/>
        <v>21544983.957526188</v>
      </c>
      <c r="AE14" s="76">
        <f>SUM(B14*(((_xlfn.XLOOKUP(A14,ShipTypes,LookupTables!$M$2:$M$39)*FT_CO2reduction)+(((_xlfn.XLOOKUP(A14,ShipTypes,LookupTables!$N$2:$N$39)))*FT_CO2reduction))*EUAprice)*EUA_24)</f>
        <v>88584.181017695999</v>
      </c>
      <c r="AF14" s="76">
        <f>SUM(B14*(((_xlfn.XLOOKUP(A14,ShipTypes,LookupTables!$R$2:$R$39)*FT_CO2reduction)+(((_xlfn.XLOOKUP(A14,ShipTypes,LookupTables!$S$2:$S$39)))*FT_CO2reduction))*EUAfuture25)*EUA_25)</f>
        <v>298474.26390881813</v>
      </c>
      <c r="AG14" s="76">
        <f>SUM(B14*(((_xlfn.XLOOKUP(A14,ShipTypes,LookupTables!$R$2:$R$39)*FT_CO2reduction)+(((_xlfn.XLOOKUP(A14,ShipTypes,LookupTables!$S$2:$S$39)))*FT_CO2reduction))*EUAfuture26)*EUA_26)</f>
        <v>410402.1128746249</v>
      </c>
      <c r="AH14" s="76">
        <f>SUM(B14*(((_xlfn.XLOOKUP(A14,ShipTypes,LookupTables!$R$2:$R$39)*FT_CO2reduction)+(((_xlfn.XLOOKUP(A14,ShipTypes,LookupTables!$S$2:$S$39)))*FT_CO2reduction))*EUAfuture27)*EUA_27)</f>
        <v>866108.35509255272</v>
      </c>
    </row>
    <row r="15" spans="1:34" ht="16.5">
      <c r="A15" s="67" t="str">
        <f>LookupTables!A14</f>
        <v>Coastal Tanker</v>
      </c>
      <c r="B15" s="68">
        <v>1</v>
      </c>
      <c r="C15" s="78">
        <f>SUM(LookupTables!H14*B15)</f>
        <v>15901.369999999999</v>
      </c>
      <c r="D15" s="79">
        <f t="shared" si="0"/>
        <v>639.23507399999994</v>
      </c>
      <c r="E15" s="78">
        <f>B15*LookupTables!I14</f>
        <v>23918.681740299999</v>
      </c>
      <c r="F15" s="79">
        <f t="shared" si="1"/>
        <v>985.44968770035996</v>
      </c>
      <c r="G15" s="80">
        <f>SUM($B15*((LookupTables!$J14+LookupTables!$K14)*FT_FraudReductionConservative))</f>
        <v>28281.600000000002</v>
      </c>
      <c r="H15" s="81">
        <f>SUM($B15*((LookupTables!$J14+LookupTables!$K14)*FT_FraudReductionConservative))</f>
        <v>28281.600000000002</v>
      </c>
      <c r="I15" s="81">
        <f>SUM($B15*((LookupTables!$J14+LookupTables!$K14)*FT_FraudReductionConservative))</f>
        <v>28281.600000000002</v>
      </c>
      <c r="J15" s="82">
        <f>SUM($B15*((LookupTables!$J14+LookupTables!$K14)*FT_FraudReductionConservative))</f>
        <v>28281.600000000002</v>
      </c>
      <c r="K15" s="83">
        <f t="shared" si="2"/>
        <v>34587.014769936002</v>
      </c>
      <c r="L15" s="83">
        <f t="shared" si="17"/>
        <v>62406.335401522534</v>
      </c>
      <c r="M15" s="83">
        <f t="shared" si="18"/>
        <v>62406.335401522534</v>
      </c>
      <c r="N15" s="83">
        <f t="shared" si="19"/>
        <v>77031.22200217504</v>
      </c>
      <c r="P15" s="75">
        <f t="shared" si="4"/>
        <v>322479.78359999997</v>
      </c>
      <c r="Q15" s="75">
        <f t="shared" si="5"/>
        <v>848874.01496324677</v>
      </c>
      <c r="R15" s="75">
        <f t="shared" si="6"/>
        <v>848874.01496324677</v>
      </c>
      <c r="S15" s="75">
        <f t="shared" si="7"/>
        <v>1212677.1642332098</v>
      </c>
      <c r="U15" s="76">
        <f t="shared" si="8"/>
        <v>6305.4147699359992</v>
      </c>
      <c r="V15" s="76">
        <f t="shared" si="9"/>
        <v>34124.735401522528</v>
      </c>
      <c r="W15" s="76">
        <f t="shared" si="10"/>
        <v>34124.735401522528</v>
      </c>
      <c r="X15" s="76">
        <f t="shared" si="11"/>
        <v>48749.622002175041</v>
      </c>
      <c r="Z15" s="77">
        <f t="shared" si="12"/>
        <v>322479.78359999997</v>
      </c>
      <c r="AA15" s="77">
        <f t="shared" si="13"/>
        <v>1086558.7391529558</v>
      </c>
      <c r="AB15" s="77">
        <f t="shared" si="14"/>
        <v>2134311.8090504492</v>
      </c>
      <c r="AC15" s="77">
        <f t="shared" si="15"/>
        <v>3152960.6270063454</v>
      </c>
      <c r="AE15" s="76">
        <f>SUM(B15*(((_xlfn.XLOOKUP(A15,ShipTypes,LookupTables!$M$2:$M$39)*FT_CO2reduction)+(((_xlfn.XLOOKUP(A15,ShipTypes,LookupTables!$N$2:$N$39)))*FT_CO2reduction))*EUAprice)*EUA_24)</f>
        <v>12963.687300719997</v>
      </c>
      <c r="AF15" s="76">
        <f>SUM(B15*(((_xlfn.XLOOKUP(A15,ShipTypes,LookupTables!$R$2:$R$39)*FT_CO2reduction)+(((_xlfn.XLOOKUP(A15,ShipTypes,LookupTables!$S$2:$S$39)))*FT_CO2reduction))*EUAfuture25)*EUA_25)</f>
        <v>43679.661313948833</v>
      </c>
      <c r="AG15" s="76">
        <f>SUM(B15*(((_xlfn.XLOOKUP(A15,ShipTypes,LookupTables!$R$2:$R$39)*FT_CO2reduction)+(((_xlfn.XLOOKUP(A15,ShipTypes,LookupTables!$S$2:$S$39)))*FT_CO2reduction))*EUAfuture26)*EUA_26)</f>
        <v>60059.534306679641</v>
      </c>
      <c r="AH15" s="76">
        <f>SUM(B15*(((_xlfn.XLOOKUP(A15,ShipTypes,LookupTables!$R$2:$R$39)*FT_CO2reduction)+(((_xlfn.XLOOKUP(A15,ShipTypes,LookupTables!$S$2:$S$39)))*FT_CO2reduction))*EUAfuture27)*EUA_27)</f>
        <v>126749.01720565511</v>
      </c>
    </row>
    <row r="16" spans="1:34" ht="16.5">
      <c r="A16" s="67" t="str">
        <f>LookupTables!A15</f>
        <v>HandyTanker</v>
      </c>
      <c r="B16" s="68">
        <v>1</v>
      </c>
      <c r="C16" s="69">
        <f>SUM(LookupTables!H15*B16)</f>
        <v>20532.25</v>
      </c>
      <c r="D16" s="70">
        <f t="shared" si="0"/>
        <v>825.39644999999996</v>
      </c>
      <c r="E16" s="69">
        <f>B16*LookupTables!I15</f>
        <v>30884.405127499998</v>
      </c>
      <c r="F16" s="70">
        <f t="shared" si="1"/>
        <v>1272.437491253</v>
      </c>
      <c r="G16" s="71">
        <f>SUM($B16*((LookupTables!$J15+LookupTables!$K15)*FT_FraudReductionConservative))</f>
        <v>37016</v>
      </c>
      <c r="H16" s="72">
        <f>SUM($B16*((LookupTables!$J15+LookupTables!$K15)*FT_FraudReductionConservative))</f>
        <v>37016</v>
      </c>
      <c r="I16" s="72">
        <f>SUM($B16*((LookupTables!$J15+LookupTables!$K15)*FT_FraudReductionConservative))</f>
        <v>37016</v>
      </c>
      <c r="J16" s="73">
        <f>SUM($B16*((LookupTables!$J15+LookupTables!$K15)*FT_FraudReductionConservative))</f>
        <v>37016</v>
      </c>
      <c r="K16" s="74">
        <f t="shared" si="2"/>
        <v>45157.710582799999</v>
      </c>
      <c r="L16" s="74">
        <f t="shared" si="17"/>
        <v>81078.719026593986</v>
      </c>
      <c r="M16" s="74">
        <f t="shared" si="18"/>
        <v>81078.719026593986</v>
      </c>
      <c r="N16" s="74">
        <f t="shared" si="19"/>
        <v>99962.741466562846</v>
      </c>
      <c r="P16" s="75">
        <f t="shared" si="4"/>
        <v>416394.03</v>
      </c>
      <c r="Q16" s="75">
        <f t="shared" si="5"/>
        <v>1096087.5379749748</v>
      </c>
      <c r="R16" s="75">
        <f t="shared" si="6"/>
        <v>1096087.5379749748</v>
      </c>
      <c r="S16" s="75">
        <f t="shared" si="7"/>
        <v>1565839.3399642499</v>
      </c>
      <c r="U16" s="76">
        <f t="shared" si="8"/>
        <v>8141.7105828000003</v>
      </c>
      <c r="V16" s="76">
        <f t="shared" si="9"/>
        <v>44062.719026593993</v>
      </c>
      <c r="W16" s="76">
        <f t="shared" si="10"/>
        <v>44062.719026593993</v>
      </c>
      <c r="X16" s="76">
        <f t="shared" si="11"/>
        <v>62946.741466562853</v>
      </c>
      <c r="Z16" s="77">
        <f t="shared" si="12"/>
        <v>416394.03</v>
      </c>
      <c r="AA16" s="77">
        <f t="shared" si="13"/>
        <v>1402992.0486079678</v>
      </c>
      <c r="AB16" s="77">
        <f t="shared" si="14"/>
        <v>2755877.2383370795</v>
      </c>
      <c r="AC16" s="77">
        <f t="shared" si="15"/>
        <v>4071182.2839070498</v>
      </c>
      <c r="AE16" s="76">
        <f>SUM(B16*(((_xlfn.XLOOKUP(A16,ShipTypes,LookupTables!$M$2:$M$39)*FT_CO2reduction)+(((_xlfn.XLOOKUP(A16,ShipTypes,LookupTables!$N$2:$N$39)))*FT_CO2reduction))*EUAprice)*EUA_24)</f>
        <v>16739.040005999999</v>
      </c>
      <c r="AF16" s="76">
        <f>SUM(B16*(((_xlfn.XLOOKUP(A16,ShipTypes,LookupTables!$R$2:$R$39)*FT_CO2reduction)+(((_xlfn.XLOOKUP(A16,ShipTypes,LookupTables!$S$2:$S$39)))*FT_CO2reduction))*EUAfuture25)*EUA_25)</f>
        <v>56400.280354040318</v>
      </c>
      <c r="AG16" s="76">
        <f>SUM(B16*(((_xlfn.XLOOKUP(A16,ShipTypes,LookupTables!$R$2:$R$39)*FT_CO2reduction)+(((_xlfn.XLOOKUP(A16,ShipTypes,LookupTables!$S$2:$S$39)))*FT_CO2reduction))*EUAfuture26)*EUA_26)</f>
        <v>77550.385486805419</v>
      </c>
      <c r="AH16" s="76">
        <f>SUM(B16*(((_xlfn.XLOOKUP(A16,ShipTypes,LookupTables!$R$2:$R$39)*FT_CO2reduction)+(((_xlfn.XLOOKUP(A16,ShipTypes,LookupTables!$S$2:$S$39)))*FT_CO2reduction))*EUAfuture27)*EUA_27)</f>
        <v>163661.52781306341</v>
      </c>
    </row>
    <row r="17" spans="1:34" ht="16.5">
      <c r="A17" s="67" t="str">
        <f>LookupTables!A16</f>
        <v>Tanker (MR1)</v>
      </c>
      <c r="B17" s="68">
        <v>1</v>
      </c>
      <c r="C17" s="78">
        <f>SUM(LookupTables!H16*B17)</f>
        <v>32969.035999999993</v>
      </c>
      <c r="D17" s="79">
        <f t="shared" si="0"/>
        <v>1325.3552471999997</v>
      </c>
      <c r="E17" s="78">
        <f>B17*LookupTables!I16</f>
        <v>49591.694260839984</v>
      </c>
      <c r="F17" s="79">
        <f t="shared" si="1"/>
        <v>2043.1778035466073</v>
      </c>
      <c r="G17" s="80">
        <f>SUM($B17*((LookupTables!$J16+LookupTables!$K16)*FT_FraudReductionConservative))</f>
        <v>57809.599999999999</v>
      </c>
      <c r="H17" s="81">
        <f>SUM($B17*((LookupTables!$J16+LookupTables!$K16)*FT_FraudReductionConservative))</f>
        <v>57809.599999999999</v>
      </c>
      <c r="I17" s="81">
        <f>SUM($B17*((LookupTables!$J16+LookupTables!$K16)*FT_FraudReductionConservative))</f>
        <v>57809.599999999999</v>
      </c>
      <c r="J17" s="82">
        <f>SUM($B17*((LookupTables!$J16+LookupTables!$K16)*FT_FraudReductionConservative))</f>
        <v>57809.599999999999</v>
      </c>
      <c r="K17" s="83">
        <f t="shared" si="2"/>
        <v>70882.904158380799</v>
      </c>
      <c r="L17" s="83">
        <f t="shared" si="17"/>
        <v>128561.97101855191</v>
      </c>
      <c r="M17" s="83">
        <f t="shared" si="18"/>
        <v>128561.97101855191</v>
      </c>
      <c r="N17" s="83">
        <f t="shared" si="19"/>
        <v>158884.41574078842</v>
      </c>
      <c r="P17" s="75">
        <f t="shared" si="4"/>
        <v>668612.05007999996</v>
      </c>
      <c r="Q17" s="75">
        <f t="shared" si="5"/>
        <v>1760009.2293172113</v>
      </c>
      <c r="R17" s="75">
        <f t="shared" si="6"/>
        <v>1760009.2293172113</v>
      </c>
      <c r="S17" s="75">
        <f t="shared" si="7"/>
        <v>2514298.8990245876</v>
      </c>
      <c r="U17" s="76">
        <f t="shared" si="8"/>
        <v>13073.304158380799</v>
      </c>
      <c r="V17" s="76">
        <f t="shared" si="9"/>
        <v>70752.371018551901</v>
      </c>
      <c r="W17" s="81">
        <f t="shared" si="10"/>
        <v>70752.371018551901</v>
      </c>
      <c r="X17" s="82">
        <f t="shared" si="11"/>
        <v>101074.81574078843</v>
      </c>
      <c r="Z17" s="77">
        <f t="shared" si="12"/>
        <v>668612.05007999996</v>
      </c>
      <c r="AA17" s="77">
        <f t="shared" si="13"/>
        <v>2252811.8135260302</v>
      </c>
      <c r="AB17" s="77">
        <f t="shared" si="14"/>
        <v>4425166.0622832738</v>
      </c>
      <c r="AC17" s="77">
        <f t="shared" si="15"/>
        <v>6537177.1374639273</v>
      </c>
      <c r="AE17" s="76">
        <f>SUM(B17*(((_xlfn.XLOOKUP(A17,ShipTypes,LookupTables!$M$2:$M$39)*FT_CO2reduction)+(((_xlfn.XLOOKUP(A17,ShipTypes,LookupTables!$N$2:$N$39)))*FT_CO2reduction))*EUAprice)*EUA_24)</f>
        <v>26878.204413215997</v>
      </c>
      <c r="AF17" s="76">
        <f>SUM(B17*(((_xlfn.XLOOKUP(A17,ShipTypes,LookupTables!$R$2:$R$39)*FT_CO2reduction)+(((_xlfn.XLOOKUP(A17,ShipTypes,LookupTables!$S$2:$S$39)))*FT_CO2reduction))*EUAfuture25)*EUA_25)</f>
        <v>90563.034903746418</v>
      </c>
      <c r="AG17" s="76">
        <f>SUM(B17*(((_xlfn.XLOOKUP(A17,ShipTypes,LookupTables!$R$2:$R$39)*FT_CO2reduction)+(((_xlfn.XLOOKUP(A17,ShipTypes,LookupTables!$S$2:$S$39)))*FT_CO2reduction))*EUAfuture26)*EUA_26)</f>
        <v>124524.17299265132</v>
      </c>
      <c r="AH17" s="76">
        <f>SUM(B17*(((_xlfn.XLOOKUP(A17,ShipTypes,LookupTables!$R$2:$R$39)*FT_CO2reduction)+(((_xlfn.XLOOKUP(A17,ShipTypes,LookupTables!$S$2:$S$39)))*FT_CO2reduction))*EUAfuture27)*EUA_27)</f>
        <v>262794.52092604991</v>
      </c>
    </row>
    <row r="18" spans="1:34" ht="16.5">
      <c r="A18" s="67" t="str">
        <f>LookupTables!A17</f>
        <v>Tanker (Panamax/LR1)</v>
      </c>
      <c r="B18" s="68">
        <v>1</v>
      </c>
      <c r="C18" s="69">
        <f>SUM(LookupTables!H17*B18)</f>
        <v>47642.409999999996</v>
      </c>
      <c r="D18" s="70">
        <f t="shared" si="0"/>
        <v>1915.2248819999998</v>
      </c>
      <c r="E18" s="69">
        <f>B18*LookupTables!I17</f>
        <v>71663.236697899993</v>
      </c>
      <c r="F18" s="70">
        <f t="shared" si="1"/>
        <v>2952.5253519534799</v>
      </c>
      <c r="G18" s="71">
        <f>SUM($B18*((LookupTables!$J17+LookupTables!$K17)*FT_FraudReductionConservative))</f>
        <v>83452</v>
      </c>
      <c r="H18" s="72">
        <f>SUM($B18*((LookupTables!$J17+LookupTables!$K17)*FT_FraudReductionConservative))</f>
        <v>83452</v>
      </c>
      <c r="I18" s="72">
        <f>SUM($B18*((LookupTables!$J17+LookupTables!$K17)*FT_FraudReductionConservative))</f>
        <v>83452</v>
      </c>
      <c r="J18" s="73">
        <f>SUM($B18*((LookupTables!$J17+LookupTables!$K17)*FT_FraudReductionConservative))</f>
        <v>83452</v>
      </c>
      <c r="K18" s="74">
        <f t="shared" si="2"/>
        <v>102343.77823604801</v>
      </c>
      <c r="L18" s="74">
        <f t="shared" si="17"/>
        <v>185693.79647042055</v>
      </c>
      <c r="M18" s="74">
        <f t="shared" si="18"/>
        <v>185693.79647042055</v>
      </c>
      <c r="N18" s="74">
        <f t="shared" si="19"/>
        <v>229511.70924345791</v>
      </c>
      <c r="P18" s="75">
        <f t="shared" si="4"/>
        <v>980565.13463999983</v>
      </c>
      <c r="Q18" s="75">
        <f t="shared" si="5"/>
        <v>2543328.2704084702</v>
      </c>
      <c r="R18" s="75">
        <f t="shared" si="6"/>
        <v>2543328.2704084702</v>
      </c>
      <c r="S18" s="75">
        <f t="shared" si="7"/>
        <v>3633326.1005835291</v>
      </c>
      <c r="U18" s="76">
        <f t="shared" si="8"/>
        <v>18891.778236048001</v>
      </c>
      <c r="V18" s="76">
        <f t="shared" si="9"/>
        <v>102241.79647042054</v>
      </c>
      <c r="W18" s="76">
        <f t="shared" si="10"/>
        <v>102241.79647042054</v>
      </c>
      <c r="X18" s="76">
        <f t="shared" si="11"/>
        <v>146059.70924345791</v>
      </c>
      <c r="Z18" s="77">
        <f t="shared" si="12"/>
        <v>980565.13463999983</v>
      </c>
      <c r="AA18" s="77">
        <f t="shared" si="13"/>
        <v>3255460.1861228421</v>
      </c>
      <c r="AB18" s="77">
        <f t="shared" si="14"/>
        <v>6394653.9370270111</v>
      </c>
      <c r="AC18" s="77">
        <f t="shared" si="15"/>
        <v>9446647.861517176</v>
      </c>
      <c r="AE18" s="76">
        <f>SUM(B18*(((_xlfn.XLOOKUP(A18,ShipTypes,LookupTables!$M$2:$M$39)*FT_CO2reduction)+(((_xlfn.XLOOKUP(A18,ShipTypes,LookupTables!$N$2:$N$39)))*FT_CO2reduction))*EUAprice)*EUA_24)</f>
        <v>38840.760606959993</v>
      </c>
      <c r="AF18" s="76">
        <f>SUM(B18*(((_xlfn.XLOOKUP(A18,ShipTypes,LookupTables!$R$2:$R$39)*FT_CO2reduction)+(((_xlfn.XLOOKUP(A18,ShipTypes,LookupTables!$S$2:$S$39)))*FT_CO2reduction))*EUAfuture25)*EUA_25)</f>
        <v>130869.49948213826</v>
      </c>
      <c r="AG18" s="76">
        <f>SUM(B18*(((_xlfn.XLOOKUP(A18,ShipTypes,LookupTables!$R$2:$R$39)*FT_CO2reduction)+(((_xlfn.XLOOKUP(A18,ShipTypes,LookupTables!$S$2:$S$39)))*FT_CO2reduction))*EUAfuture26)*EUA_26)</f>
        <v>179945.5617879401</v>
      </c>
      <c r="AH18" s="76">
        <f>SUM(B18*(((_xlfn.XLOOKUP(A18,ShipTypes,LookupTables!$R$2:$R$39)*FT_CO2reduction)+(((_xlfn.XLOOKUP(A18,ShipTypes,LookupTables!$S$2:$S$39)))*FT_CO2reduction))*EUAfuture27)*EUA_27)</f>
        <v>379755.24403299054</v>
      </c>
    </row>
    <row r="19" spans="1:34" ht="16.5">
      <c r="A19" s="67" t="str">
        <f>LookupTables!A18</f>
        <v>Tanker (LR2)</v>
      </c>
      <c r="B19" s="68">
        <v>1</v>
      </c>
      <c r="C19" s="78">
        <f>SUM(LookupTables!H18*B19)</f>
        <v>47642.409999999996</v>
      </c>
      <c r="D19" s="79">
        <f t="shared" si="0"/>
        <v>1915.2248819999998</v>
      </c>
      <c r="E19" s="78">
        <f>B19*LookupTables!I18</f>
        <v>71663.236697899993</v>
      </c>
      <c r="F19" s="79">
        <f t="shared" si="1"/>
        <v>2952.5253519534799</v>
      </c>
      <c r="G19" s="80">
        <f>SUM($B19*((LookupTables!$J18+LookupTables!$K18)*FT_FraudReductionConservative))</f>
        <v>83452</v>
      </c>
      <c r="H19" s="81">
        <f>SUM($B19*((LookupTables!$J18+LookupTables!$K18)*FT_FraudReductionConservative))</f>
        <v>83452</v>
      </c>
      <c r="I19" s="81">
        <f>SUM($B19*((LookupTables!$J18+LookupTables!$K18)*FT_FraudReductionConservative))</f>
        <v>83452</v>
      </c>
      <c r="J19" s="82">
        <f>SUM($B19*((LookupTables!$J18+LookupTables!$K18)*FT_FraudReductionConservative))</f>
        <v>83452</v>
      </c>
      <c r="K19" s="83">
        <f t="shared" si="2"/>
        <v>102343.77823604801</v>
      </c>
      <c r="L19" s="83">
        <f t="shared" si="17"/>
        <v>185693.79647042055</v>
      </c>
      <c r="M19" s="83">
        <f t="shared" si="18"/>
        <v>185693.79647042055</v>
      </c>
      <c r="N19" s="83">
        <f t="shared" si="19"/>
        <v>229511.70924345791</v>
      </c>
      <c r="P19" s="75">
        <f t="shared" si="4"/>
        <v>980565.13463999983</v>
      </c>
      <c r="Q19" s="75">
        <f t="shared" si="5"/>
        <v>2543328.2704084702</v>
      </c>
      <c r="R19" s="75">
        <f t="shared" si="6"/>
        <v>2543328.2704084702</v>
      </c>
      <c r="S19" s="75">
        <f t="shared" si="7"/>
        <v>3633326.1005835291</v>
      </c>
      <c r="U19" s="76">
        <f t="shared" si="8"/>
        <v>18891.778236048001</v>
      </c>
      <c r="V19" s="76">
        <f t="shared" si="9"/>
        <v>102241.79647042054</v>
      </c>
      <c r="W19" s="76">
        <f t="shared" si="10"/>
        <v>102241.79647042054</v>
      </c>
      <c r="X19" s="76">
        <f t="shared" si="11"/>
        <v>146059.70924345791</v>
      </c>
      <c r="Z19" s="77">
        <f t="shared" si="12"/>
        <v>980565.13463999983</v>
      </c>
      <c r="AA19" s="77">
        <f t="shared" si="13"/>
        <v>3255460.1861228421</v>
      </c>
      <c r="AB19" s="77">
        <f t="shared" si="14"/>
        <v>6394653.9370270111</v>
      </c>
      <c r="AC19" s="77">
        <f t="shared" si="15"/>
        <v>9446647.861517176</v>
      </c>
      <c r="AE19" s="76">
        <f>SUM(B19*(((_xlfn.XLOOKUP(A19,ShipTypes,LookupTables!$M$2:$M$39)*FT_CO2reduction)+(((_xlfn.XLOOKUP(A19,ShipTypes,LookupTables!$N$2:$N$39)))*FT_CO2reduction))*EUAprice)*EUA_24)</f>
        <v>38840.760606959993</v>
      </c>
      <c r="AF19" s="76">
        <f>SUM(B19*(((_xlfn.XLOOKUP(A19,ShipTypes,LookupTables!$R$2:$R$39)*FT_CO2reduction)+(((_xlfn.XLOOKUP(A19,ShipTypes,LookupTables!$S$2:$S$39)))*FT_CO2reduction))*EUAfuture25)*EUA_25)</f>
        <v>130869.49948213826</v>
      </c>
      <c r="AG19" s="76">
        <f>SUM(B19*(((_xlfn.XLOOKUP(A19,ShipTypes,LookupTables!$R$2:$R$39)*FT_CO2reduction)+(((_xlfn.XLOOKUP(A19,ShipTypes,LookupTables!$S$2:$S$39)))*FT_CO2reduction))*EUAfuture26)*EUA_26)</f>
        <v>179945.5617879401</v>
      </c>
      <c r="AH19" s="76">
        <f>SUM(B19*(((_xlfn.XLOOKUP(A19,ShipTypes,LookupTables!$R$2:$R$39)*FT_CO2reduction)+(((_xlfn.XLOOKUP(A19,ShipTypes,LookupTables!$S$2:$S$39)))*FT_CO2reduction))*EUAfuture27)*EUA_27)</f>
        <v>379755.24403299054</v>
      </c>
    </row>
    <row r="20" spans="1:34" ht="16.5">
      <c r="A20" s="67" t="str">
        <f>LookupTables!A19</f>
        <v>Tanker (Aframax)</v>
      </c>
      <c r="B20" s="68">
        <v>1</v>
      </c>
      <c r="C20" s="69">
        <f>SUM(LookupTables!H19*B20)</f>
        <v>67045.86</v>
      </c>
      <c r="D20" s="70">
        <f t="shared" si="0"/>
        <v>2695.2435719999999</v>
      </c>
      <c r="E20" s="69">
        <f>B20*LookupTables!I19</f>
        <v>100849.71215339999</v>
      </c>
      <c r="F20" s="70">
        <f t="shared" si="1"/>
        <v>4155.0081407200796</v>
      </c>
      <c r="G20" s="71">
        <f>SUM($B20*((LookupTables!$J19+LookupTables!$K19)*FT_FraudReductionConservative))</f>
        <v>115612.8</v>
      </c>
      <c r="H20" s="72">
        <f>SUM($B20*((LookupTables!$J19+LookupTables!$K19)*FT_FraudReductionConservative))</f>
        <v>115612.8</v>
      </c>
      <c r="I20" s="72">
        <f>SUM($B20*((LookupTables!$J19+LookupTables!$K19)*FT_FraudReductionConservative))</f>
        <v>115612.8</v>
      </c>
      <c r="J20" s="73">
        <f>SUM($B20*((LookupTables!$J19+LookupTables!$K19)*FT_FraudReductionConservative))</f>
        <v>115612.8</v>
      </c>
      <c r="K20" s="74">
        <f t="shared" si="2"/>
        <v>142198.68259420799</v>
      </c>
      <c r="L20" s="74">
        <f t="shared" si="17"/>
        <v>259494.88262983144</v>
      </c>
      <c r="M20" s="74">
        <f t="shared" si="18"/>
        <v>259494.88262983144</v>
      </c>
      <c r="N20" s="74">
        <f t="shared" si="19"/>
        <v>321158.63232833066</v>
      </c>
      <c r="P20" s="75">
        <f t="shared" si="4"/>
        <v>1380404.8439999998</v>
      </c>
      <c r="Q20" s="75">
        <f t="shared" si="5"/>
        <v>3579156.2843241654</v>
      </c>
      <c r="R20" s="75">
        <f t="shared" si="6"/>
        <v>3579156.2843241654</v>
      </c>
      <c r="S20" s="75">
        <f t="shared" si="7"/>
        <v>5113080.4061773792</v>
      </c>
      <c r="U20" s="76">
        <f t="shared" si="8"/>
        <v>26585.882594208</v>
      </c>
      <c r="V20" s="76">
        <f t="shared" si="9"/>
        <v>143882.08262983145</v>
      </c>
      <c r="W20" s="81">
        <f t="shared" si="10"/>
        <v>143882.08262983145</v>
      </c>
      <c r="X20" s="82">
        <f t="shared" si="11"/>
        <v>205545.83232833064</v>
      </c>
      <c r="Z20" s="77">
        <f t="shared" si="12"/>
        <v>1380404.8439999998</v>
      </c>
      <c r="AA20" s="77">
        <f t="shared" si="13"/>
        <v>4581320.043934931</v>
      </c>
      <c r="AB20" s="77">
        <f t="shared" si="14"/>
        <v>8999021.5148721859</v>
      </c>
      <c r="AC20" s="77">
        <f t="shared" si="15"/>
        <v>13294009.056061186</v>
      </c>
      <c r="AE20" s="76">
        <f>SUM(B20*(((_xlfn.XLOOKUP(A20,ShipTypes,LookupTables!$M$2:$M$39)*FT_CO2reduction)+(((_xlfn.XLOOKUP(A20,ShipTypes,LookupTables!$N$2:$N$39)))*FT_CO2reduction))*EUAprice)*EUA_24)</f>
        <v>54659.539640160001</v>
      </c>
      <c r="AF20" s="76">
        <f>SUM(B20*(((_xlfn.XLOOKUP(A20,ShipTypes,LookupTables!$R$2:$R$39)*FT_CO2reduction)+(((_xlfn.XLOOKUP(A20,ShipTypes,LookupTables!$S$2:$S$39)))*FT_CO2reduction))*EUAfuture25)*EUA_25)</f>
        <v>184169.06576618424</v>
      </c>
      <c r="AG20" s="76">
        <f>SUM(B20*(((_xlfn.XLOOKUP(A20,ShipTypes,LookupTables!$R$2:$R$39)*FT_CO2reduction)+(((_xlfn.XLOOKUP(A20,ShipTypes,LookupTables!$S$2:$S$39)))*FT_CO2reduction))*EUAfuture26)*EUA_26)</f>
        <v>253232.46542850332</v>
      </c>
      <c r="AH20" s="76">
        <f>SUM(B20*(((_xlfn.XLOOKUP(A20,ShipTypes,LookupTables!$R$2:$R$39)*FT_CO2reduction)+(((_xlfn.XLOOKUP(A20,ShipTypes,LookupTables!$S$2:$S$39)))*FT_CO2reduction))*EUAfuture27)*EUA_27)</f>
        <v>534419.16405365965</v>
      </c>
    </row>
    <row r="21" spans="1:34" ht="16.5">
      <c r="A21" s="67" t="str">
        <f>LookupTables!A20</f>
        <v>Tanker (SuezMax)</v>
      </c>
      <c r="B21" s="68">
        <v>1</v>
      </c>
      <c r="C21" s="78">
        <f>SUM(LookupTables!H20*B21)</f>
        <v>75620.819999999992</v>
      </c>
      <c r="D21" s="79">
        <f t="shared" si="0"/>
        <v>3039.9569639999995</v>
      </c>
      <c r="E21" s="78">
        <f>B21*LookupTables!I20</f>
        <v>113748.08123579998</v>
      </c>
      <c r="F21" s="79">
        <f t="shared" si="1"/>
        <v>4686.4209469149591</v>
      </c>
      <c r="G21" s="80">
        <f>SUM($B21*((LookupTables!$J20+LookupTables!$K20)*FT_FraudReductionConservative))</f>
        <v>129225.60000000001</v>
      </c>
      <c r="H21" s="81">
        <f>SUM($B21*((LookupTables!$J20+LookupTables!$K20)*FT_FraudReductionConservative))</f>
        <v>129225.60000000001</v>
      </c>
      <c r="I21" s="81">
        <f>SUM($B21*((LookupTables!$J20+LookupTables!$K20)*FT_FraudReductionConservative))</f>
        <v>129225.60000000001</v>
      </c>
      <c r="J21" s="82">
        <f>SUM($B21*((LookupTables!$J20+LookupTables!$K20)*FT_FraudReductionConservative))</f>
        <v>129225.60000000001</v>
      </c>
      <c r="K21" s="83">
        <f t="shared" si="2"/>
        <v>159211.735492896</v>
      </c>
      <c r="L21" s="83">
        <f t="shared" si="17"/>
        <v>291509.76000295335</v>
      </c>
      <c r="M21" s="83">
        <f t="shared" si="18"/>
        <v>291509.76000295335</v>
      </c>
      <c r="N21" s="83">
        <f t="shared" si="19"/>
        <v>361060.11428993335</v>
      </c>
      <c r="P21" s="75">
        <f t="shared" si="4"/>
        <v>1557264.2903999998</v>
      </c>
      <c r="Q21" s="75">
        <f t="shared" si="5"/>
        <v>4036919.4030585405</v>
      </c>
      <c r="R21" s="75">
        <f t="shared" si="6"/>
        <v>4036919.4030585405</v>
      </c>
      <c r="S21" s="75">
        <f t="shared" si="7"/>
        <v>5767027.7186550582</v>
      </c>
      <c r="U21" s="76">
        <f t="shared" si="8"/>
        <v>29986.135492896003</v>
      </c>
      <c r="V21" s="76">
        <f t="shared" si="9"/>
        <v>162284.16000295334</v>
      </c>
      <c r="W21" s="76">
        <f t="shared" si="10"/>
        <v>162284.16000295334</v>
      </c>
      <c r="X21" s="76">
        <f t="shared" si="11"/>
        <v>231834.51428993334</v>
      </c>
      <c r="Z21" s="77">
        <f t="shared" si="12"/>
        <v>1557264.2903999998</v>
      </c>
      <c r="AA21" s="77">
        <f t="shared" si="13"/>
        <v>5167256.8359149322</v>
      </c>
      <c r="AB21" s="77">
        <f t="shared" si="14"/>
        <v>10149968.784832902</v>
      </c>
      <c r="AC21" s="77">
        <f t="shared" si="15"/>
        <v>14994272.068503153</v>
      </c>
      <c r="AE21" s="76">
        <f>SUM(B21*(((_xlfn.XLOOKUP(A21,ShipTypes,LookupTables!$M$2:$M$39)*FT_CO2reduction)+(((_xlfn.XLOOKUP(A21,ShipTypes,LookupTables!$N$2:$N$39)))*FT_CO2reduction))*EUAprice)*EUA_24)</f>
        <v>61650.327229919989</v>
      </c>
      <c r="AF21" s="76">
        <f>SUM(B21*(((_xlfn.XLOOKUP(A21,ShipTypes,LookupTables!$R$2:$R$39)*FT_CO2reduction)+(((_xlfn.XLOOKUP(A21,ShipTypes,LookupTables!$S$2:$S$39)))*FT_CO2reduction))*EUAfuture25)*EUA_25)</f>
        <v>207723.72480378026</v>
      </c>
      <c r="AG21" s="76">
        <f>SUM(B21*(((_xlfn.XLOOKUP(A21,ShipTypes,LookupTables!$R$2:$R$39)*FT_CO2reduction)+(((_xlfn.XLOOKUP(A21,ShipTypes,LookupTables!$S$2:$S$39)))*FT_CO2reduction))*EUAfuture26)*EUA_26)</f>
        <v>285620.12160519784</v>
      </c>
      <c r="AH21" s="76">
        <f>SUM(B21*(((_xlfn.XLOOKUP(A21,ShipTypes,LookupTables!$R$2:$R$39)*FT_CO2reduction)+(((_xlfn.XLOOKUP(A21,ShipTypes,LookupTables!$S$2:$S$39)))*FT_CO2reduction))*EUAfuture27)*EUA_27)</f>
        <v>602769.73715382675</v>
      </c>
    </row>
    <row r="22" spans="1:34" ht="16.5">
      <c r="A22" s="67" t="str">
        <f>LookupTables!A21</f>
        <v>Tanker (VLCC/CapeSize)</v>
      </c>
      <c r="B22" s="68">
        <v>1</v>
      </c>
      <c r="C22" s="69">
        <f>SUM(LookupTables!H21*B22)</f>
        <v>104455.51999999999</v>
      </c>
      <c r="D22" s="70">
        <f t="shared" si="0"/>
        <v>4199.1119039999994</v>
      </c>
      <c r="E22" s="69">
        <f>B22*LookupTables!I21</f>
        <v>157120.94862879999</v>
      </c>
      <c r="F22" s="70">
        <f t="shared" si="1"/>
        <v>6473.3830835065601</v>
      </c>
      <c r="G22" s="71">
        <f>SUM($B22*((LookupTables!$J21+LookupTables!$K21)*FT_FraudReductionConservative))</f>
        <v>179065.60000000001</v>
      </c>
      <c r="H22" s="72">
        <f>SUM($B22*((LookupTables!$J21+LookupTables!$K21)*FT_FraudReductionConservative))</f>
        <v>179065.60000000001</v>
      </c>
      <c r="I22" s="72">
        <f>SUM($B22*((LookupTables!$J21+LookupTables!$K21)*FT_FraudReductionConservative))</f>
        <v>179065.60000000001</v>
      </c>
      <c r="J22" s="73">
        <f>SUM($B22*((LookupTables!$J21+LookupTables!$K21)*FT_FraudReductionConservative))</f>
        <v>179065.60000000001</v>
      </c>
      <c r="K22" s="74">
        <f t="shared" si="2"/>
        <v>220485.63982105599</v>
      </c>
      <c r="L22" s="74">
        <f t="shared" si="17"/>
        <v>403229.74316681165</v>
      </c>
      <c r="M22" s="74">
        <f t="shared" si="18"/>
        <v>403229.74316681165</v>
      </c>
      <c r="N22" s="74">
        <f t="shared" si="19"/>
        <v>499300.09023830236</v>
      </c>
      <c r="P22" s="75">
        <f t="shared" si="4"/>
        <v>2150909.7791999993</v>
      </c>
      <c r="Q22" s="75">
        <f t="shared" si="5"/>
        <v>5576222.4668361107</v>
      </c>
      <c r="R22" s="75">
        <f t="shared" si="6"/>
        <v>5576222.4668361107</v>
      </c>
      <c r="S22" s="75">
        <f t="shared" si="7"/>
        <v>7966032.095480158</v>
      </c>
      <c r="U22" s="76">
        <f t="shared" si="8"/>
        <v>41420.039821055994</v>
      </c>
      <c r="V22" s="76">
        <f t="shared" si="9"/>
        <v>224164.14316681161</v>
      </c>
      <c r="W22" s="76">
        <f t="shared" si="10"/>
        <v>224164.14316681161</v>
      </c>
      <c r="X22" s="76">
        <f t="shared" si="11"/>
        <v>320234.49023830233</v>
      </c>
      <c r="Z22" s="77">
        <f t="shared" si="12"/>
        <v>2150909.7791999993</v>
      </c>
      <c r="AA22" s="77">
        <f t="shared" si="13"/>
        <v>7137564.7575502209</v>
      </c>
      <c r="AB22" s="77">
        <f t="shared" si="14"/>
        <v>14020216.488045078</v>
      </c>
      <c r="AC22" s="77">
        <f t="shared" si="15"/>
        <v>20711683.448248412</v>
      </c>
      <c r="AE22" s="76">
        <f>SUM(B22*(((_xlfn.XLOOKUP(A22,ShipTypes,LookupTables!$M$2:$M$39)*FT_CO2reduction)+(((_xlfn.XLOOKUP(A22,ShipTypes,LookupTables!$N$2:$N$39)))*FT_CO2reduction))*EUAprice)*EUA_24)</f>
        <v>85157.989413119998</v>
      </c>
      <c r="AF22" s="76">
        <f>SUM(B22*(((_xlfn.XLOOKUP(A22,ShipTypes,LookupTables!$R$2:$R$39)*FT_CO2reduction)+(((_xlfn.XLOOKUP(A22,ShipTypes,LookupTables!$S$2:$S$39)))*FT_CO2reduction))*EUAfuture25)*EUA_25)</f>
        <v>286930.10325351887</v>
      </c>
      <c r="AG22" s="76">
        <f>SUM(B22*(((_xlfn.XLOOKUP(A22,ShipTypes,LookupTables!$R$2:$R$39)*FT_CO2reduction)+(((_xlfn.XLOOKUP(A22,ShipTypes,LookupTables!$S$2:$S$39)))*FT_CO2reduction))*EUAfuture26)*EUA_26)</f>
        <v>394528.89197358844</v>
      </c>
      <c r="AH22" s="76">
        <f>SUM(B22*(((_xlfn.XLOOKUP(A22,ShipTypes,LookupTables!$R$2:$R$39)*FT_CO2reduction)+(((_xlfn.XLOOKUP(A22,ShipTypes,LookupTables!$S$2:$S$39)))*FT_CO2reduction))*EUAfuture27)*EUA_27)</f>
        <v>832609.67461958609</v>
      </c>
    </row>
    <row r="23" spans="1:34" ht="16.5">
      <c r="A23" s="67" t="str">
        <f>LookupTables!A22</f>
        <v>ULCC</v>
      </c>
      <c r="B23" s="68">
        <v>1</v>
      </c>
      <c r="C23" s="78">
        <f>SUM(LookupTables!H22*B23)</f>
        <v>149207.75999999998</v>
      </c>
      <c r="D23" s="79">
        <f t="shared" si="0"/>
        <v>5998.1519519999993</v>
      </c>
      <c r="E23" s="78">
        <f>B23*LookupTables!I22</f>
        <v>224436.82051439997</v>
      </c>
      <c r="F23" s="79">
        <f t="shared" si="1"/>
        <v>9246.7970051932789</v>
      </c>
      <c r="G23" s="80">
        <f>SUM($B23*((LookupTables!$J22+LookupTables!$K22)*FT_FraudReductionConservative))</f>
        <v>255926.39999999999</v>
      </c>
      <c r="H23" s="81">
        <f>SUM($B23*((LookupTables!$J22+LookupTables!$K22)*FT_FraudReductionConservative))</f>
        <v>255926.39999999999</v>
      </c>
      <c r="I23" s="81">
        <f>SUM($B23*((LookupTables!$J22+LookupTables!$K22)*FT_FraudReductionConservative))</f>
        <v>255926.39999999999</v>
      </c>
      <c r="J23" s="82">
        <f>SUM($B23*((LookupTables!$J22+LookupTables!$K22)*FT_FraudReductionConservative))</f>
        <v>255926.39999999999</v>
      </c>
      <c r="K23" s="83">
        <f t="shared" si="2"/>
        <v>315092.17085452797</v>
      </c>
      <c r="L23" s="83">
        <f t="shared" si="17"/>
        <v>576129.96295425331</v>
      </c>
      <c r="M23" s="83">
        <f t="shared" si="18"/>
        <v>576129.96295425331</v>
      </c>
      <c r="N23" s="83">
        <f t="shared" si="19"/>
        <v>713360.06136321905</v>
      </c>
      <c r="P23" s="75">
        <f t="shared" si="4"/>
        <v>3072393.7171199997</v>
      </c>
      <c r="Q23" s="75">
        <f t="shared" si="5"/>
        <v>7965262.7600560524</v>
      </c>
      <c r="R23" s="75">
        <f t="shared" si="6"/>
        <v>7965262.7600560524</v>
      </c>
      <c r="S23" s="75">
        <f t="shared" si="7"/>
        <v>11378946.800080076</v>
      </c>
      <c r="U23" s="76">
        <f t="shared" si="8"/>
        <v>59165.770854527989</v>
      </c>
      <c r="V23" s="76">
        <f t="shared" si="9"/>
        <v>320203.56295425334</v>
      </c>
      <c r="W23" s="81">
        <f t="shared" si="10"/>
        <v>320203.56295425334</v>
      </c>
      <c r="X23" s="82">
        <f t="shared" si="11"/>
        <v>457433.66136321909</v>
      </c>
      <c r="Z23" s="77">
        <f t="shared" si="12"/>
        <v>3072393.7171199997</v>
      </c>
      <c r="AA23" s="77">
        <f t="shared" si="13"/>
        <v>10195536.332871746</v>
      </c>
      <c r="AB23" s="77">
        <f t="shared" si="14"/>
        <v>20026946.368140932</v>
      </c>
      <c r="AC23" s="77">
        <f t="shared" si="15"/>
        <v>29585261.680208199</v>
      </c>
      <c r="AE23" s="76">
        <f>SUM(B23*(((_xlfn.XLOOKUP(A23,ShipTypes,LookupTables!$M$2:$M$39)*FT_CO2reduction)+(((_xlfn.XLOOKUP(A23,ShipTypes,LookupTables!$N$2:$N$39)))*FT_CO2reduction))*EUAprice)*EUA_24)</f>
        <v>121642.52158656</v>
      </c>
      <c r="AF23" s="76">
        <f>SUM(B23*(((_xlfn.XLOOKUP(A23,ShipTypes,LookupTables!$R$2:$R$39)*FT_CO2reduction)+(((_xlfn.XLOOKUP(A23,ShipTypes,LookupTables!$S$2:$S$39)))*FT_CO2reduction))*EUAfuture25)*EUA_25)</f>
        <v>409860.5605814443</v>
      </c>
      <c r="AG23" s="76">
        <f>SUM(B23*(((_xlfn.XLOOKUP(A23,ShipTypes,LookupTables!$R$2:$R$39)*FT_CO2reduction)+(((_xlfn.XLOOKUP(A23,ShipTypes,LookupTables!$S$2:$S$39)))*FT_CO2reduction))*EUAfuture26)*EUA_26)</f>
        <v>563558.27079948585</v>
      </c>
      <c r="AH23" s="76">
        <f>SUM(B23*(((_xlfn.XLOOKUP(A23,ShipTypes,LookupTables!$R$2:$R$39)*FT_CO2reduction)+(((_xlfn.XLOOKUP(A23,ShipTypes,LookupTables!$S$2:$S$39)))*FT_CO2reduction))*EUAfuture27)*EUA_27)</f>
        <v>1189327.5195443698</v>
      </c>
    </row>
    <row r="24" spans="1:34" ht="16.5">
      <c r="A24" s="67" t="str">
        <f>LookupTables!A23</f>
        <v>Coastal Chemical Tanker - IMO3</v>
      </c>
      <c r="B24" s="68">
        <v>1</v>
      </c>
      <c r="C24" s="69">
        <f>SUM(LookupTables!H23*B24)</f>
        <v>17744.82</v>
      </c>
      <c r="D24" s="70">
        <f t="shared" si="0"/>
        <v>713.34176400000001</v>
      </c>
      <c r="E24" s="69">
        <f>B24*LookupTables!I23</f>
        <v>26691.580795799997</v>
      </c>
      <c r="F24" s="70">
        <f t="shared" si="1"/>
        <v>1099.69312878696</v>
      </c>
      <c r="G24" s="71">
        <f>SUM($B24*((LookupTables!$J23+LookupTables!$K23)*FT_FraudReductionConservative))</f>
        <v>33617.599999999999</v>
      </c>
      <c r="H24" s="72">
        <f>SUM($B24*((LookupTables!$J23+LookupTables!$K23)*FT_FraudReductionConservative))</f>
        <v>33617.599999999999</v>
      </c>
      <c r="I24" s="72">
        <f>SUM($B24*((LookupTables!$J23+LookupTables!$K23)*FT_FraudReductionConservative))</f>
        <v>33617.599999999999</v>
      </c>
      <c r="J24" s="73">
        <f>SUM($B24*((LookupTables!$J23+LookupTables!$K23)*FT_FraudReductionConservative))</f>
        <v>33617.599999999999</v>
      </c>
      <c r="K24" s="74">
        <f t="shared" si="2"/>
        <v>40654.003160095999</v>
      </c>
      <c r="L24" s="74">
        <f t="shared" si="17"/>
        <v>71698.424938206255</v>
      </c>
      <c r="M24" s="74">
        <f t="shared" si="18"/>
        <v>71698.424938206255</v>
      </c>
      <c r="N24" s="74">
        <f t="shared" si="19"/>
        <v>88018.778483151807</v>
      </c>
      <c r="P24" s="75">
        <f t="shared" si="4"/>
        <v>359864.94959999999</v>
      </c>
      <c r="Q24" s="75">
        <f t="shared" si="5"/>
        <v>947284.20244294184</v>
      </c>
      <c r="R24" s="75">
        <f t="shared" si="6"/>
        <v>947284.20244294184</v>
      </c>
      <c r="S24" s="75">
        <f t="shared" si="7"/>
        <v>1353263.1463470599</v>
      </c>
      <c r="U24" s="76">
        <f t="shared" si="8"/>
        <v>7036.4031600959988</v>
      </c>
      <c r="V24" s="76">
        <f t="shared" si="9"/>
        <v>38080.824938206257</v>
      </c>
      <c r="W24" s="76">
        <f t="shared" si="10"/>
        <v>38080.824938206257</v>
      </c>
      <c r="X24" s="76">
        <f t="shared" si="11"/>
        <v>54401.178483151802</v>
      </c>
      <c r="Z24" s="77">
        <f t="shared" si="12"/>
        <v>359864.94959999999</v>
      </c>
      <c r="AA24" s="77">
        <f t="shared" si="13"/>
        <v>1212523.7791269654</v>
      </c>
      <c r="AB24" s="77">
        <f t="shared" si="14"/>
        <v>2381743.1375708249</v>
      </c>
      <c r="AC24" s="77">
        <f t="shared" si="15"/>
        <v>3518484.1805023556</v>
      </c>
      <c r="AE24" s="76">
        <f>SUM(B24*(((_xlfn.XLOOKUP(A24,ShipTypes,LookupTables!$M$2:$M$39)*FT_CO2reduction)+(((_xlfn.XLOOKUP(A24,ShipTypes,LookupTables!$N$2:$N$39)))*FT_CO2reduction))*EUAprice)*EUA_24)</f>
        <v>14466.570973920003</v>
      </c>
      <c r="AF24" s="76">
        <f>SUM(B24*(((_xlfn.XLOOKUP(A24,ShipTypes,LookupTables!$R$2:$R$39)*FT_CO2reduction)+(((_xlfn.XLOOKUP(A24,ShipTypes,LookupTables!$S$2:$S$39)))*FT_CO2reduction))*EUAfuture25)*EUA_25)</f>
        <v>48743.455920904016</v>
      </c>
      <c r="AG24" s="76">
        <f>SUM(B24*(((_xlfn.XLOOKUP(A24,ShipTypes,LookupTables!$R$2:$R$39)*FT_CO2reduction)+(((_xlfn.XLOOKUP(A24,ShipTypes,LookupTables!$S$2:$S$39)))*FT_CO2reduction))*EUAfuture26)*EUA_26)</f>
        <v>67022.251891243024</v>
      </c>
      <c r="AH24" s="76">
        <f>SUM(B24*(((_xlfn.XLOOKUP(A24,ShipTypes,LookupTables!$R$2:$R$39)*FT_CO2reduction)+(((_xlfn.XLOOKUP(A24,ShipTypes,LookupTables!$S$2:$S$39)))*FT_CO2reduction))*EUAfuture27)*EUA_27)</f>
        <v>141443.06405619468</v>
      </c>
    </row>
    <row r="25" spans="1:34" ht="16.5">
      <c r="A25" s="67" t="str">
        <f>LookupTables!A24</f>
        <v>Handy Chemical Tanker</v>
      </c>
      <c r="B25" s="68">
        <v>1</v>
      </c>
      <c r="C25" s="78">
        <f>SUM(LookupTables!H24*B25)</f>
        <v>22375.7</v>
      </c>
      <c r="D25" s="79">
        <f t="shared" si="0"/>
        <v>899.50314000000003</v>
      </c>
      <c r="E25" s="78">
        <f>B25*LookupTables!I24</f>
        <v>33657.304183</v>
      </c>
      <c r="F25" s="79">
        <f t="shared" si="1"/>
        <v>1386.6809323396001</v>
      </c>
      <c r="G25" s="80">
        <f>SUM($B25*((LookupTables!$J24+LookupTables!$K24)*FT_FraudReductionConservative))</f>
        <v>42352</v>
      </c>
      <c r="H25" s="81">
        <f>SUM($B25*((LookupTables!$J24+LookupTables!$K24)*FT_FraudReductionConservative))</f>
        <v>42352</v>
      </c>
      <c r="I25" s="81">
        <f>SUM($B25*((LookupTables!$J24+LookupTables!$K24)*FT_FraudReductionConservative))</f>
        <v>42352</v>
      </c>
      <c r="J25" s="82">
        <f>SUM($B25*((LookupTables!$J24+LookupTables!$K24)*FT_FraudReductionConservative))</f>
        <v>42352</v>
      </c>
      <c r="K25" s="83">
        <f t="shared" si="2"/>
        <v>51224.698972960003</v>
      </c>
      <c r="L25" s="83">
        <f t="shared" si="17"/>
        <v>90370.808563277737</v>
      </c>
      <c r="M25" s="83">
        <f t="shared" si="18"/>
        <v>90370.808563277737</v>
      </c>
      <c r="N25" s="83">
        <f t="shared" si="19"/>
        <v>110950.29794753961</v>
      </c>
      <c r="P25" s="75">
        <f t="shared" si="4"/>
        <v>453779.196</v>
      </c>
      <c r="Q25" s="75">
        <f t="shared" si="5"/>
        <v>1194497.7254546699</v>
      </c>
      <c r="R25" s="75">
        <f t="shared" si="6"/>
        <v>1194497.7254546699</v>
      </c>
      <c r="S25" s="75">
        <f t="shared" si="7"/>
        <v>1706425.3220780999</v>
      </c>
      <c r="U25" s="76">
        <f t="shared" si="8"/>
        <v>8872.6989729600009</v>
      </c>
      <c r="V25" s="76">
        <f t="shared" si="9"/>
        <v>48018.808563277729</v>
      </c>
      <c r="W25" s="76">
        <f t="shared" si="10"/>
        <v>48018.808563277729</v>
      </c>
      <c r="X25" s="76">
        <f t="shared" si="11"/>
        <v>68598.297947539613</v>
      </c>
      <c r="Z25" s="77">
        <f t="shared" si="12"/>
        <v>453779.196</v>
      </c>
      <c r="AA25" s="77">
        <f t="shared" si="13"/>
        <v>1528957.0885819774</v>
      </c>
      <c r="AB25" s="77">
        <f t="shared" si="14"/>
        <v>3003308.5668574558</v>
      </c>
      <c r="AC25" s="77">
        <f t="shared" si="15"/>
        <v>4436705.8374030599</v>
      </c>
      <c r="AE25" s="76">
        <f>SUM(B25*(((_xlfn.XLOOKUP(A25,ShipTypes,LookupTables!$M$2:$M$39)*FT_CO2reduction)+(((_xlfn.XLOOKUP(A25,ShipTypes,LookupTables!$N$2:$N$39)))*FT_CO2reduction))*EUAprice)*EUA_24)</f>
        <v>18241.923679200001</v>
      </c>
      <c r="AF25" s="76">
        <f>SUM(B25*(((_xlfn.XLOOKUP(A25,ShipTypes,LookupTables!$R$2:$R$39)*FT_CO2reduction)+(((_xlfn.XLOOKUP(A25,ShipTypes,LookupTables!$S$2:$S$39)))*FT_CO2reduction))*EUAfuture25)*EUA_25)</f>
        <v>61464.07496099548</v>
      </c>
      <c r="AG25" s="76">
        <f>SUM(B25*(((_xlfn.XLOOKUP(A25,ShipTypes,LookupTables!$R$2:$R$39)*FT_CO2reduction)+(((_xlfn.XLOOKUP(A25,ShipTypes,LookupTables!$S$2:$S$39)))*FT_CO2reduction))*EUAfuture26)*EUA_26)</f>
        <v>84513.10307136878</v>
      </c>
      <c r="AH25" s="76">
        <f>SUM(B25*(((_xlfn.XLOOKUP(A25,ShipTypes,LookupTables!$R$2:$R$39)*FT_CO2reduction)+(((_xlfn.XLOOKUP(A25,ShipTypes,LookupTables!$S$2:$S$39)))*FT_CO2reduction))*EUAfuture27)*EUA_27)</f>
        <v>178355.57466360298</v>
      </c>
    </row>
    <row r="26" spans="1:34" ht="16.5">
      <c r="A26" s="67" t="str">
        <f>LookupTables!A25</f>
        <v>Medium Chemical Tanker</v>
      </c>
      <c r="B26" s="68">
        <v>1</v>
      </c>
      <c r="C26" s="69">
        <f>SUM(LookupTables!H25*B26)</f>
        <v>36495.635999999999</v>
      </c>
      <c r="D26" s="70">
        <f t="shared" si="0"/>
        <v>1467.1245672</v>
      </c>
      <c r="E26" s="69">
        <f>B26*LookupTables!I25</f>
        <v>54896.370714839992</v>
      </c>
      <c r="F26" s="70">
        <f t="shared" si="1"/>
        <v>2261.7304734514078</v>
      </c>
      <c r="G26" s="71">
        <f>SUM($B26*((LookupTables!$J25+LookupTables!$K25)*FT_FraudReductionConservative))</f>
        <v>68017.600000000006</v>
      </c>
      <c r="H26" s="72">
        <f>SUM($B26*((LookupTables!$J25+LookupTables!$K25)*FT_FraudReductionConservative))</f>
        <v>68017.600000000006</v>
      </c>
      <c r="I26" s="72">
        <f>SUM($B26*((LookupTables!$J25+LookupTables!$K25)*FT_FraudReductionConservative))</f>
        <v>68017.600000000006</v>
      </c>
      <c r="J26" s="73">
        <f>SUM($B26*((LookupTables!$J25+LookupTables!$K25)*FT_FraudReductionConservative))</f>
        <v>68017.600000000006</v>
      </c>
      <c r="K26" s="74">
        <f t="shared" si="2"/>
        <v>82489.31673086081</v>
      </c>
      <c r="L26" s="74">
        <f t="shared" si="17"/>
        <v>146338.14230612078</v>
      </c>
      <c r="M26" s="74">
        <f t="shared" si="18"/>
        <v>146338.14230612078</v>
      </c>
      <c r="N26" s="74">
        <f t="shared" si="19"/>
        <v>179904.08900874399</v>
      </c>
      <c r="P26" s="75">
        <f t="shared" si="4"/>
        <v>740131.49807999993</v>
      </c>
      <c r="Q26" s="75">
        <f t="shared" si="5"/>
        <v>1948272.1966696712</v>
      </c>
      <c r="R26" s="75">
        <f t="shared" si="6"/>
        <v>1948272.1966696712</v>
      </c>
      <c r="S26" s="75">
        <f t="shared" si="7"/>
        <v>2783245.9952423875</v>
      </c>
      <c r="U26" s="76">
        <f t="shared" si="8"/>
        <v>14471.716730860799</v>
      </c>
      <c r="V26" s="76">
        <f t="shared" si="9"/>
        <v>78320.542306120769</v>
      </c>
      <c r="W26" s="81">
        <f t="shared" si="10"/>
        <v>78320.542306120769</v>
      </c>
      <c r="X26" s="82">
        <f t="shared" si="11"/>
        <v>111886.48900874397</v>
      </c>
      <c r="Z26" s="77">
        <f t="shared" si="12"/>
        <v>740131.49807999993</v>
      </c>
      <c r="AA26" s="77">
        <f t="shared" si="13"/>
        <v>2493788.4117371789</v>
      </c>
      <c r="AB26" s="77">
        <f t="shared" si="14"/>
        <v>4898512.9516266016</v>
      </c>
      <c r="AC26" s="77">
        <f t="shared" si="15"/>
        <v>7236439.5876302077</v>
      </c>
      <c r="AE26" s="76">
        <f>SUM(B26*(((_xlfn.XLOOKUP(A26,ShipTypes,LookupTables!$M$2:$M$39)*FT_CO2reduction)+(((_xlfn.XLOOKUP(A26,ShipTypes,LookupTables!$N$2:$N$39)))*FT_CO2reduction))*EUAprice)*EUA_24)</f>
        <v>29753.286222815997</v>
      </c>
      <c r="AF26" s="76">
        <f>SUM(B26*(((_xlfn.XLOOKUP(A26,ShipTypes,LookupTables!$R$2:$R$39)*FT_CO2reduction)+(((_xlfn.XLOOKUP(A26,ShipTypes,LookupTables!$S$2:$S$39)))*FT_CO2reduction))*EUAfuture25)*EUA_25)</f>
        <v>100250.29415183461</v>
      </c>
      <c r="AG26" s="76">
        <f>SUM(B26*(((_xlfn.XLOOKUP(A26,ShipTypes,LookupTables!$R$2:$R$39)*FT_CO2reduction)+(((_xlfn.XLOOKUP(A26,ShipTypes,LookupTables!$S$2:$S$39)))*FT_CO2reduction))*EUAfuture26)*EUA_26)</f>
        <v>137844.15445877257</v>
      </c>
      <c r="AH26" s="76">
        <f>SUM(B26*(((_xlfn.XLOOKUP(A26,ShipTypes,LookupTables!$R$2:$R$39)*FT_CO2reduction)+(((_xlfn.XLOOKUP(A26,ShipTypes,LookupTables!$S$2:$S$39)))*FT_CO2reduction))*EUAfuture27)*EUA_27)</f>
        <v>290904.87142273434</v>
      </c>
    </row>
    <row r="27" spans="1:34" ht="16.5">
      <c r="A27" s="67" t="str">
        <f>LookupTables!A26</f>
        <v>Large Chemical Tanker</v>
      </c>
      <c r="B27" s="68">
        <v>1</v>
      </c>
      <c r="C27" s="78">
        <f>SUM(LookupTables!H26*B27)</f>
        <v>51169.01</v>
      </c>
      <c r="D27" s="79">
        <f t="shared" si="0"/>
        <v>2056.9942019999999</v>
      </c>
      <c r="E27" s="78">
        <f>B27*LookupTables!I26</f>
        <v>76967.913151899993</v>
      </c>
      <c r="F27" s="79">
        <f t="shared" si="1"/>
        <v>3171.07802185828</v>
      </c>
      <c r="G27" s="80">
        <f>SUM($B27*((LookupTables!$J26+LookupTables!$K26)*FT_FraudReductionConservative))</f>
        <v>93660</v>
      </c>
      <c r="H27" s="81">
        <f>SUM($B27*((LookupTables!$J26+LookupTables!$K26)*FT_FraudReductionConservative))</f>
        <v>93660</v>
      </c>
      <c r="I27" s="81">
        <f>SUM($B27*((LookupTables!$J26+LookupTables!$K26)*FT_FraudReductionConservative))</f>
        <v>93660</v>
      </c>
      <c r="J27" s="82">
        <f>SUM($B27*((LookupTables!$J26+LookupTables!$K26)*FT_FraudReductionConservative))</f>
        <v>93660</v>
      </c>
      <c r="K27" s="83">
        <f t="shared" si="2"/>
        <v>113950.190808528</v>
      </c>
      <c r="L27" s="83">
        <f t="shared" si="17"/>
        <v>203469.96775798942</v>
      </c>
      <c r="M27" s="83">
        <f t="shared" si="18"/>
        <v>203469.96775798942</v>
      </c>
      <c r="N27" s="83">
        <f t="shared" si="19"/>
        <v>250531.38251141345</v>
      </c>
      <c r="P27" s="75">
        <f t="shared" si="4"/>
        <v>1052084.5826400002</v>
      </c>
      <c r="Q27" s="75">
        <f t="shared" si="5"/>
        <v>2731591.2377609303</v>
      </c>
      <c r="R27" s="75">
        <f t="shared" si="6"/>
        <v>2731591.2377609303</v>
      </c>
      <c r="S27" s="75">
        <f t="shared" si="7"/>
        <v>3902273.1968013295</v>
      </c>
      <c r="U27" s="76">
        <f t="shared" si="8"/>
        <v>20290.190808528001</v>
      </c>
      <c r="V27" s="76">
        <f t="shared" si="9"/>
        <v>109809.96775798941</v>
      </c>
      <c r="W27" s="76">
        <f t="shared" si="10"/>
        <v>109809.96775798941</v>
      </c>
      <c r="X27" s="76">
        <f t="shared" si="11"/>
        <v>156871.38251141345</v>
      </c>
      <c r="Z27" s="77">
        <f t="shared" si="12"/>
        <v>1052084.5826400002</v>
      </c>
      <c r="AA27" s="77">
        <f t="shared" si="13"/>
        <v>3496436.7843339909</v>
      </c>
      <c r="AB27" s="77">
        <f t="shared" si="14"/>
        <v>6868000.8263703389</v>
      </c>
      <c r="AC27" s="77">
        <f t="shared" si="15"/>
        <v>10145910.311683457</v>
      </c>
      <c r="AE27" s="76">
        <f>SUM(B27*(((_xlfn.XLOOKUP(A27,ShipTypes,LookupTables!$M$2:$M$39)*FT_CO2reduction)+(((_xlfn.XLOOKUP(A27,ShipTypes,LookupTables!$N$2:$N$39)))*FT_CO2reduction))*EUAprice)*EUA_24)</f>
        <v>41715.842416559994</v>
      </c>
      <c r="AF27" s="76">
        <f>SUM(B27*(((_xlfn.XLOOKUP(A27,ShipTypes,LookupTables!$R$2:$R$39)*FT_CO2reduction)+(((_xlfn.XLOOKUP(A27,ShipTypes,LookupTables!$S$2:$S$39)))*FT_CO2reduction))*EUAfuture25)*EUA_25)</f>
        <v>140556.75873022643</v>
      </c>
      <c r="AG27" s="76">
        <f>SUM(B27*(((_xlfn.XLOOKUP(A27,ShipTypes,LookupTables!$R$2:$R$39)*FT_CO2reduction)+(((_xlfn.XLOOKUP(A27,ShipTypes,LookupTables!$S$2:$S$39)))*FT_CO2reduction))*EUAfuture26)*EUA_26)</f>
        <v>193265.54325406137</v>
      </c>
      <c r="AH27" s="76">
        <f>SUM(B27*(((_xlfn.XLOOKUP(A27,ShipTypes,LookupTables!$R$2:$R$39)*FT_CO2reduction)+(((_xlfn.XLOOKUP(A27,ShipTypes,LookupTables!$S$2:$S$39)))*FT_CO2reduction))*EUAfuture27)*EUA_27)</f>
        <v>407865.59452967497</v>
      </c>
    </row>
    <row r="28" spans="1:34" ht="16.5">
      <c r="A28" s="67" t="str">
        <f>LookupTables!A27</f>
        <v>Small Scale LNG Carrier</v>
      </c>
      <c r="B28" s="68">
        <v>1</v>
      </c>
      <c r="C28" s="69">
        <f>SUM(LookupTables!H27*B28)</f>
        <v>19219.579999999998</v>
      </c>
      <c r="D28" s="70">
        <f t="shared" si="0"/>
        <v>772.62711599999989</v>
      </c>
      <c r="E28" s="69">
        <f>B28*LookupTables!I27</f>
        <v>28909.900040199995</v>
      </c>
      <c r="F28" s="70">
        <f t="shared" si="1"/>
        <v>1191.0878816562397</v>
      </c>
      <c r="G28" s="71">
        <f>SUM($B28*((LookupTables!$J27+LookupTables!$K27)*FT_FraudReductionConservative))</f>
        <v>37886.400000000001</v>
      </c>
      <c r="H28" s="72">
        <f>SUM($B28*((LookupTables!$J27+LookupTables!$K27)*FT_FraudReductionConservative))</f>
        <v>37886.400000000001</v>
      </c>
      <c r="I28" s="72">
        <f>SUM($B28*((LookupTables!$J27+LookupTables!$K27)*FT_FraudReductionConservative))</f>
        <v>37886.400000000001</v>
      </c>
      <c r="J28" s="73">
        <f>SUM($B28*((LookupTables!$J27+LookupTables!$K27)*FT_FraudReductionConservative))</f>
        <v>37886.400000000001</v>
      </c>
      <c r="K28" s="74">
        <f t="shared" si="2"/>
        <v>45507.593872224003</v>
      </c>
      <c r="L28" s="74">
        <f t="shared" si="17"/>
        <v>79132.09656755325</v>
      </c>
      <c r="M28" s="74">
        <f t="shared" si="18"/>
        <v>79132.09656755325</v>
      </c>
      <c r="N28" s="74">
        <f t="shared" si="19"/>
        <v>96808.823667933219</v>
      </c>
      <c r="P28" s="75">
        <f t="shared" si="4"/>
        <v>389773.08239999996</v>
      </c>
      <c r="Q28" s="75">
        <f t="shared" si="5"/>
        <v>1026012.3524266977</v>
      </c>
      <c r="R28" s="75">
        <f t="shared" si="6"/>
        <v>1026012.3524266977</v>
      </c>
      <c r="S28" s="75">
        <f t="shared" si="7"/>
        <v>1465731.9320381398</v>
      </c>
      <c r="U28" s="76">
        <f t="shared" si="8"/>
        <v>7621.1938722239993</v>
      </c>
      <c r="V28" s="76">
        <f t="shared" si="9"/>
        <v>41245.696567553248</v>
      </c>
      <c r="W28" s="76">
        <f t="shared" si="10"/>
        <v>41245.696567553248</v>
      </c>
      <c r="X28" s="76">
        <f t="shared" si="11"/>
        <v>58922.423667933217</v>
      </c>
      <c r="Z28" s="77">
        <f t="shared" si="12"/>
        <v>389773.08239999996</v>
      </c>
      <c r="AA28" s="77">
        <f t="shared" si="13"/>
        <v>1313295.8111061733</v>
      </c>
      <c r="AB28" s="77">
        <f t="shared" si="14"/>
        <v>2579688.2003871258</v>
      </c>
      <c r="AC28" s="77">
        <f t="shared" si="15"/>
        <v>3810903.0232991637</v>
      </c>
      <c r="AE28" s="76">
        <f>SUM(B28*(((_xlfn.XLOOKUP(A28,ShipTypes,LookupTables!$M$2:$M$39)*FT_CO2reduction)+(((_xlfn.XLOOKUP(A28,ShipTypes,LookupTables!$N$2:$N$39)))*FT_CO2reduction))*EUAprice)*EUA_24)</f>
        <v>15668.877912479998</v>
      </c>
      <c r="AF28" s="76">
        <f>SUM(B28*(((_xlfn.XLOOKUP(A28,ShipTypes,LookupTables!$R$2:$R$39)*FT_CO2reduction)+(((_xlfn.XLOOKUP(A28,ShipTypes,LookupTables!$S$2:$S$39)))*FT_CO2reduction))*EUAfuture25)*EUA_25)</f>
        <v>52794.49160646816</v>
      </c>
      <c r="AG28" s="76">
        <f>SUM(B28*(((_xlfn.XLOOKUP(A28,ShipTypes,LookupTables!$R$2:$R$39)*FT_CO2reduction)+(((_xlfn.XLOOKUP(A28,ShipTypes,LookupTables!$S$2:$S$39)))*FT_CO2reduction))*EUAfuture26)*EUA_26)</f>
        <v>72592.425958893713</v>
      </c>
      <c r="AH28" s="76">
        <f>SUM(B28*(((_xlfn.XLOOKUP(A28,ShipTypes,LookupTables!$R$2:$R$39)*FT_CO2reduction)+(((_xlfn.XLOOKUP(A28,ShipTypes,LookupTables!$S$2:$S$39)))*FT_CO2reduction))*EUAfuture27)*EUA_27)</f>
        <v>153198.30153662636</v>
      </c>
    </row>
    <row r="29" spans="1:34" ht="16.5">
      <c r="A29" s="67" t="str">
        <f>LookupTables!A28</f>
        <v>Midsize LNG Carrier</v>
      </c>
      <c r="B29" s="68">
        <v>1</v>
      </c>
      <c r="C29" s="78">
        <f>SUM(LookupTables!H28*B29)</f>
        <v>24587.84</v>
      </c>
      <c r="D29" s="79">
        <f t="shared" si="0"/>
        <v>988.43116799999996</v>
      </c>
      <c r="E29" s="78">
        <f>B29*LookupTables!I28</f>
        <v>36984.783049599995</v>
      </c>
      <c r="F29" s="79">
        <f t="shared" si="1"/>
        <v>1523.7730616435199</v>
      </c>
      <c r="G29" s="80">
        <f>SUM($B29*((LookupTables!$J28+LookupTables!$K28)*FT_FraudReductionConservative))</f>
        <v>48755.200000000004</v>
      </c>
      <c r="H29" s="81">
        <f>SUM($B29*((LookupTables!$J28+LookupTables!$K28)*FT_FraudReductionConservative))</f>
        <v>48755.200000000004</v>
      </c>
      <c r="I29" s="81">
        <f>SUM($B29*((LookupTables!$J28+LookupTables!$K28)*FT_FraudReductionConservative))</f>
        <v>48755.200000000004</v>
      </c>
      <c r="J29" s="82">
        <f>SUM($B29*((LookupTables!$J28+LookupTables!$K28)*FT_FraudReductionConservative))</f>
        <v>48755.200000000004</v>
      </c>
      <c r="K29" s="83">
        <f t="shared" si="2"/>
        <v>58505.085041152</v>
      </c>
      <c r="L29" s="83">
        <f t="shared" si="17"/>
        <v>101521.31600729821</v>
      </c>
      <c r="M29" s="83">
        <f t="shared" si="18"/>
        <v>101521.31600729821</v>
      </c>
      <c r="N29" s="83">
        <f t="shared" si="19"/>
        <v>124135.36572471174</v>
      </c>
      <c r="P29" s="75">
        <f t="shared" si="4"/>
        <v>498641.39519999997</v>
      </c>
      <c r="Q29" s="75">
        <f t="shared" si="5"/>
        <v>1312589.9504303038</v>
      </c>
      <c r="R29" s="75">
        <f t="shared" si="6"/>
        <v>1312589.9504303038</v>
      </c>
      <c r="S29" s="75">
        <f t="shared" si="7"/>
        <v>1875128.5006147197</v>
      </c>
      <c r="U29" s="76">
        <f t="shared" si="8"/>
        <v>9749.8850411519979</v>
      </c>
      <c r="V29" s="76">
        <f t="shared" si="9"/>
        <v>52766.116007298217</v>
      </c>
      <c r="W29" s="81">
        <f t="shared" si="10"/>
        <v>52766.116007298217</v>
      </c>
      <c r="X29" s="82">
        <f t="shared" si="11"/>
        <v>75380.16572471174</v>
      </c>
      <c r="Z29" s="77">
        <f t="shared" si="12"/>
        <v>498641.39519999997</v>
      </c>
      <c r="AA29" s="77">
        <f t="shared" si="13"/>
        <v>1680115.1365507885</v>
      </c>
      <c r="AB29" s="77">
        <f t="shared" si="14"/>
        <v>3300226.1610819064</v>
      </c>
      <c r="AC29" s="77">
        <f t="shared" si="15"/>
        <v>4875334.1015982712</v>
      </c>
      <c r="AE29" s="76">
        <f>SUM(B29*(((_xlfn.XLOOKUP(A29,ShipTypes,LookupTables!$M$2:$M$39)*FT_CO2reduction)+(((_xlfn.XLOOKUP(A29,ShipTypes,LookupTables!$N$2:$N$39)))*FT_CO2reduction))*EUAprice)*EUA_24)</f>
        <v>20045.384087039998</v>
      </c>
      <c r="AF29" s="76">
        <f>SUM(B29*(((_xlfn.XLOOKUP(A29,ShipTypes,LookupTables!$R$2:$R$39)*FT_CO2reduction)+(((_xlfn.XLOOKUP(A29,ShipTypes,LookupTables!$S$2:$S$39)))*FT_CO2reduction))*EUAfuture25)*EUA_25)</f>
        <v>67540.628489341718</v>
      </c>
      <c r="AG29" s="76">
        <f>SUM(B29*(((_xlfn.XLOOKUP(A29,ShipTypes,LookupTables!$R$2:$R$39)*FT_CO2reduction)+(((_xlfn.XLOOKUP(A29,ShipTypes,LookupTables!$S$2:$S$39)))*FT_CO2reduction))*EUAfuture26)*EUA_26)</f>
        <v>92868.364172844842</v>
      </c>
      <c r="AH29" s="76">
        <f>SUM(B29*(((_xlfn.XLOOKUP(A29,ShipTypes,LookupTables!$R$2:$R$39)*FT_CO2reduction)+(((_xlfn.XLOOKUP(A29,ShipTypes,LookupTables!$S$2:$S$39)))*FT_CO2reduction))*EUAfuture27)*EUA_27)</f>
        <v>195988.43088425053</v>
      </c>
    </row>
    <row r="30" spans="1:34" ht="16.5">
      <c r="A30" s="67" t="str">
        <f>LookupTables!A29</f>
        <v>Large LNG Carrier (Panamax)</v>
      </c>
      <c r="B30" s="68">
        <v>1</v>
      </c>
      <c r="C30" s="69">
        <f>SUM(LookupTables!H29*B30)</f>
        <v>37778.035999999993</v>
      </c>
      <c r="D30" s="70">
        <f t="shared" si="0"/>
        <v>1518.6770471999996</v>
      </c>
      <c r="E30" s="69">
        <f>B30*LookupTables!I29</f>
        <v>56825.343970839989</v>
      </c>
      <c r="F30" s="70">
        <f t="shared" si="1"/>
        <v>2341.2041715986074</v>
      </c>
      <c r="G30" s="71">
        <f>SUM($B30*((LookupTables!$J29+LookupTables!$K29)*FT_FraudReductionConservative))</f>
        <v>71729.600000000006</v>
      </c>
      <c r="H30" s="72">
        <f>SUM($B30*((LookupTables!$J29+LookupTables!$K29)*FT_FraudReductionConservative))</f>
        <v>71729.600000000006</v>
      </c>
      <c r="I30" s="72">
        <f>SUM($B30*((LookupTables!$J29+LookupTables!$K29)*FT_FraudReductionConservative))</f>
        <v>71729.600000000006</v>
      </c>
      <c r="J30" s="73">
        <f>SUM($B30*((LookupTables!$J29+LookupTables!$K29)*FT_FraudReductionConservative))</f>
        <v>71729.600000000006</v>
      </c>
      <c r="K30" s="74">
        <f t="shared" si="2"/>
        <v>86709.830393580807</v>
      </c>
      <c r="L30" s="74">
        <f t="shared" si="17"/>
        <v>152802.20459250949</v>
      </c>
      <c r="M30" s="74">
        <f t="shared" si="18"/>
        <v>152802.20459250949</v>
      </c>
      <c r="N30" s="74">
        <f t="shared" si="19"/>
        <v>187547.60656072781</v>
      </c>
      <c r="P30" s="75">
        <f t="shared" si="4"/>
        <v>766138.57007999998</v>
      </c>
      <c r="Q30" s="75">
        <f t="shared" si="5"/>
        <v>2016731.4575251113</v>
      </c>
      <c r="R30" s="75">
        <f t="shared" si="6"/>
        <v>2016731.4575251113</v>
      </c>
      <c r="S30" s="75">
        <f t="shared" si="7"/>
        <v>2881044.9393215878</v>
      </c>
      <c r="U30" s="76">
        <f t="shared" si="8"/>
        <v>14980.2303935808</v>
      </c>
      <c r="V30" s="76">
        <f t="shared" si="9"/>
        <v>81072.604592509466</v>
      </c>
      <c r="W30" s="76">
        <f t="shared" si="10"/>
        <v>81072.604592509466</v>
      </c>
      <c r="X30" s="76">
        <f t="shared" si="11"/>
        <v>115818.00656072782</v>
      </c>
      <c r="Z30" s="77">
        <f t="shared" si="12"/>
        <v>766138.57007999998</v>
      </c>
      <c r="AA30" s="77">
        <f t="shared" si="13"/>
        <v>2581416.2656321423</v>
      </c>
      <c r="AB30" s="77">
        <f t="shared" si="14"/>
        <v>5070639.093205994</v>
      </c>
      <c r="AC30" s="77">
        <f t="shared" si="15"/>
        <v>7490716.8422361286</v>
      </c>
      <c r="AE30" s="76">
        <f>SUM(B30*(((_xlfn.XLOOKUP(A30,ShipTypes,LookupTables!$M$2:$M$39)*FT_CO2reduction)+(((_xlfn.XLOOKUP(A30,ShipTypes,LookupTables!$N$2:$N$39)))*FT_CO2reduction))*EUAprice)*EUA_24)</f>
        <v>30798.770517216002</v>
      </c>
      <c r="AF30" s="76">
        <f>SUM(B30*(((_xlfn.XLOOKUP(A30,ShipTypes,LookupTables!$R$2:$R$39)*FT_CO2reduction)+(((_xlfn.XLOOKUP(A30,ShipTypes,LookupTables!$S$2:$S$39)))*FT_CO2reduction))*EUAfuture25)*EUA_25)</f>
        <v>103772.93387841212</v>
      </c>
      <c r="AG30" s="76">
        <f>SUM(B30*(((_xlfn.XLOOKUP(A30,ShipTypes,LookupTables!$R$2:$R$39)*FT_CO2reduction)+(((_xlfn.XLOOKUP(A30,ShipTypes,LookupTables!$S$2:$S$39)))*FT_CO2reduction))*EUAfuture26)*EUA_26)</f>
        <v>142687.78408281665</v>
      </c>
      <c r="AH30" s="76">
        <f>SUM(B30*(((_xlfn.XLOOKUP(A30,ShipTypes,LookupTables!$R$2:$R$39)*FT_CO2reduction)+(((_xlfn.XLOOKUP(A30,ShipTypes,LookupTables!$S$2:$S$39)))*FT_CO2reduction))*EUAfuture27)*EUA_27)</f>
        <v>301126.81705789233</v>
      </c>
    </row>
    <row r="31" spans="1:34" ht="16.5">
      <c r="A31" s="67" t="str">
        <f>LookupTables!A30</f>
        <v>Q-Flex LNG Carrier</v>
      </c>
      <c r="B31" s="68">
        <v>1</v>
      </c>
      <c r="C31" s="78">
        <f>SUM(LookupTables!H30*B31)</f>
        <v>53092.61</v>
      </c>
      <c r="D31" s="79">
        <f t="shared" si="0"/>
        <v>2134.3229219999998</v>
      </c>
      <c r="E31" s="78">
        <f>B31*LookupTables!I30</f>
        <v>79861.373035899989</v>
      </c>
      <c r="F31" s="79">
        <f t="shared" si="1"/>
        <v>3290.2885690790795</v>
      </c>
      <c r="G31" s="80">
        <f>SUM($B31*((LookupTables!$J30+LookupTables!$K30)*FT_FraudReductionConservative))</f>
        <v>99228</v>
      </c>
      <c r="H31" s="81">
        <f>SUM($B31*((LookupTables!$J30+LookupTables!$K30)*FT_FraudReductionConservative))</f>
        <v>99228</v>
      </c>
      <c r="I31" s="81">
        <f>SUM($B31*((LookupTables!$J30+LookupTables!$K30)*FT_FraudReductionConservative))</f>
        <v>99228</v>
      </c>
      <c r="J31" s="82">
        <f>SUM($B31*((LookupTables!$J30+LookupTables!$K30)*FT_FraudReductionConservative))</f>
        <v>99228</v>
      </c>
      <c r="K31" s="83">
        <f t="shared" si="2"/>
        <v>120280.961302608</v>
      </c>
      <c r="L31" s="83">
        <f t="shared" si="17"/>
        <v>213166.06118757243</v>
      </c>
      <c r="M31" s="83">
        <f t="shared" si="18"/>
        <v>213166.06118757243</v>
      </c>
      <c r="N31" s="83">
        <f t="shared" si="19"/>
        <v>261996.65883938919</v>
      </c>
      <c r="P31" s="75">
        <f t="shared" si="4"/>
        <v>1091095.1906399999</v>
      </c>
      <c r="Q31" s="75">
        <f t="shared" si="5"/>
        <v>2834280.1290440904</v>
      </c>
      <c r="R31" s="75">
        <f t="shared" si="6"/>
        <v>2834280.1290440904</v>
      </c>
      <c r="S31" s="75">
        <f t="shared" si="7"/>
        <v>4048971.6129201297</v>
      </c>
      <c r="U31" s="76">
        <f t="shared" si="8"/>
        <v>21052.961302608001</v>
      </c>
      <c r="V31" s="76">
        <f t="shared" si="9"/>
        <v>113938.06118757243</v>
      </c>
      <c r="W31" s="76">
        <f t="shared" si="10"/>
        <v>113938.06118757243</v>
      </c>
      <c r="X31" s="76">
        <f t="shared" si="11"/>
        <v>162768.65883938919</v>
      </c>
      <c r="Z31" s="77">
        <f t="shared" si="12"/>
        <v>1091095.1906399999</v>
      </c>
      <c r="AA31" s="77">
        <f t="shared" si="13"/>
        <v>3627878.5651764362</v>
      </c>
      <c r="AB31" s="77">
        <f t="shared" si="14"/>
        <v>7126190.0387394279</v>
      </c>
      <c r="AC31" s="77">
        <f t="shared" si="15"/>
        <v>10527326.193592338</v>
      </c>
      <c r="AE31" s="76">
        <f>SUM(B31*(((_xlfn.XLOOKUP(A31,ShipTypes,LookupTables!$M$2:$M$39)*FT_CO2reduction)+(((_xlfn.XLOOKUP(A31,ShipTypes,LookupTables!$N$2:$N$39)))*FT_CO2reduction))*EUAprice)*EUA_24)</f>
        <v>43284.068858159997</v>
      </c>
      <c r="AF31" s="76">
        <f>SUM(B31*(((_xlfn.XLOOKUP(A31,ShipTypes,LookupTables!$R$2:$R$39)*FT_CO2reduction)+(((_xlfn.XLOOKUP(A31,ShipTypes,LookupTables!$S$2:$S$39)))*FT_CO2reduction))*EUAfuture25)*EUA_25)</f>
        <v>145840.71832009271</v>
      </c>
      <c r="AG31" s="76">
        <f>SUM(B31*(((_xlfn.XLOOKUP(A31,ShipTypes,LookupTables!$R$2:$R$39)*FT_CO2reduction)+(((_xlfn.XLOOKUP(A31,ShipTypes,LookupTables!$S$2:$S$39)))*FT_CO2reduction))*EUAfuture26)*EUA_26)</f>
        <v>200530.98769012748</v>
      </c>
      <c r="AH31" s="76">
        <f>SUM(B31*(((_xlfn.XLOOKUP(A31,ShipTypes,LookupTables!$R$2:$R$39)*FT_CO2reduction)+(((_xlfn.XLOOKUP(A31,ShipTypes,LookupTables!$S$2:$S$39)))*FT_CO2reduction))*EUAfuture27)*EUA_27)</f>
        <v>423198.51298241195</v>
      </c>
    </row>
    <row r="32" spans="1:34" ht="16.5">
      <c r="A32" s="67" t="str">
        <f>LookupTables!A31</f>
        <v>Q-Max LNG Carrier</v>
      </c>
      <c r="B32" s="68">
        <v>1</v>
      </c>
      <c r="C32" s="69">
        <f>SUM(LookupTables!H31*B32)</f>
        <v>79137.67</v>
      </c>
      <c r="D32" s="70">
        <f t="shared" si="0"/>
        <v>3181.3343340000001</v>
      </c>
      <c r="E32" s="69">
        <f>B32*LookupTables!I31</f>
        <v>119038.09183729999</v>
      </c>
      <c r="F32" s="70">
        <f t="shared" si="1"/>
        <v>4904.3693836967595</v>
      </c>
      <c r="G32" s="71">
        <f>SUM($B32*((LookupTables!$J31+LookupTables!$K31)*FT_FraudReductionConservative))</f>
        <v>144916</v>
      </c>
      <c r="H32" s="72">
        <f>SUM($B32*((LookupTables!$J31+LookupTables!$K31)*FT_FraudReductionConservative))</f>
        <v>144916</v>
      </c>
      <c r="I32" s="72">
        <f>SUM($B32*((LookupTables!$J31+LookupTables!$K31)*FT_FraudReductionConservative))</f>
        <v>144916</v>
      </c>
      <c r="J32" s="73">
        <f>SUM($B32*((LookupTables!$J31+LookupTables!$K31)*FT_FraudReductionConservative))</f>
        <v>144916</v>
      </c>
      <c r="K32" s="74">
        <f t="shared" si="2"/>
        <v>176296.68187057599</v>
      </c>
      <c r="L32" s="74">
        <f t="shared" si="17"/>
        <v>314747.40754809219</v>
      </c>
      <c r="M32" s="74">
        <f t="shared" si="18"/>
        <v>314747.40754809219</v>
      </c>
      <c r="N32" s="74">
        <f t="shared" si="19"/>
        <v>387532.2964972746</v>
      </c>
      <c r="P32" s="75">
        <f t="shared" si="4"/>
        <v>1627131.0400799999</v>
      </c>
      <c r="Q32" s="75">
        <f t="shared" si="5"/>
        <v>4224661.8793057762</v>
      </c>
      <c r="R32" s="75">
        <f t="shared" si="6"/>
        <v>4224661.8793057762</v>
      </c>
      <c r="S32" s="75">
        <f t="shared" si="7"/>
        <v>6035231.256151109</v>
      </c>
      <c r="U32" s="76">
        <f t="shared" si="8"/>
        <v>31380.681870575998</v>
      </c>
      <c r="V32" s="76">
        <f t="shared" si="9"/>
        <v>169831.40754809222</v>
      </c>
      <c r="W32" s="81">
        <f t="shared" si="10"/>
        <v>169831.40754809222</v>
      </c>
      <c r="X32" s="82">
        <f t="shared" si="11"/>
        <v>242616.2964972746</v>
      </c>
      <c r="Z32" s="77">
        <f t="shared" si="12"/>
        <v>1627131.0400799999</v>
      </c>
      <c r="AA32" s="77">
        <f t="shared" si="13"/>
        <v>5407567.205511393</v>
      </c>
      <c r="AB32" s="77">
        <f t="shared" si="14"/>
        <v>10622007.010825951</v>
      </c>
      <c r="AC32" s="77">
        <f t="shared" si="15"/>
        <v>15691601.265992884</v>
      </c>
      <c r="AE32" s="76">
        <f>SUM(B32*(((_xlfn.XLOOKUP(A32,ShipTypes,LookupTables!$M$2:$M$39)*FT_CO2reduction)+(((_xlfn.XLOOKUP(A32,ShipTypes,LookupTables!$N$2:$N$39)))*FT_CO2reduction))*EUAprice)*EUA_24)</f>
        <v>64517.460293519987</v>
      </c>
      <c r="AF32" s="76">
        <f>SUM(B32*(((_xlfn.XLOOKUP(A32,ShipTypes,LookupTables!$R$2:$R$39)*FT_CO2reduction)+(((_xlfn.XLOOKUP(A32,ShipTypes,LookupTables!$S$2:$S$39)))*FT_CO2reduction))*EUAfuture25)*EUA_25)</f>
        <v>217384.20166155804</v>
      </c>
      <c r="AG32" s="76">
        <f>SUM(B32*(((_xlfn.XLOOKUP(A32,ShipTypes,LookupTables!$R$2:$R$39)*FT_CO2reduction)+(((_xlfn.XLOOKUP(A32,ShipTypes,LookupTables!$S$2:$S$39)))*FT_CO2reduction))*EUAfuture26)*EUA_26)</f>
        <v>298903.27728464227</v>
      </c>
      <c r="AH32" s="76">
        <f>SUM(B32*(((_xlfn.XLOOKUP(A32,ShipTypes,LookupTables!$R$2:$R$39)*FT_CO2reduction)+(((_xlfn.XLOOKUP(A32,ShipTypes,LookupTables!$S$2:$S$39)))*FT_CO2reduction))*EUAfuture27)*EUA_27)</f>
        <v>630802.37089291401</v>
      </c>
    </row>
    <row r="33" spans="1:34" ht="16.5">
      <c r="A33" s="67" t="str">
        <f>LookupTables!A32</f>
        <v>RoRo - Medium</v>
      </c>
      <c r="B33" s="68">
        <v>1</v>
      </c>
      <c r="C33" s="78">
        <f>SUM(LookupTables!H32*B33)</f>
        <v>45895.069999999992</v>
      </c>
      <c r="D33" s="79">
        <f t="shared" si="0"/>
        <v>1844.9818139999998</v>
      </c>
      <c r="E33" s="78">
        <f>B33*LookupTables!I32</f>
        <v>69034.905343299979</v>
      </c>
      <c r="F33" s="79">
        <f t="shared" si="1"/>
        <v>2844.2381001439589</v>
      </c>
      <c r="G33" s="80">
        <f>SUM($B33*((LookupTables!$J32+LookupTables!$K32)*FT_FraudReductionConservative))</f>
        <v>79048</v>
      </c>
      <c r="H33" s="81">
        <f>SUM($B33*((LookupTables!$J32+LookupTables!$K32)*FT_FraudReductionConservative))</f>
        <v>79048</v>
      </c>
      <c r="I33" s="81">
        <f>SUM($B33*((LookupTables!$J32+LookupTables!$K32)*FT_FraudReductionConservative))</f>
        <v>79048</v>
      </c>
      <c r="J33" s="82">
        <f>SUM($B33*((LookupTables!$J32+LookupTables!$K32)*FT_FraudReductionConservative))</f>
        <v>79048</v>
      </c>
      <c r="K33" s="83">
        <f t="shared" si="2"/>
        <v>97246.900613296006</v>
      </c>
      <c r="L33" s="83">
        <f t="shared" si="17"/>
        <v>177539.9613834754</v>
      </c>
      <c r="M33" s="83">
        <f t="shared" si="18"/>
        <v>177539.9613834754</v>
      </c>
      <c r="N33" s="83">
        <f t="shared" si="19"/>
        <v>219750.80197639344</v>
      </c>
      <c r="P33" s="75">
        <f t="shared" si="4"/>
        <v>930752.01959999988</v>
      </c>
      <c r="Q33" s="75">
        <f t="shared" si="5"/>
        <v>2450048.7906337166</v>
      </c>
      <c r="R33" s="75">
        <f t="shared" si="6"/>
        <v>2450048.7906337166</v>
      </c>
      <c r="S33" s="75">
        <f t="shared" si="7"/>
        <v>3500069.7009053095</v>
      </c>
      <c r="U33" s="76">
        <f t="shared" si="8"/>
        <v>18198.900613296002</v>
      </c>
      <c r="V33" s="76">
        <f t="shared" si="9"/>
        <v>98491.961383475398</v>
      </c>
      <c r="W33" s="76">
        <f t="shared" si="10"/>
        <v>98491.961383475398</v>
      </c>
      <c r="X33" s="76">
        <f t="shared" si="11"/>
        <v>140702.80197639344</v>
      </c>
      <c r="Z33" s="77">
        <f t="shared" si="12"/>
        <v>930752.01959999988</v>
      </c>
      <c r="AA33" s="77">
        <f t="shared" si="13"/>
        <v>3136062.4520111573</v>
      </c>
      <c r="AB33" s="77">
        <f t="shared" si="14"/>
        <v>6160122.6735933442</v>
      </c>
      <c r="AC33" s="77">
        <f t="shared" si="15"/>
        <v>9100181.2223538049</v>
      </c>
      <c r="AE33" s="76">
        <f>SUM(B33*(((_xlfn.XLOOKUP(A33,ShipTypes,LookupTables!$M$2:$M$39)*FT_CO2reduction)+(((_xlfn.XLOOKUP(A33,ShipTypes,LookupTables!$N$2:$N$39)))*FT_CO2reduction))*EUAprice)*EUA_24)</f>
        <v>37416.231187919999</v>
      </c>
      <c r="AF33" s="76">
        <f>SUM(B33*(((_xlfn.XLOOKUP(A33,ShipTypes,LookupTables!$R$2:$R$39)*FT_CO2reduction)+(((_xlfn.XLOOKUP(A33,ShipTypes,LookupTables!$S$2:$S$39)))*FT_CO2reduction))*EUAfuture25)*EUA_25)</f>
        <v>126069.71057084852</v>
      </c>
      <c r="AG33" s="76">
        <f>SUM(B33*(((_xlfn.XLOOKUP(A33,ShipTypes,LookupTables!$R$2:$R$39)*FT_CO2reduction)+(((_xlfn.XLOOKUP(A33,ShipTypes,LookupTables!$S$2:$S$39)))*FT_CO2reduction))*EUAfuture26)*EUA_26)</f>
        <v>173345.85203491672</v>
      </c>
      <c r="AH33" s="76">
        <f>SUM(B33*(((_xlfn.XLOOKUP(A33,ShipTypes,LookupTables!$R$2:$R$39)*FT_CO2reduction)+(((_xlfn.XLOOKUP(A33,ShipTypes,LookupTables!$S$2:$S$39)))*FT_CO2reduction))*EUAfuture27)*EUA_27)</f>
        <v>365827.28513862297</v>
      </c>
    </row>
    <row r="34" spans="1:34" ht="16.5">
      <c r="A34" s="67" t="str">
        <f>LookupTables!A33</f>
        <v>RoRo - Panamax sized</v>
      </c>
      <c r="B34" s="68">
        <v>1</v>
      </c>
      <c r="C34" s="69">
        <f>SUM(LookupTables!H33*B34)</f>
        <v>58324.419999999991</v>
      </c>
      <c r="D34" s="70">
        <f t="shared" si="0"/>
        <v>2344.6416839999997</v>
      </c>
      <c r="E34" s="69">
        <f>B34*LookupTables!I33</f>
        <v>87731.009319799981</v>
      </c>
      <c r="F34" s="70">
        <f t="shared" si="1"/>
        <v>3614.5175839757594</v>
      </c>
      <c r="G34" s="71">
        <f>SUM($B34*((LookupTables!$J33+LookupTables!$K33)*FT_FraudReductionConservative))</f>
        <v>100828.8</v>
      </c>
      <c r="H34" s="72">
        <f>SUM($B34*((LookupTables!$J33+LookupTables!$K33)*FT_FraudReductionConservative))</f>
        <v>100828.8</v>
      </c>
      <c r="I34" s="72">
        <f>SUM($B34*((LookupTables!$J33+LookupTables!$K33)*FT_FraudReductionConservative))</f>
        <v>100828.8</v>
      </c>
      <c r="J34" s="73">
        <f>SUM($B34*((LookupTables!$J33+LookupTables!$K33)*FT_FraudReductionConservative))</f>
        <v>100828.8</v>
      </c>
      <c r="K34" s="74">
        <f t="shared" si="2"/>
        <v>123956.345570976</v>
      </c>
      <c r="L34" s="74">
        <f t="shared" si="17"/>
        <v>225994.45553453997</v>
      </c>
      <c r="M34" s="74">
        <f t="shared" si="18"/>
        <v>225994.45553453997</v>
      </c>
      <c r="N34" s="74">
        <f t="shared" si="19"/>
        <v>279636.87933505711</v>
      </c>
      <c r="P34" s="75">
        <f t="shared" si="4"/>
        <v>1200772.0670399999</v>
      </c>
      <c r="Q34" s="75">
        <f t="shared" si="5"/>
        <v>3113573.5207597013</v>
      </c>
      <c r="R34" s="75">
        <f t="shared" si="6"/>
        <v>3113573.5207597013</v>
      </c>
      <c r="S34" s="75">
        <f t="shared" si="7"/>
        <v>4447962.1725138593</v>
      </c>
      <c r="U34" s="76">
        <f t="shared" si="8"/>
        <v>23127.545570975999</v>
      </c>
      <c r="V34" s="76">
        <f t="shared" si="9"/>
        <v>125165.65553453997</v>
      </c>
      <c r="W34" s="76">
        <f t="shared" si="10"/>
        <v>125165.65553453997</v>
      </c>
      <c r="X34" s="76">
        <f t="shared" si="11"/>
        <v>178808.07933505712</v>
      </c>
      <c r="Z34" s="77">
        <f t="shared" si="12"/>
        <v>1200772.0670399999</v>
      </c>
      <c r="AA34" s="77">
        <f t="shared" si="13"/>
        <v>3985374.1065724175</v>
      </c>
      <c r="AB34" s="77">
        <f t="shared" si="14"/>
        <v>7828413.4236243917</v>
      </c>
      <c r="AC34" s="77">
        <f t="shared" si="15"/>
        <v>11564701.648536034</v>
      </c>
      <c r="AE34" s="76">
        <f>SUM(B34*(((_xlfn.XLOOKUP(A34,ShipTypes,LookupTables!$M$2:$M$39)*FT_CO2reduction)+(((_xlfn.XLOOKUP(A34,ShipTypes,LookupTables!$N$2:$N$39)))*FT_CO2reduction))*EUAprice)*EUA_24)</f>
        <v>47549.333351520007</v>
      </c>
      <c r="AF34" s="76">
        <f>SUM(B34*(((_xlfn.XLOOKUP(A34,ShipTypes,LookupTables!$R$2:$R$39)*FT_CO2reduction)+(((_xlfn.XLOOKUP(A34,ShipTypes,LookupTables!$S$2:$S$39)))*FT_CO2reduction))*EUAfuture25)*EUA_25)</f>
        <v>160212.03908421117</v>
      </c>
      <c r="AG34" s="76">
        <f>SUM(B34*(((_xlfn.XLOOKUP(A34,ShipTypes,LookupTables!$R$2:$R$39)*FT_CO2reduction)+(((_xlfn.XLOOKUP(A34,ShipTypes,LookupTables!$S$2:$S$39)))*FT_CO2reduction))*EUAfuture26)*EUA_26)</f>
        <v>220291.55374079035</v>
      </c>
      <c r="AH34" s="76">
        <f>SUM(B34*(((_xlfn.XLOOKUP(A34,ShipTypes,LookupTables!$R$2:$R$39)*FT_CO2reduction)+(((_xlfn.XLOOKUP(A34,ShipTypes,LookupTables!$S$2:$S$39)))*FT_CO2reduction))*EUAfuture27)*EUA_27)</f>
        <v>464901.00627114857</v>
      </c>
    </row>
    <row r="35" spans="1:34" ht="16.5">
      <c r="A35" s="67" t="str">
        <f>LookupTables!A34</f>
        <v>Container 2500 TEU</v>
      </c>
      <c r="B35" s="68">
        <v>1</v>
      </c>
      <c r="C35" s="78">
        <f>SUM(LookupTables!H34*B35)</f>
        <v>41971.579999999994</v>
      </c>
      <c r="D35" s="79">
        <f t="shared" si="0"/>
        <v>1687.2575159999997</v>
      </c>
      <c r="E35" s="78">
        <f>B35*LookupTables!I34</f>
        <v>63133.230920199989</v>
      </c>
      <c r="F35" s="79">
        <f t="shared" si="1"/>
        <v>2601.0891139122396</v>
      </c>
      <c r="G35" s="80">
        <f>SUM($B35*((LookupTables!$J34+LookupTables!$K34)*FT_FraudReductionConservative))</f>
        <v>74416</v>
      </c>
      <c r="H35" s="81">
        <f>SUM($B35*((LookupTables!$J34+LookupTables!$K34)*FT_FraudReductionConservative))</f>
        <v>74416</v>
      </c>
      <c r="I35" s="81">
        <f>SUM($B35*((LookupTables!$J34+LookupTables!$K34)*FT_FraudReductionConservative))</f>
        <v>74416</v>
      </c>
      <c r="J35" s="82">
        <f>SUM($B35*((LookupTables!$J34+LookupTables!$K34)*FT_FraudReductionConservative))</f>
        <v>74416</v>
      </c>
      <c r="K35" s="83">
        <f t="shared" si="2"/>
        <v>91059.108137823991</v>
      </c>
      <c r="L35" s="83">
        <f t="shared" si="17"/>
        <v>164488.05428738749</v>
      </c>
      <c r="M35" s="83">
        <f t="shared" si="18"/>
        <v>164488.05428738749</v>
      </c>
      <c r="N35" s="83">
        <f t="shared" si="19"/>
        <v>203090.3632676964</v>
      </c>
      <c r="P35" s="75">
        <f t="shared" si="4"/>
        <v>863612.52432000008</v>
      </c>
      <c r="Q35" s="75">
        <f t="shared" si="5"/>
        <v>2240598.3653578977</v>
      </c>
      <c r="R35" s="75">
        <f t="shared" si="6"/>
        <v>2240598.3653578977</v>
      </c>
      <c r="S35" s="75">
        <f t="shared" si="7"/>
        <v>3200854.8076541401</v>
      </c>
      <c r="U35" s="76">
        <f t="shared" si="8"/>
        <v>16643.108137823998</v>
      </c>
      <c r="V35" s="76">
        <f t="shared" si="9"/>
        <v>90072.054287387495</v>
      </c>
      <c r="W35" s="81">
        <f t="shared" si="10"/>
        <v>90072.054287387495</v>
      </c>
      <c r="X35" s="82">
        <f t="shared" si="11"/>
        <v>128674.36326769642</v>
      </c>
      <c r="Z35" s="77">
        <f t="shared" si="12"/>
        <v>863612.52432000008</v>
      </c>
      <c r="AA35" s="77">
        <f t="shared" si="13"/>
        <v>2867965.9076581094</v>
      </c>
      <c r="AB35" s="77">
        <f t="shared" si="14"/>
        <v>5633504.4614712857</v>
      </c>
      <c r="AC35" s="77">
        <f t="shared" si="15"/>
        <v>8322222.4999007639</v>
      </c>
      <c r="AE35" s="76">
        <f>SUM(B35*(((_xlfn.XLOOKUP(A35,ShipTypes,LookupTables!$M$2:$M$39)*FT_CO2reduction)+(((_xlfn.XLOOKUP(A35,ShipTypes,LookupTables!$N$2:$N$39)))*FT_CO2reduction))*EUAprice)*EUA_24)</f>
        <v>34217.582424480002</v>
      </c>
      <c r="AF35" s="76">
        <f>SUM(B35*(((_xlfn.XLOOKUP(A35,ShipTypes,LookupTables!$R$2:$R$39)*FT_CO2reduction)+(((_xlfn.XLOOKUP(A35,ShipTypes,LookupTables!$S$2:$S$39)))*FT_CO2reduction))*EUAfuture25)*EUA_25)</f>
        <v>115292.22948785598</v>
      </c>
      <c r="AG35" s="76">
        <f>SUM(B35*(((_xlfn.XLOOKUP(A35,ShipTypes,LookupTables!$R$2:$R$39)*FT_CO2reduction)+(((_xlfn.XLOOKUP(A35,ShipTypes,LookupTables!$S$2:$S$39)))*FT_CO2reduction))*EUAfuture26)*EUA_26)</f>
        <v>158526.81554580198</v>
      </c>
      <c r="AH35" s="76">
        <f>SUM(B35*(((_xlfn.XLOOKUP(A35,ShipTypes,LookupTables!$R$2:$R$39)*FT_CO2reduction)+(((_xlfn.XLOOKUP(A35,ShipTypes,LookupTables!$S$2:$S$39)))*FT_CO2reduction))*EUAfuture27)*EUA_27)</f>
        <v>334553.34449601069</v>
      </c>
    </row>
    <row r="36" spans="1:34" ht="16.5">
      <c r="A36" s="67" t="str">
        <f>LookupTables!A35</f>
        <v>Container 4000 TEU</v>
      </c>
      <c r="B36" s="68">
        <v>1</v>
      </c>
      <c r="C36" s="69">
        <f>SUM(LookupTables!H35*B36)</f>
        <v>73417.240000000005</v>
      </c>
      <c r="D36" s="70">
        <f t="shared" si="0"/>
        <v>2951.3730480000004</v>
      </c>
      <c r="E36" s="69">
        <f>B36*LookupTables!I35</f>
        <v>110433.47823560001</v>
      </c>
      <c r="F36" s="70">
        <f t="shared" si="1"/>
        <v>4549.85930330672</v>
      </c>
      <c r="G36" s="71">
        <f>SUM($B36*((LookupTables!$J35+LookupTables!$K35)*FT_FraudReductionConservative))</f>
        <v>128451.2</v>
      </c>
      <c r="H36" s="72">
        <f>SUM($B36*((LookupTables!$J35+LookupTables!$K35)*FT_FraudReductionConservative))</f>
        <v>128451.2</v>
      </c>
      <c r="I36" s="72">
        <f>SUM($B36*((LookupTables!$J35+LookupTables!$K35)*FT_FraudReductionConservative))</f>
        <v>128451.2</v>
      </c>
      <c r="J36" s="73">
        <f>SUM($B36*((LookupTables!$J35+LookupTables!$K35)*FT_FraudReductionConservative))</f>
        <v>128451.2</v>
      </c>
      <c r="K36" s="74">
        <f t="shared" si="2"/>
        <v>157563.54374547198</v>
      </c>
      <c r="L36" s="74">
        <f t="shared" si="17"/>
        <v>286006.42253177403</v>
      </c>
      <c r="M36" s="74">
        <f t="shared" si="18"/>
        <v>286006.42253177403</v>
      </c>
      <c r="N36" s="74">
        <f t="shared" si="19"/>
        <v>353530.08933110576</v>
      </c>
      <c r="P36" s="75">
        <f t="shared" si="4"/>
        <v>1511096.0592</v>
      </c>
      <c r="Q36" s="75">
        <f t="shared" si="5"/>
        <v>3919284.1425814428</v>
      </c>
      <c r="R36" s="75">
        <f t="shared" si="6"/>
        <v>3919284.1425814428</v>
      </c>
      <c r="S36" s="75">
        <f t="shared" si="7"/>
        <v>5598977.3465449186</v>
      </c>
      <c r="U36" s="76">
        <f t="shared" si="8"/>
        <v>29112.343745471993</v>
      </c>
      <c r="V36" s="76">
        <f t="shared" si="9"/>
        <v>157555.22253177402</v>
      </c>
      <c r="W36" s="76">
        <f t="shared" si="10"/>
        <v>157555.22253177402</v>
      </c>
      <c r="X36" s="76">
        <f t="shared" si="11"/>
        <v>225078.88933110575</v>
      </c>
      <c r="Z36" s="77">
        <f t="shared" si="12"/>
        <v>1511096.0592</v>
      </c>
      <c r="AA36" s="77">
        <f t="shared" si="13"/>
        <v>5016683.7025042465</v>
      </c>
      <c r="AB36" s="77">
        <f t="shared" si="14"/>
        <v>9854200.1299190558</v>
      </c>
      <c r="AC36" s="77">
        <f t="shared" si="15"/>
        <v>14557341.101016788</v>
      </c>
      <c r="AE36" s="76">
        <f>SUM(B36*(((_xlfn.XLOOKUP(A36,ShipTypes,LookupTables!$M$2:$M$39)*FT_CO2reduction)+(((_xlfn.XLOOKUP(A36,ShipTypes,LookupTables!$N$2:$N$39)))*FT_CO2reduction))*EUAprice)*EUA_24)</f>
        <v>59853.845413440002</v>
      </c>
      <c r="AF36" s="76">
        <f>SUM(B36*(((_xlfn.XLOOKUP(A36,ShipTypes,LookupTables!$R$2:$R$39)*FT_CO2reduction)+(((_xlfn.XLOOKUP(A36,ShipTypes,LookupTables!$S$2:$S$39)))*FT_CO2reduction))*EUAfuture25)*EUA_25)</f>
        <v>201670.68484067076</v>
      </c>
      <c r="AG36" s="76">
        <f>SUM(B36*(((_xlfn.XLOOKUP(A36,ShipTypes,LookupTables!$R$2:$R$39)*FT_CO2reduction)+(((_xlfn.XLOOKUP(A36,ShipTypes,LookupTables!$S$2:$S$39)))*FT_CO2reduction))*EUAfuture26)*EUA_26)</f>
        <v>277297.19165592222</v>
      </c>
      <c r="AH36" s="76">
        <f>SUM(B36*(((_xlfn.XLOOKUP(A36,ShipTypes,LookupTables!$R$2:$R$39)*FT_CO2reduction)+(((_xlfn.XLOOKUP(A36,ShipTypes,LookupTables!$S$2:$S$39)))*FT_CO2reduction))*EUAfuture27)*EUA_27)</f>
        <v>585205.11226087494</v>
      </c>
    </row>
    <row r="37" spans="1:34" ht="16.5">
      <c r="A37" s="67" t="str">
        <f>LookupTables!A36</f>
        <v>Container 5000 TEU</v>
      </c>
      <c r="B37" s="68">
        <v>1</v>
      </c>
      <c r="C37" s="78">
        <f>SUM(LookupTables!H36*B37)</f>
        <v>67375.02</v>
      </c>
      <c r="D37" s="79">
        <f t="shared" si="0"/>
        <v>2708.4758040000002</v>
      </c>
      <c r="E37" s="78">
        <f>B37*LookupTables!I36</f>
        <v>101344.8313338</v>
      </c>
      <c r="F37" s="79">
        <f t="shared" si="1"/>
        <v>4175.40705095256</v>
      </c>
      <c r="G37" s="80">
        <f>SUM($B37*((LookupTables!$J36+LookupTables!$K36)*FT_FraudReductionConservative))</f>
        <v>122169.60000000001</v>
      </c>
      <c r="H37" s="81">
        <f>SUM($B37*((LookupTables!$J36+LookupTables!$K36)*FT_FraudReductionConservative))</f>
        <v>122169.60000000001</v>
      </c>
      <c r="I37" s="81">
        <f>SUM($B37*((LookupTables!$J36+LookupTables!$K36)*FT_FraudReductionConservative))</f>
        <v>122169.60000000001</v>
      </c>
      <c r="J37" s="82">
        <f>SUM($B37*((LookupTables!$J36+LookupTables!$K36)*FT_FraudReductionConservative))</f>
        <v>122169.60000000001</v>
      </c>
      <c r="K37" s="83">
        <f t="shared" si="2"/>
        <v>148886.00533065601</v>
      </c>
      <c r="L37" s="83">
        <f t="shared" si="17"/>
        <v>266758.06817426975</v>
      </c>
      <c r="M37" s="83">
        <f t="shared" si="18"/>
        <v>266758.06817426975</v>
      </c>
      <c r="N37" s="83">
        <f t="shared" si="19"/>
        <v>328724.55453467113</v>
      </c>
      <c r="P37" s="75">
        <f t="shared" si="4"/>
        <v>1385600.58</v>
      </c>
      <c r="Q37" s="75">
        <f t="shared" si="5"/>
        <v>3596728.0640365612</v>
      </c>
      <c r="R37" s="75">
        <f t="shared" si="6"/>
        <v>3596728.0640365612</v>
      </c>
      <c r="S37" s="75">
        <f t="shared" si="7"/>
        <v>5138182.9486236591</v>
      </c>
      <c r="U37" s="76">
        <f t="shared" si="8"/>
        <v>26716.405330655994</v>
      </c>
      <c r="V37" s="76">
        <f t="shared" si="9"/>
        <v>144588.46817426974</v>
      </c>
      <c r="W37" s="76">
        <f t="shared" si="10"/>
        <v>144588.46817426974</v>
      </c>
      <c r="X37" s="76">
        <f t="shared" si="11"/>
        <v>206554.95453467109</v>
      </c>
      <c r="Z37" s="77">
        <f t="shared" si="12"/>
        <v>1385600.58</v>
      </c>
      <c r="AA37" s="77">
        <f t="shared" si="13"/>
        <v>4603811.9219667977</v>
      </c>
      <c r="AB37" s="77">
        <f t="shared" si="14"/>
        <v>9043201.9895776398</v>
      </c>
      <c r="AC37" s="77">
        <f t="shared" si="15"/>
        <v>13359275.666421514</v>
      </c>
      <c r="AE37" s="76">
        <f>SUM(B37*(((_xlfn.XLOOKUP(A37,ShipTypes,LookupTables!$M$2:$M$39)*FT_CO2reduction)+(((_xlfn.XLOOKUP(A37,ShipTypes,LookupTables!$N$2:$N$39)))*FT_CO2reduction))*EUAprice)*EUA_24)</f>
        <v>54927.889305119985</v>
      </c>
      <c r="AF37" s="76">
        <f>SUM(B37*(((_xlfn.XLOOKUP(A37,ShipTypes,LookupTables!$R$2:$R$39)*FT_CO2reduction)+(((_xlfn.XLOOKUP(A37,ShipTypes,LookupTables!$S$2:$S$39)))*FT_CO2reduction))*EUAfuture25)*EUA_25)</f>
        <v>185073.2392630653</v>
      </c>
      <c r="AG37" s="76">
        <f>SUM(B37*(((_xlfn.XLOOKUP(A37,ShipTypes,LookupTables!$R$2:$R$39)*FT_CO2reduction)+(((_xlfn.XLOOKUP(A37,ShipTypes,LookupTables!$S$2:$S$39)))*FT_CO2reduction))*EUAfuture26)*EUA_26)</f>
        <v>254475.70398671477</v>
      </c>
      <c r="AH37" s="76">
        <f>SUM(B37*(((_xlfn.XLOOKUP(A37,ShipTypes,LookupTables!$R$2:$R$39)*FT_CO2reduction)+(((_xlfn.XLOOKUP(A37,ShipTypes,LookupTables!$S$2:$S$39)))*FT_CO2reduction))*EUAfuture27)*EUA_27)</f>
        <v>537042.88179014483</v>
      </c>
    </row>
    <row r="38" spans="1:34" ht="16.5">
      <c r="A38" s="67" t="str">
        <f>LookupTables!A37</f>
        <v>Container 7000 TEU</v>
      </c>
      <c r="B38" s="68">
        <v>1</v>
      </c>
      <c r="C38" s="69">
        <f>SUM(LookupTables!H37*B38)</f>
        <v>85191.888000000006</v>
      </c>
      <c r="D38" s="70">
        <f t="shared" si="0"/>
        <v>3424.7138976000001</v>
      </c>
      <c r="E38" s="69">
        <f>B38*LookupTables!I37</f>
        <v>128144.78601072</v>
      </c>
      <c r="F38" s="70">
        <f t="shared" si="1"/>
        <v>5279.5651836416637</v>
      </c>
      <c r="G38" s="71">
        <f>SUM($B38*((LookupTables!$J37+LookupTables!$K37)*FT_FraudReductionConservative))</f>
        <v>158947.20000000001</v>
      </c>
      <c r="H38" s="72">
        <f>SUM($B38*((LookupTables!$J37+LookupTables!$K37)*FT_FraudReductionConservative))</f>
        <v>158947.20000000001</v>
      </c>
      <c r="I38" s="72">
        <f>SUM($B38*((LookupTables!$J37+LookupTables!$K37)*FT_FraudReductionConservative))</f>
        <v>158947.20000000001</v>
      </c>
      <c r="J38" s="73">
        <f>SUM($B38*((LookupTables!$J37+LookupTables!$K37)*FT_FraudReductionConservative))</f>
        <v>158947.20000000001</v>
      </c>
      <c r="K38" s="74">
        <f t="shared" si="2"/>
        <v>192728.57788592641</v>
      </c>
      <c r="L38" s="74">
        <f t="shared" si="17"/>
        <v>341771.10991192213</v>
      </c>
      <c r="M38" s="74">
        <f t="shared" si="18"/>
        <v>341771.10991192213</v>
      </c>
      <c r="N38" s="74">
        <f t="shared" si="19"/>
        <v>420124.2141598888</v>
      </c>
      <c r="P38" s="75">
        <f t="shared" si="4"/>
        <v>1750832.883072</v>
      </c>
      <c r="Q38" s="75">
        <f t="shared" si="5"/>
        <v>4547858.455520452</v>
      </c>
      <c r="R38" s="75">
        <f t="shared" si="6"/>
        <v>4547858.455520452</v>
      </c>
      <c r="S38" s="75">
        <f t="shared" si="7"/>
        <v>6496940.6507435031</v>
      </c>
      <c r="U38" s="76">
        <f t="shared" si="8"/>
        <v>33781.377885926391</v>
      </c>
      <c r="V38" s="76">
        <f t="shared" si="9"/>
        <v>182823.90991192215</v>
      </c>
      <c r="W38" s="81">
        <f t="shared" si="10"/>
        <v>182823.90991192215</v>
      </c>
      <c r="X38" s="82">
        <f t="shared" si="11"/>
        <v>261177.01415988881</v>
      </c>
      <c r="Z38" s="77">
        <f t="shared" si="12"/>
        <v>1750832.883072</v>
      </c>
      <c r="AA38" s="77">
        <f t="shared" si="13"/>
        <v>5821258.8230661787</v>
      </c>
      <c r="AB38" s="77">
        <f t="shared" si="14"/>
        <v>11434615.545308564</v>
      </c>
      <c r="AC38" s="77">
        <f t="shared" si="15"/>
        <v>16892045.691933107</v>
      </c>
      <c r="AE38" s="76">
        <f>SUM(B38*(((_xlfn.XLOOKUP(A38,ShipTypes,LookupTables!$M$2:$M$39)*FT_CO2reduction)+(((_xlfn.XLOOKUP(A38,ShipTypes,LookupTables!$N$2:$N$39)))*FT_CO2reduction))*EUAprice)*EUA_24)</f>
        <v>69453.197843327987</v>
      </c>
      <c r="AF38" s="76">
        <f>SUM(B38*(((_xlfn.XLOOKUP(A38,ShipTypes,LookupTables!$R$2:$R$39)*FT_CO2reduction)+(((_xlfn.XLOOKUP(A38,ShipTypes,LookupTables!$S$2:$S$39)))*FT_CO2reduction))*EUAfuture25)*EUA_25)</f>
        <v>234014.60468726035</v>
      </c>
      <c r="AG38" s="76">
        <f>SUM(B38*(((_xlfn.XLOOKUP(A38,ShipTypes,LookupTables!$R$2:$R$39)*FT_CO2reduction)+(((_xlfn.XLOOKUP(A38,ShipTypes,LookupTables!$S$2:$S$39)))*FT_CO2reduction))*EUAfuture26)*EUA_26)</f>
        <v>321770.08144498296</v>
      </c>
      <c r="AH38" s="76">
        <f>SUM(B38*(((_xlfn.XLOOKUP(A38,ShipTypes,LookupTables!$R$2:$R$39)*FT_CO2reduction)+(((_xlfn.XLOOKUP(A38,ShipTypes,LookupTables!$S$2:$S$39)))*FT_CO2reduction))*EUAfuture27)*EUA_27)</f>
        <v>679060.2368157109</v>
      </c>
    </row>
    <row r="39" spans="1:34" ht="16.5">
      <c r="A39" s="67" t="str">
        <f>LookupTables!A38</f>
        <v>Container 9000 TEU</v>
      </c>
      <c r="B39" s="68">
        <v>1</v>
      </c>
      <c r="C39" s="78">
        <f>SUM(LookupTables!H38*B39)</f>
        <v>129907.36799999999</v>
      </c>
      <c r="D39" s="79">
        <f t="shared" si="0"/>
        <v>5222.2761935999997</v>
      </c>
      <c r="E39" s="78">
        <f>B39*LookupTables!I38</f>
        <v>195405.36387191998</v>
      </c>
      <c r="F39" s="79">
        <f t="shared" si="1"/>
        <v>8050.7009915231029</v>
      </c>
      <c r="G39" s="80">
        <f>SUM($B39*((LookupTables!$J38+LookupTables!$K38)*FT_FraudReductionConservative))</f>
        <v>236822.39999999999</v>
      </c>
      <c r="H39" s="81">
        <f>SUM($B39*((LookupTables!$J38+LookupTables!$K38)*FT_FraudReductionConservative))</f>
        <v>236822.39999999999</v>
      </c>
      <c r="I39" s="81">
        <f>SUM($B39*((LookupTables!$J38+LookupTables!$K38)*FT_FraudReductionConservative))</f>
        <v>236822.39999999999</v>
      </c>
      <c r="J39" s="82">
        <f>SUM($B39*((LookupTables!$J38+LookupTables!$K38)*FT_FraudReductionConservative))</f>
        <v>236822.39999999999</v>
      </c>
      <c r="K39" s="83">
        <f t="shared" si="2"/>
        <v>288334.9323736704</v>
      </c>
      <c r="L39" s="83">
        <f t="shared" si="17"/>
        <v>515606.84182534041</v>
      </c>
      <c r="M39" s="83">
        <f t="shared" si="18"/>
        <v>515606.84182534041</v>
      </c>
      <c r="N39" s="83">
        <f t="shared" si="19"/>
        <v>635085.88832191494</v>
      </c>
      <c r="P39" s="75">
        <f t="shared" si="4"/>
        <v>2671275.4024320003</v>
      </c>
      <c r="Q39" s="75">
        <f t="shared" si="5"/>
        <v>6934936.3638144396</v>
      </c>
      <c r="R39" s="75">
        <f t="shared" si="6"/>
        <v>6934936.3638144396</v>
      </c>
      <c r="S39" s="75">
        <f t="shared" si="7"/>
        <v>9907051.9483063426</v>
      </c>
      <c r="U39" s="76">
        <f t="shared" si="8"/>
        <v>51512.532373670387</v>
      </c>
      <c r="V39" s="76">
        <f t="shared" si="9"/>
        <v>278784.44182534044</v>
      </c>
      <c r="W39" s="76">
        <f t="shared" si="10"/>
        <v>278784.44182534044</v>
      </c>
      <c r="X39" s="76">
        <f t="shared" si="11"/>
        <v>398263.48832191498</v>
      </c>
      <c r="Z39" s="77">
        <f t="shared" si="12"/>
        <v>2671275.4024320003</v>
      </c>
      <c r="AA39" s="77">
        <f t="shared" si="13"/>
        <v>8876718.5456824824</v>
      </c>
      <c r="AB39" s="77">
        <f t="shared" si="14"/>
        <v>17436411.429019164</v>
      </c>
      <c r="AC39" s="77">
        <f t="shared" si="15"/>
        <v>25758335.065596495</v>
      </c>
      <c r="AE39" s="76">
        <f>SUM(B39*(((_xlfn.XLOOKUP(A39,ShipTypes,LookupTables!$M$2:$M$39)*FT_CO2reduction)+(((_xlfn.XLOOKUP(A39,ShipTypes,LookupTables!$N$2:$N$39)))*FT_CO2reduction))*EUAprice)*EUA_24)</f>
        <v>105907.76120620799</v>
      </c>
      <c r="AF39" s="76">
        <f>SUM(B39*(((_xlfn.XLOOKUP(A39,ShipTypes,LookupTables!$R$2:$R$39)*FT_CO2reduction)+(((_xlfn.XLOOKUP(A39,ShipTypes,LookupTables!$S$2:$S$39)))*FT_CO2reduction))*EUAfuture25)*EUA_25)</f>
        <v>356844.08553643577</v>
      </c>
      <c r="AG39" s="76">
        <f>SUM(B39*(((_xlfn.XLOOKUP(A39,ShipTypes,LookupTables!$R$2:$R$39)*FT_CO2reduction)+(((_xlfn.XLOOKUP(A39,ShipTypes,LookupTables!$S$2:$S$39)))*FT_CO2reduction))*EUAfuture26)*EUA_26)</f>
        <v>490660.61761259916</v>
      </c>
      <c r="AH39" s="76">
        <f>SUM(B39*(((_xlfn.XLOOKUP(A39,ShipTypes,LookupTables!$R$2:$R$39)*FT_CO2reduction)+(((_xlfn.XLOOKUP(A39,ShipTypes,LookupTables!$S$2:$S$39)))*FT_CO2reduction))*EUAfuture27)*EUA_27)</f>
        <v>1035485.0696369789</v>
      </c>
    </row>
    <row r="40" spans="1:34" ht="16.5">
      <c r="A40" s="67" t="str">
        <f>LookupTables!A39</f>
        <v>Container 10000+ TEU</v>
      </c>
      <c r="B40" s="68">
        <v>1</v>
      </c>
      <c r="C40" s="69">
        <f>SUM(LookupTables!H39*B40)</f>
        <v>122572.15599999999</v>
      </c>
      <c r="D40" s="70">
        <f t="shared" si="0"/>
        <v>4927.4006711999991</v>
      </c>
      <c r="E40" s="69">
        <f>B40*LookupTables!I39</f>
        <v>184371.81133363998</v>
      </c>
      <c r="F40" s="70">
        <f t="shared" si="1"/>
        <v>7596.1186269459677</v>
      </c>
      <c r="G40" s="71">
        <f>SUM($B40*((LookupTables!$J39+LookupTables!$K39)*FT_FraudReductionConservative))</f>
        <v>231617.6</v>
      </c>
      <c r="H40" s="72">
        <f>SUM($B40*((LookupTables!$J39+LookupTables!$K39)*FT_FraudReductionConservative))</f>
        <v>231617.6</v>
      </c>
      <c r="I40" s="72">
        <f>SUM($B40*((LookupTables!$J39+LookupTables!$K39)*FT_FraudReductionConservative))</f>
        <v>231617.6</v>
      </c>
      <c r="J40" s="73">
        <f>SUM($B40*((LookupTables!$J39+LookupTables!$K39)*FT_FraudReductionConservative))</f>
        <v>231617.6</v>
      </c>
      <c r="K40" s="74">
        <f t="shared" si="2"/>
        <v>280221.4802207168</v>
      </c>
      <c r="L40" s="74">
        <f t="shared" si="17"/>
        <v>494660.49448608141</v>
      </c>
      <c r="M40" s="74">
        <f t="shared" si="18"/>
        <v>494660.49448608141</v>
      </c>
      <c r="N40" s="74">
        <f t="shared" si="19"/>
        <v>607393.163551545</v>
      </c>
      <c r="P40" s="75">
        <f t="shared" si="4"/>
        <v>2518285.5647039996</v>
      </c>
      <c r="Q40" s="75">
        <f t="shared" si="5"/>
        <v>6543355.584230883</v>
      </c>
      <c r="R40" s="75">
        <f t="shared" si="6"/>
        <v>6543355.584230883</v>
      </c>
      <c r="S40" s="75">
        <f t="shared" si="7"/>
        <v>9347650.8346155472</v>
      </c>
      <c r="U40" s="76">
        <f t="shared" si="8"/>
        <v>48603.880220716797</v>
      </c>
      <c r="V40" s="76">
        <f t="shared" si="9"/>
        <v>263042.89448608144</v>
      </c>
      <c r="W40" s="76">
        <f t="shared" si="10"/>
        <v>263042.89448608144</v>
      </c>
      <c r="X40" s="76">
        <f t="shared" si="11"/>
        <v>375775.56355154497</v>
      </c>
      <c r="Z40" s="77">
        <f t="shared" si="12"/>
        <v>2518285.5647039996</v>
      </c>
      <c r="AA40" s="77">
        <f t="shared" si="13"/>
        <v>8375495.1478155302</v>
      </c>
      <c r="AB40" s="77">
        <f t="shared" si="14"/>
        <v>16451865.468923364</v>
      </c>
      <c r="AC40" s="77">
        <f t="shared" si="15"/>
        <v>24303892.170000426</v>
      </c>
      <c r="AE40" s="76">
        <f>SUM(B40*(((_xlfn.XLOOKUP(A40,ShipTypes,LookupTables!$M$2:$M$39)*FT_CO2reduction)+(((_xlfn.XLOOKUP(A40,ShipTypes,LookupTables!$N$2:$N$39)))*FT_CO2reduction))*EUAprice)*EUA_24)</f>
        <v>99927.685611935987</v>
      </c>
      <c r="AF40" s="76">
        <f>SUM(B40*(((_xlfn.XLOOKUP(A40,ShipTypes,LookupTables!$R$2:$R$39)*FT_CO2reduction)+(((_xlfn.XLOOKUP(A40,ShipTypes,LookupTables!$S$2:$S$39)))*FT_CO2reduction))*EUAfuture25)*EUA_25)</f>
        <v>336694.90494218428</v>
      </c>
      <c r="AG40" s="76">
        <f>SUM(B40*(((_xlfn.XLOOKUP(A40,ShipTypes,LookupTables!$R$2:$R$39)*FT_CO2reduction)+(((_xlfn.XLOOKUP(A40,ShipTypes,LookupTables!$S$2:$S$39)))*FT_CO2reduction))*EUAfuture26)*EUA_26)</f>
        <v>462955.4942955033</v>
      </c>
      <c r="AH40" s="76">
        <f>SUM(B40*(((_xlfn.XLOOKUP(A40,ShipTypes,LookupTables!$R$2:$R$39)*FT_CO2reduction)+(((_xlfn.XLOOKUP(A40,ShipTypes,LookupTables!$S$2:$S$39)))*FT_CO2reduction))*EUAfuture27)*EUA_27)</f>
        <v>977016.465234017</v>
      </c>
    </row>
    <row r="41" spans="1:34" ht="18.75">
      <c r="B41" s="84">
        <f>SUM(B4:B40)</f>
        <v>37</v>
      </c>
      <c r="C41" s="85" t="s">
        <v>55</v>
      </c>
      <c r="D41" s="86" t="s">
        <v>11</v>
      </c>
      <c r="E41" s="85" t="s">
        <v>56</v>
      </c>
      <c r="F41" s="85" t="s">
        <v>57</v>
      </c>
      <c r="G41" s="87">
        <v>2025</v>
      </c>
      <c r="H41" s="88">
        <v>2026</v>
      </c>
      <c r="I41" s="87">
        <v>2027</v>
      </c>
      <c r="J41" s="88">
        <v>2028</v>
      </c>
      <c r="K41" s="89">
        <v>2025</v>
      </c>
      <c r="L41" s="90">
        <v>2026</v>
      </c>
      <c r="M41" s="89">
        <v>2027</v>
      </c>
      <c r="N41" s="90">
        <v>2028</v>
      </c>
      <c r="P41" s="91">
        <v>2025</v>
      </c>
      <c r="Q41" s="92">
        <v>2026</v>
      </c>
      <c r="R41" s="91">
        <v>2027</v>
      </c>
      <c r="S41" s="92">
        <v>2028</v>
      </c>
      <c r="U41" s="89">
        <v>2025</v>
      </c>
      <c r="V41" s="90">
        <v>2026</v>
      </c>
      <c r="W41" s="89">
        <v>2027</v>
      </c>
      <c r="X41" s="90">
        <v>2028</v>
      </c>
      <c r="Z41" s="91">
        <v>2025</v>
      </c>
      <c r="AA41" s="92">
        <v>2026</v>
      </c>
      <c r="AB41" s="91">
        <v>2027</v>
      </c>
      <c r="AC41" s="92">
        <v>2028</v>
      </c>
      <c r="AE41" s="89">
        <v>2025</v>
      </c>
      <c r="AF41" s="90">
        <v>2026</v>
      </c>
      <c r="AG41" s="89">
        <v>2027</v>
      </c>
      <c r="AH41" s="90">
        <v>2028</v>
      </c>
    </row>
    <row r="42" spans="1:34" ht="17.25">
      <c r="B42" s="93" t="s">
        <v>58</v>
      </c>
      <c r="C42" s="94">
        <f t="shared" ref="C42:N42" si="20">SUM(C4:C40)</f>
        <v>2133672.3500000006</v>
      </c>
      <c r="D42" s="95">
        <f t="shared" si="20"/>
        <v>85773.628469999996</v>
      </c>
      <c r="E42" s="96">
        <f t="shared" si="20"/>
        <v>3209448.6121465</v>
      </c>
      <c r="F42" s="95">
        <f t="shared" si="20"/>
        <v>132229.28282043579</v>
      </c>
      <c r="G42" s="97">
        <f t="shared" si="20"/>
        <v>3809397.600000001</v>
      </c>
      <c r="H42" s="97">
        <f t="shared" si="20"/>
        <v>3809397.600000001</v>
      </c>
      <c r="I42" s="97">
        <f t="shared" si="20"/>
        <v>3809397.600000001</v>
      </c>
      <c r="J42" s="97">
        <f t="shared" si="20"/>
        <v>3809397.600000001</v>
      </c>
      <c r="K42" s="98">
        <f t="shared" si="20"/>
        <v>4655468.6712280791</v>
      </c>
      <c r="L42" s="98">
        <f t="shared" si="20"/>
        <v>8388311.5160521874</v>
      </c>
      <c r="M42" s="98">
        <f t="shared" si="20"/>
        <v>8388311.5160521874</v>
      </c>
      <c r="N42" s="98">
        <f t="shared" si="20"/>
        <v>10350703.194360266</v>
      </c>
      <c r="P42" s="99">
        <f t="shared" ref="P42:S42" si="21">SUM(P4:P40)</f>
        <v>43809326.974607997</v>
      </c>
      <c r="Q42" s="99">
        <f t="shared" si="21"/>
        <v>113903331.24507925</v>
      </c>
      <c r="R42" s="99">
        <f t="shared" si="21"/>
        <v>113903331.24507925</v>
      </c>
      <c r="S42" s="99">
        <f t="shared" si="21"/>
        <v>162719044.63582757</v>
      </c>
      <c r="U42" s="98">
        <f>SUM(U4:U40)</f>
        <v>846071.07122807996</v>
      </c>
      <c r="V42" s="98">
        <f>SUM(V4:V40)</f>
        <v>4578913.9160521869</v>
      </c>
      <c r="W42" s="98">
        <f>SUM(W4:W40)</f>
        <v>4578913.9160521869</v>
      </c>
      <c r="X42" s="98">
        <f>SUM(X4:X40)</f>
        <v>6541305.5943602659</v>
      </c>
      <c r="Z42" s="100">
        <f t="shared" ref="Z42:AC42" si="22">SUM(Z4:Z40)</f>
        <v>43809326.974607997</v>
      </c>
      <c r="AA42" s="100">
        <f t="shared" si="22"/>
        <v>145796263.99370143</v>
      </c>
      <c r="AB42" s="100">
        <f t="shared" si="22"/>
        <v>286385518.55905646</v>
      </c>
      <c r="AC42" s="100">
        <f t="shared" si="22"/>
        <v>423069516.05315155</v>
      </c>
      <c r="AE42" s="98">
        <f>SUM(AE4:AE40)</f>
        <v>1739489.1853715999</v>
      </c>
      <c r="AF42" s="98">
        <f>SUM(AF4:AF40)</f>
        <v>5861009.812546798</v>
      </c>
      <c r="AG42" s="98">
        <f>SUM(AG4:AG40)</f>
        <v>8058888.4922518488</v>
      </c>
      <c r="AH42" s="98">
        <f>SUM(AH4:AH40)</f>
        <v>17007394.545336694</v>
      </c>
    </row>
    <row r="43" spans="1:34" ht="15.75">
      <c r="D43" s="46"/>
      <c r="F43" s="46"/>
      <c r="O43" s="101"/>
      <c r="P43" s="102">
        <f>SUM(P42-U42)</f>
        <v>42963255.903379917</v>
      </c>
      <c r="Q43" s="102">
        <f>SUM(Q42-V42)</f>
        <v>109324417.32902706</v>
      </c>
      <c r="R43" s="102">
        <f>SUM(R42-W42)</f>
        <v>109324417.32902706</v>
      </c>
      <c r="S43" s="102">
        <f>SUM(S42-X42)</f>
        <v>156177739.04146731</v>
      </c>
      <c r="T43" s="103" t="s">
        <v>59</v>
      </c>
      <c r="Z43" s="102">
        <f>SUM(Z42-AE42)</f>
        <v>42069837.789236397</v>
      </c>
      <c r="AA43" s="102">
        <f>AA42-AF42</f>
        <v>139935254.18115464</v>
      </c>
      <c r="AB43" s="102">
        <f>AB42-AG42</f>
        <v>278326630.06680459</v>
      </c>
      <c r="AC43" s="102">
        <f>AC42-AH42</f>
        <v>406062121.50781488</v>
      </c>
      <c r="AD43" s="103" t="s">
        <v>59</v>
      </c>
    </row>
    <row r="44" spans="1:34" ht="15.75">
      <c r="A44" s="104" t="s">
        <v>60</v>
      </c>
      <c r="D44" s="46"/>
      <c r="F44" s="46"/>
    </row>
    <row r="45" spans="1:34" ht="15.75">
      <c r="A45" s="105" t="s">
        <v>61</v>
      </c>
      <c r="D45" s="46"/>
      <c r="F45" s="46"/>
    </row>
    <row r="46" spans="1:34" ht="15.75">
      <c r="D46" s="46"/>
      <c r="F46" s="46"/>
    </row>
    <row r="47" spans="1:34" ht="15.75">
      <c r="D47" s="46"/>
      <c r="F47" s="46"/>
    </row>
    <row r="48" spans="1:34" ht="15.75">
      <c r="D48" s="46"/>
      <c r="F48" s="46"/>
    </row>
    <row r="49" spans="4:6" ht="15.75">
      <c r="D49" s="46"/>
      <c r="F49" s="46"/>
    </row>
    <row r="50" spans="4:6" ht="15.75">
      <c r="D50" s="46"/>
      <c r="F50" s="46"/>
    </row>
    <row r="51" spans="4:6" ht="15.75">
      <c r="D51" s="46"/>
      <c r="F51" s="46"/>
    </row>
    <row r="52" spans="4:6" ht="15.75">
      <c r="D52" s="46"/>
      <c r="F52" s="46"/>
    </row>
    <row r="53" spans="4:6" ht="15.75">
      <c r="D53" s="46"/>
      <c r="F53" s="46"/>
    </row>
    <row r="54" spans="4:6" ht="15.75">
      <c r="D54" s="46"/>
      <c r="F54" s="46"/>
    </row>
    <row r="55" spans="4:6" ht="15.75">
      <c r="D55" s="46"/>
      <c r="F55" s="46"/>
    </row>
    <row r="56" spans="4:6" ht="15.75">
      <c r="D56" s="46"/>
      <c r="F56" s="46"/>
    </row>
    <row r="57" spans="4:6" ht="15.75">
      <c r="D57" s="46"/>
      <c r="F57" s="46"/>
    </row>
    <row r="58" spans="4:6" ht="15.75">
      <c r="D58" s="46"/>
      <c r="F58" s="46"/>
    </row>
    <row r="59" spans="4:6" ht="15.75">
      <c r="D59" s="46"/>
      <c r="F59" s="46"/>
    </row>
    <row r="60" spans="4:6" ht="15.75">
      <c r="D60" s="46"/>
      <c r="F60" s="46"/>
    </row>
    <row r="61" spans="4:6" ht="15.75">
      <c r="D61" s="46"/>
      <c r="F61" s="46"/>
    </row>
    <row r="62" spans="4:6" ht="15.75">
      <c r="D62" s="46"/>
      <c r="F62" s="46"/>
    </row>
    <row r="63" spans="4:6" ht="15.75">
      <c r="D63" s="46"/>
      <c r="F63" s="46"/>
    </row>
    <row r="64" spans="4:6" ht="15.75">
      <c r="D64" s="46"/>
      <c r="F64" s="46"/>
    </row>
    <row r="65" spans="4:6" ht="15.75">
      <c r="D65" s="46"/>
      <c r="F65" s="46"/>
    </row>
    <row r="66" spans="4:6" ht="15.75">
      <c r="D66" s="46"/>
      <c r="F66" s="46"/>
    </row>
    <row r="67" spans="4:6" ht="15.75">
      <c r="D67" s="46"/>
      <c r="F67" s="46"/>
    </row>
    <row r="68" spans="4:6" ht="15.75">
      <c r="D68" s="46"/>
      <c r="F68" s="46"/>
    </row>
    <row r="69" spans="4:6" ht="15.75">
      <c r="D69" s="46"/>
      <c r="F69" s="46"/>
    </row>
    <row r="70" spans="4:6" ht="15.75">
      <c r="D70" s="46"/>
      <c r="F70" s="46"/>
    </row>
    <row r="71" spans="4:6" ht="15.75">
      <c r="D71" s="46"/>
      <c r="F71" s="46"/>
    </row>
    <row r="72" spans="4:6" ht="15.75">
      <c r="D72" s="46"/>
      <c r="F72" s="46"/>
    </row>
    <row r="73" spans="4:6" ht="15.75">
      <c r="D73" s="46"/>
      <c r="F73" s="46"/>
    </row>
    <row r="74" spans="4:6" ht="15.75">
      <c r="D74" s="46"/>
      <c r="F74" s="46"/>
    </row>
    <row r="75" spans="4:6" ht="15.75">
      <c r="D75" s="46"/>
      <c r="F75" s="46"/>
    </row>
    <row r="76" spans="4:6" ht="15.75">
      <c r="D76" s="46"/>
      <c r="F76" s="46"/>
    </row>
    <row r="77" spans="4:6" ht="15.75">
      <c r="D77" s="46"/>
      <c r="F77" s="46"/>
    </row>
    <row r="78" spans="4:6" ht="15.75">
      <c r="D78" s="46"/>
      <c r="F78" s="46"/>
    </row>
    <row r="79" spans="4:6" ht="15.75">
      <c r="D79" s="46"/>
      <c r="F79" s="46"/>
    </row>
    <row r="80" spans="4:6" ht="15.75">
      <c r="D80" s="46"/>
      <c r="F80" s="46"/>
    </row>
    <row r="81" spans="4:6" ht="15.75">
      <c r="D81" s="46"/>
      <c r="F81" s="46"/>
    </row>
    <row r="82" spans="4:6" ht="15.75">
      <c r="D82" s="46"/>
      <c r="F82" s="46"/>
    </row>
    <row r="83" spans="4:6" ht="15.75">
      <c r="D83" s="46"/>
      <c r="F83" s="46"/>
    </row>
    <row r="84" spans="4:6" ht="15.75">
      <c r="D84" s="46"/>
      <c r="F84" s="46"/>
    </row>
    <row r="85" spans="4:6" ht="15.75">
      <c r="D85" s="46"/>
      <c r="F85" s="46"/>
    </row>
    <row r="86" spans="4:6" ht="15.75">
      <c r="D86" s="46"/>
      <c r="F86" s="46"/>
    </row>
    <row r="87" spans="4:6" ht="15.75">
      <c r="D87" s="46"/>
      <c r="F87" s="46"/>
    </row>
    <row r="88" spans="4:6" ht="15.75">
      <c r="D88" s="46"/>
      <c r="F88" s="46"/>
    </row>
    <row r="89" spans="4:6" ht="15.75">
      <c r="D89" s="46"/>
      <c r="F89" s="46"/>
    </row>
    <row r="90" spans="4:6" ht="15.75">
      <c r="D90" s="46"/>
      <c r="F90" s="46"/>
    </row>
    <row r="91" spans="4:6" ht="15.75">
      <c r="D91" s="46"/>
      <c r="F91" s="46"/>
    </row>
    <row r="92" spans="4:6" ht="15.75">
      <c r="D92" s="46"/>
      <c r="F92" s="46"/>
    </row>
    <row r="93" spans="4:6" ht="15.75">
      <c r="D93" s="46"/>
      <c r="F93" s="46"/>
    </row>
    <row r="94" spans="4:6" ht="15.75">
      <c r="D94" s="46"/>
      <c r="F94" s="46"/>
    </row>
    <row r="95" spans="4:6" ht="15.75">
      <c r="D95" s="46"/>
      <c r="F95" s="46"/>
    </row>
    <row r="96" spans="4:6" ht="15.75">
      <c r="D96" s="46"/>
      <c r="F96" s="46"/>
    </row>
    <row r="97" spans="4:6" ht="15.75">
      <c r="D97" s="46"/>
      <c r="F97" s="46"/>
    </row>
    <row r="98" spans="4:6" ht="15.75">
      <c r="D98" s="46"/>
      <c r="F98" s="46"/>
    </row>
    <row r="99" spans="4:6" ht="15.75">
      <c r="D99" s="46"/>
      <c r="F99" s="46"/>
    </row>
    <row r="100" spans="4:6" ht="15.75">
      <c r="D100" s="46"/>
      <c r="F100" s="46"/>
    </row>
    <row r="101" spans="4:6" ht="15.75">
      <c r="D101" s="46"/>
      <c r="F101" s="46"/>
    </row>
    <row r="102" spans="4:6" ht="15.75">
      <c r="D102" s="46"/>
      <c r="F102" s="46"/>
    </row>
    <row r="103" spans="4:6" ht="15.75">
      <c r="D103" s="46"/>
      <c r="F103" s="46"/>
    </row>
    <row r="104" spans="4:6" ht="15.75">
      <c r="D104" s="46"/>
      <c r="F104" s="46"/>
    </row>
    <row r="105" spans="4:6" ht="15.75">
      <c r="D105" s="46"/>
      <c r="F105" s="46"/>
    </row>
    <row r="106" spans="4:6" ht="15.75">
      <c r="D106" s="46"/>
      <c r="F106" s="46"/>
    </row>
    <row r="107" spans="4:6" ht="15.75">
      <c r="D107" s="46"/>
      <c r="F107" s="46"/>
    </row>
    <row r="108" spans="4:6" ht="15.75">
      <c r="D108" s="46"/>
      <c r="F108" s="46"/>
    </row>
    <row r="109" spans="4:6" ht="15.75">
      <c r="D109" s="46"/>
      <c r="F109" s="46"/>
    </row>
    <row r="110" spans="4:6" ht="15.75">
      <c r="D110" s="46"/>
      <c r="F110" s="46"/>
    </row>
    <row r="111" spans="4:6" ht="15.75">
      <c r="D111" s="46"/>
      <c r="F111" s="46"/>
    </row>
    <row r="112" spans="4:6" ht="15.75">
      <c r="D112" s="46"/>
      <c r="F112" s="46"/>
    </row>
    <row r="113" spans="4:6" ht="15.75">
      <c r="D113" s="46"/>
      <c r="F113" s="46"/>
    </row>
    <row r="114" spans="4:6" ht="15.75">
      <c r="D114" s="46"/>
      <c r="F114" s="46"/>
    </row>
    <row r="115" spans="4:6" ht="15.75">
      <c r="D115" s="46"/>
      <c r="F115" s="46"/>
    </row>
    <row r="116" spans="4:6" ht="15.75">
      <c r="D116" s="46"/>
      <c r="F116" s="46"/>
    </row>
    <row r="117" spans="4:6" ht="15.75">
      <c r="D117" s="46"/>
      <c r="F117" s="46"/>
    </row>
    <row r="118" spans="4:6" ht="15.75">
      <c r="D118" s="46"/>
      <c r="F118" s="46"/>
    </row>
    <row r="119" spans="4:6" ht="15.75">
      <c r="D119" s="46"/>
      <c r="F119" s="46"/>
    </row>
    <row r="120" spans="4:6" ht="15.75">
      <c r="D120" s="46"/>
      <c r="F120" s="46"/>
    </row>
    <row r="121" spans="4:6" ht="15.75">
      <c r="D121" s="46"/>
      <c r="F121" s="46"/>
    </row>
    <row r="122" spans="4:6" ht="15.75">
      <c r="D122" s="46"/>
      <c r="F122" s="46"/>
    </row>
    <row r="123" spans="4:6" ht="15.75">
      <c r="D123" s="46"/>
      <c r="F123" s="46"/>
    </row>
    <row r="124" spans="4:6" ht="15.75">
      <c r="D124" s="46"/>
      <c r="F124" s="46"/>
    </row>
    <row r="125" spans="4:6" ht="15.75">
      <c r="D125" s="46"/>
      <c r="F125" s="46"/>
    </row>
    <row r="126" spans="4:6" ht="15.75">
      <c r="D126" s="46"/>
      <c r="F126" s="46"/>
    </row>
    <row r="127" spans="4:6" ht="15.75">
      <c r="D127" s="46"/>
      <c r="F127" s="46"/>
    </row>
    <row r="128" spans="4:6" ht="15.75">
      <c r="D128" s="46"/>
      <c r="F128" s="46"/>
    </row>
    <row r="129" spans="4:6" ht="15.75">
      <c r="D129" s="46"/>
      <c r="F129" s="46"/>
    </row>
    <row r="130" spans="4:6" ht="15.75">
      <c r="D130" s="46"/>
      <c r="F130" s="46"/>
    </row>
    <row r="131" spans="4:6" ht="15.75">
      <c r="D131" s="46"/>
      <c r="F131" s="46"/>
    </row>
    <row r="132" spans="4:6" ht="15.75">
      <c r="D132" s="46"/>
      <c r="F132" s="46"/>
    </row>
    <row r="133" spans="4:6" ht="15.75">
      <c r="D133" s="46"/>
      <c r="F133" s="46"/>
    </row>
    <row r="134" spans="4:6" ht="15.75">
      <c r="D134" s="46"/>
      <c r="F134" s="46"/>
    </row>
    <row r="135" spans="4:6" ht="15.75">
      <c r="D135" s="46"/>
      <c r="F135" s="46"/>
    </row>
    <row r="136" spans="4:6" ht="15.75">
      <c r="D136" s="46"/>
      <c r="F136" s="46"/>
    </row>
    <row r="137" spans="4:6" ht="15.75">
      <c r="D137" s="46"/>
      <c r="F137" s="46"/>
    </row>
    <row r="138" spans="4:6" ht="15.75">
      <c r="D138" s="46"/>
      <c r="F138" s="46"/>
    </row>
    <row r="139" spans="4:6" ht="15.75">
      <c r="D139" s="46"/>
      <c r="F139" s="46"/>
    </row>
    <row r="140" spans="4:6" ht="15.75">
      <c r="D140" s="46"/>
      <c r="F140" s="46"/>
    </row>
    <row r="141" spans="4:6" ht="15.75">
      <c r="D141" s="46"/>
      <c r="F141" s="46"/>
    </row>
    <row r="142" spans="4:6" ht="15.75">
      <c r="D142" s="46"/>
      <c r="F142" s="46"/>
    </row>
    <row r="143" spans="4:6" ht="15.75">
      <c r="D143" s="46"/>
      <c r="F143" s="46"/>
    </row>
    <row r="144" spans="4:6" ht="15.75">
      <c r="D144" s="46"/>
      <c r="F144" s="46"/>
    </row>
    <row r="145" spans="4:6" ht="15.75">
      <c r="D145" s="46"/>
      <c r="F145" s="46"/>
    </row>
    <row r="146" spans="4:6" ht="15.75">
      <c r="D146" s="46"/>
      <c r="F146" s="46"/>
    </row>
    <row r="147" spans="4:6" ht="15.75">
      <c r="D147" s="46"/>
      <c r="F147" s="46"/>
    </row>
    <row r="148" spans="4:6" ht="15.75">
      <c r="D148" s="46"/>
      <c r="F148" s="46"/>
    </row>
    <row r="149" spans="4:6" ht="15.75">
      <c r="D149" s="46"/>
      <c r="F149" s="46"/>
    </row>
    <row r="150" spans="4:6" ht="15.75">
      <c r="D150" s="46"/>
      <c r="F150" s="46"/>
    </row>
    <row r="151" spans="4:6" ht="15.75">
      <c r="D151" s="46"/>
      <c r="F151" s="46"/>
    </row>
    <row r="152" spans="4:6" ht="15.75">
      <c r="D152" s="46"/>
      <c r="F152" s="46"/>
    </row>
    <row r="153" spans="4:6" ht="15.75">
      <c r="D153" s="46"/>
      <c r="F153" s="46"/>
    </row>
    <row r="154" spans="4:6" ht="15.75">
      <c r="D154" s="46"/>
      <c r="F154" s="46"/>
    </row>
    <row r="155" spans="4:6" ht="15.75">
      <c r="D155" s="46"/>
      <c r="F155" s="46"/>
    </row>
    <row r="156" spans="4:6" ht="15.75">
      <c r="D156" s="46"/>
      <c r="F156" s="46"/>
    </row>
    <row r="157" spans="4:6" ht="15.75">
      <c r="D157" s="46"/>
      <c r="F157" s="46"/>
    </row>
    <row r="158" spans="4:6" ht="15.75">
      <c r="D158" s="46"/>
      <c r="F158" s="46"/>
    </row>
    <row r="159" spans="4:6" ht="15.75">
      <c r="D159" s="46"/>
      <c r="F159" s="46"/>
    </row>
    <row r="160" spans="4:6" ht="15.75">
      <c r="D160" s="46"/>
      <c r="F160" s="46"/>
    </row>
    <row r="161" spans="4:6" ht="15.75">
      <c r="D161" s="46"/>
      <c r="F161" s="46"/>
    </row>
    <row r="162" spans="4:6" ht="15.75">
      <c r="D162" s="46"/>
      <c r="F162" s="46"/>
    </row>
    <row r="163" spans="4:6" ht="15.75">
      <c r="D163" s="46"/>
      <c r="F163" s="46"/>
    </row>
    <row r="164" spans="4:6" ht="15.75">
      <c r="D164" s="46"/>
      <c r="F164" s="46"/>
    </row>
    <row r="165" spans="4:6" ht="15.75">
      <c r="D165" s="46"/>
      <c r="F165" s="46"/>
    </row>
    <row r="166" spans="4:6" ht="15.75">
      <c r="D166" s="46"/>
      <c r="F166" s="46"/>
    </row>
    <row r="167" spans="4:6" ht="15.75">
      <c r="D167" s="46"/>
      <c r="F167" s="46"/>
    </row>
    <row r="168" spans="4:6" ht="15.75">
      <c r="D168" s="46"/>
      <c r="F168" s="46"/>
    </row>
    <row r="169" spans="4:6" ht="15.75">
      <c r="D169" s="46"/>
      <c r="F169" s="46"/>
    </row>
    <row r="170" spans="4:6" ht="15.75">
      <c r="D170" s="46"/>
      <c r="F170" s="46"/>
    </row>
    <row r="171" spans="4:6" ht="15.75">
      <c r="D171" s="46"/>
      <c r="F171" s="46"/>
    </row>
    <row r="172" spans="4:6" ht="15.75">
      <c r="D172" s="46"/>
      <c r="F172" s="46"/>
    </row>
    <row r="173" spans="4:6" ht="15.75">
      <c r="D173" s="46"/>
      <c r="F173" s="46"/>
    </row>
    <row r="174" spans="4:6" ht="15.75">
      <c r="D174" s="46"/>
      <c r="F174" s="46"/>
    </row>
    <row r="175" spans="4:6" ht="15.75">
      <c r="D175" s="46"/>
      <c r="F175" s="46"/>
    </row>
    <row r="176" spans="4:6" ht="15.75">
      <c r="D176" s="46"/>
      <c r="F176" s="46"/>
    </row>
    <row r="177" spans="4:6" ht="15.75">
      <c r="D177" s="46"/>
      <c r="F177" s="46"/>
    </row>
    <row r="178" spans="4:6" ht="15.75">
      <c r="D178" s="46"/>
      <c r="F178" s="46"/>
    </row>
    <row r="179" spans="4:6" ht="15.75">
      <c r="D179" s="46"/>
      <c r="F179" s="46"/>
    </row>
    <row r="180" spans="4:6" ht="15.75">
      <c r="D180" s="46"/>
      <c r="F180" s="46"/>
    </row>
    <row r="181" spans="4:6" ht="15.75">
      <c r="D181" s="46"/>
      <c r="F181" s="46"/>
    </row>
    <row r="182" spans="4:6" ht="15.75">
      <c r="D182" s="46"/>
      <c r="F182" s="46"/>
    </row>
    <row r="183" spans="4:6" ht="15.75">
      <c r="D183" s="46"/>
      <c r="F183" s="46"/>
    </row>
    <row r="184" spans="4:6" ht="15.75">
      <c r="D184" s="46"/>
      <c r="F184" s="46"/>
    </row>
    <row r="185" spans="4:6" ht="15.75">
      <c r="D185" s="46"/>
      <c r="F185" s="46"/>
    </row>
    <row r="186" spans="4:6" ht="15.75">
      <c r="D186" s="46"/>
      <c r="F186" s="46"/>
    </row>
    <row r="187" spans="4:6" ht="15.75">
      <c r="D187" s="46"/>
      <c r="F187" s="46"/>
    </row>
    <row r="188" spans="4:6" ht="15.75">
      <c r="D188" s="46"/>
      <c r="F188" s="46"/>
    </row>
    <row r="189" spans="4:6" ht="15.75">
      <c r="D189" s="46"/>
      <c r="F189" s="46"/>
    </row>
    <row r="190" spans="4:6" ht="15.75">
      <c r="D190" s="46"/>
      <c r="F190" s="46"/>
    </row>
    <row r="191" spans="4:6" ht="15.75">
      <c r="D191" s="46"/>
      <c r="F191" s="46"/>
    </row>
    <row r="192" spans="4:6" ht="15.75">
      <c r="D192" s="46"/>
      <c r="F192" s="46"/>
    </row>
    <row r="193" spans="4:6" ht="15.75">
      <c r="D193" s="46"/>
      <c r="F193" s="46"/>
    </row>
    <row r="194" spans="4:6" ht="15.75">
      <c r="D194" s="46"/>
      <c r="F194" s="46"/>
    </row>
    <row r="195" spans="4:6" ht="15.75">
      <c r="D195" s="46"/>
      <c r="F195" s="46"/>
    </row>
    <row r="196" spans="4:6" ht="15.75">
      <c r="D196" s="46"/>
      <c r="F196" s="46"/>
    </row>
    <row r="197" spans="4:6" ht="15.75">
      <c r="D197" s="46"/>
      <c r="F197" s="46"/>
    </row>
    <row r="198" spans="4:6" ht="15.75">
      <c r="D198" s="46"/>
      <c r="F198" s="46"/>
    </row>
    <row r="199" spans="4:6" ht="15.75">
      <c r="D199" s="46"/>
      <c r="F199" s="46"/>
    </row>
    <row r="200" spans="4:6" ht="15.75">
      <c r="D200" s="46"/>
      <c r="F200" s="46"/>
    </row>
    <row r="201" spans="4:6" ht="15.75">
      <c r="D201" s="46"/>
      <c r="F201" s="46"/>
    </row>
    <row r="202" spans="4:6" ht="15.75">
      <c r="D202" s="46"/>
      <c r="F202" s="46"/>
    </row>
    <row r="203" spans="4:6" ht="15.75">
      <c r="D203" s="46"/>
      <c r="F203" s="46"/>
    </row>
    <row r="204" spans="4:6" ht="15.75">
      <c r="D204" s="46"/>
      <c r="F204" s="46"/>
    </row>
    <row r="205" spans="4:6" ht="15.75">
      <c r="D205" s="46"/>
      <c r="F205" s="46"/>
    </row>
    <row r="206" spans="4:6" ht="15.75">
      <c r="D206" s="46"/>
      <c r="F206" s="46"/>
    </row>
    <row r="207" spans="4:6" ht="15.75">
      <c r="D207" s="46"/>
      <c r="F207" s="46"/>
    </row>
    <row r="208" spans="4:6" ht="15.75">
      <c r="D208" s="46"/>
      <c r="F208" s="46"/>
    </row>
    <row r="209" spans="4:6" ht="15.75">
      <c r="D209" s="46"/>
      <c r="F209" s="46"/>
    </row>
    <row r="210" spans="4:6" ht="15.75">
      <c r="D210" s="46"/>
      <c r="F210" s="46"/>
    </row>
    <row r="211" spans="4:6" ht="15.75">
      <c r="D211" s="46"/>
      <c r="F211" s="46"/>
    </row>
    <row r="212" spans="4:6" ht="15.75">
      <c r="D212" s="46"/>
      <c r="F212" s="46"/>
    </row>
    <row r="213" spans="4:6" ht="15.75">
      <c r="D213" s="46"/>
      <c r="F213" s="46"/>
    </row>
    <row r="214" spans="4:6" ht="15.75">
      <c r="D214" s="46"/>
      <c r="F214" s="46"/>
    </row>
    <row r="215" spans="4:6" ht="15.75">
      <c r="D215" s="46"/>
      <c r="F215" s="46"/>
    </row>
    <row r="216" spans="4:6" ht="15.75">
      <c r="D216" s="46"/>
      <c r="F216" s="46"/>
    </row>
    <row r="217" spans="4:6" ht="15.75">
      <c r="D217" s="46"/>
      <c r="F217" s="46"/>
    </row>
    <row r="218" spans="4:6" ht="15.75">
      <c r="D218" s="46"/>
      <c r="F218" s="46"/>
    </row>
    <row r="219" spans="4:6" ht="15.75">
      <c r="D219" s="46"/>
      <c r="F219" s="46"/>
    </row>
    <row r="220" spans="4:6" ht="15.75">
      <c r="D220" s="46"/>
      <c r="F220" s="46"/>
    </row>
    <row r="221" spans="4:6" ht="15.75">
      <c r="D221" s="46"/>
      <c r="F221" s="46"/>
    </row>
    <row r="222" spans="4:6" ht="15.75">
      <c r="D222" s="46"/>
      <c r="F222" s="46"/>
    </row>
    <row r="223" spans="4:6" ht="15.75">
      <c r="D223" s="46"/>
      <c r="F223" s="46"/>
    </row>
    <row r="224" spans="4:6" ht="15.75">
      <c r="D224" s="46"/>
      <c r="F224" s="46"/>
    </row>
    <row r="225" spans="4:6" ht="15.75">
      <c r="D225" s="46"/>
      <c r="F225" s="46"/>
    </row>
    <row r="226" spans="4:6" ht="15.75">
      <c r="D226" s="46"/>
      <c r="F226" s="46"/>
    </row>
    <row r="227" spans="4:6" ht="15.75">
      <c r="D227" s="46"/>
      <c r="F227" s="46"/>
    </row>
    <row r="228" spans="4:6" ht="15.75">
      <c r="D228" s="46"/>
      <c r="F228" s="46"/>
    </row>
    <row r="229" spans="4:6" ht="15.75">
      <c r="D229" s="46"/>
      <c r="F229" s="46"/>
    </row>
    <row r="230" spans="4:6" ht="15.75">
      <c r="D230" s="46"/>
      <c r="F230" s="46"/>
    </row>
    <row r="231" spans="4:6" ht="15.75">
      <c r="D231" s="46"/>
      <c r="F231" s="46"/>
    </row>
    <row r="232" spans="4:6" ht="15.75">
      <c r="D232" s="46"/>
      <c r="F232" s="46"/>
    </row>
    <row r="233" spans="4:6" ht="15.75">
      <c r="D233" s="46"/>
      <c r="F233" s="46"/>
    </row>
    <row r="234" spans="4:6" ht="15.75">
      <c r="D234" s="46"/>
      <c r="F234" s="46"/>
    </row>
    <row r="235" spans="4:6" ht="15.75">
      <c r="D235" s="46"/>
      <c r="F235" s="46"/>
    </row>
    <row r="236" spans="4:6" ht="15.75">
      <c r="D236" s="46"/>
      <c r="F236" s="46"/>
    </row>
    <row r="237" spans="4:6" ht="15.75">
      <c r="D237" s="46"/>
      <c r="F237" s="46"/>
    </row>
    <row r="238" spans="4:6" ht="15.75">
      <c r="D238" s="46"/>
      <c r="F238" s="46"/>
    </row>
    <row r="239" spans="4:6" ht="15.75">
      <c r="D239" s="46"/>
      <c r="F239" s="46"/>
    </row>
    <row r="240" spans="4:6" ht="15.75">
      <c r="D240" s="46"/>
      <c r="F240" s="46"/>
    </row>
    <row r="241" spans="4:6" ht="15.75">
      <c r="D241" s="46"/>
      <c r="F241" s="46"/>
    </row>
    <row r="242" spans="4:6" ht="15.75">
      <c r="D242" s="46"/>
      <c r="F242" s="46"/>
    </row>
    <row r="243" spans="4:6" ht="15.75">
      <c r="D243" s="46"/>
      <c r="F243" s="46"/>
    </row>
    <row r="244" spans="4:6" ht="15.75">
      <c r="D244" s="46"/>
      <c r="F244" s="46"/>
    </row>
    <row r="245" spans="4:6" ht="15.75">
      <c r="D245" s="46"/>
      <c r="F245" s="46"/>
    </row>
    <row r="246" spans="4:6" ht="15.75">
      <c r="D246" s="46"/>
      <c r="F246" s="46"/>
    </row>
    <row r="247" spans="4:6" ht="15.75">
      <c r="D247" s="46"/>
      <c r="F247" s="46"/>
    </row>
    <row r="248" spans="4:6" ht="15.75">
      <c r="D248" s="46"/>
      <c r="F248" s="46"/>
    </row>
    <row r="249" spans="4:6" ht="15.75">
      <c r="D249" s="46"/>
      <c r="F249" s="46"/>
    </row>
    <row r="250" spans="4:6" ht="15.75">
      <c r="D250" s="46"/>
      <c r="F250" s="46"/>
    </row>
    <row r="251" spans="4:6" ht="15.75">
      <c r="D251" s="46"/>
      <c r="F251" s="46"/>
    </row>
    <row r="252" spans="4:6" ht="15.75">
      <c r="D252" s="46"/>
      <c r="F252" s="46"/>
    </row>
    <row r="253" spans="4:6" ht="15.75">
      <c r="D253" s="46"/>
      <c r="F253" s="46"/>
    </row>
    <row r="254" spans="4:6" ht="15.75">
      <c r="D254" s="46"/>
      <c r="F254" s="46"/>
    </row>
    <row r="255" spans="4:6" ht="15.75">
      <c r="D255" s="46"/>
      <c r="F255" s="46"/>
    </row>
    <row r="256" spans="4:6" ht="15.75">
      <c r="D256" s="46"/>
      <c r="F256" s="46"/>
    </row>
    <row r="257" spans="4:6" ht="15.75">
      <c r="D257" s="46"/>
      <c r="F257" s="46"/>
    </row>
    <row r="258" spans="4:6" ht="15.75">
      <c r="D258" s="46"/>
      <c r="F258" s="46"/>
    </row>
    <row r="259" spans="4:6" ht="15.75">
      <c r="D259" s="46"/>
      <c r="F259" s="46"/>
    </row>
    <row r="260" spans="4:6" ht="15.75">
      <c r="D260" s="46"/>
      <c r="F260" s="46"/>
    </row>
    <row r="261" spans="4:6" ht="15.75">
      <c r="D261" s="46"/>
      <c r="F261" s="46"/>
    </row>
    <row r="262" spans="4:6" ht="15.75">
      <c r="D262" s="46"/>
      <c r="F262" s="46"/>
    </row>
    <row r="263" spans="4:6" ht="15.75">
      <c r="D263" s="46"/>
      <c r="F263" s="46"/>
    </row>
    <row r="264" spans="4:6" ht="15.75">
      <c r="D264" s="46"/>
      <c r="F264" s="46"/>
    </row>
    <row r="265" spans="4:6" ht="15.75">
      <c r="D265" s="46"/>
      <c r="F265" s="46"/>
    </row>
    <row r="266" spans="4:6" ht="15.75">
      <c r="D266" s="46"/>
      <c r="F266" s="46"/>
    </row>
    <row r="267" spans="4:6" ht="15.75">
      <c r="D267" s="46"/>
      <c r="F267" s="46"/>
    </row>
    <row r="268" spans="4:6" ht="15.75">
      <c r="D268" s="46"/>
      <c r="F268" s="46"/>
    </row>
    <row r="269" spans="4:6" ht="15.75">
      <c r="D269" s="46"/>
      <c r="F269" s="46"/>
    </row>
    <row r="270" spans="4:6" ht="15.75">
      <c r="D270" s="46"/>
      <c r="F270" s="46"/>
    </row>
    <row r="271" spans="4:6" ht="15.75">
      <c r="D271" s="46"/>
      <c r="F271" s="46"/>
    </row>
    <row r="272" spans="4:6" ht="15.75">
      <c r="D272" s="46"/>
      <c r="F272" s="46"/>
    </row>
    <row r="273" spans="4:6" ht="15.75">
      <c r="D273" s="46"/>
      <c r="F273" s="46"/>
    </row>
    <row r="274" spans="4:6" ht="15.75">
      <c r="D274" s="46"/>
      <c r="F274" s="46"/>
    </row>
    <row r="275" spans="4:6" ht="15.75">
      <c r="D275" s="46"/>
      <c r="F275" s="46"/>
    </row>
    <row r="276" spans="4:6" ht="15.75">
      <c r="D276" s="46"/>
      <c r="F276" s="46"/>
    </row>
    <row r="277" spans="4:6" ht="15.75">
      <c r="D277" s="46"/>
      <c r="F277" s="46"/>
    </row>
    <row r="278" spans="4:6" ht="15.75">
      <c r="D278" s="46"/>
      <c r="F278" s="46"/>
    </row>
    <row r="279" spans="4:6" ht="15.75">
      <c r="D279" s="46"/>
      <c r="F279" s="46"/>
    </row>
    <row r="280" spans="4:6" ht="15.75">
      <c r="D280" s="46"/>
      <c r="F280" s="46"/>
    </row>
    <row r="281" spans="4:6" ht="15.75">
      <c r="D281" s="46"/>
      <c r="F281" s="46"/>
    </row>
    <row r="282" spans="4:6" ht="15.75">
      <c r="D282" s="46"/>
      <c r="F282" s="46"/>
    </row>
    <row r="283" spans="4:6" ht="15.75">
      <c r="D283" s="46"/>
      <c r="F283" s="46"/>
    </row>
    <row r="284" spans="4:6" ht="15.75">
      <c r="D284" s="46"/>
      <c r="F284" s="46"/>
    </row>
    <row r="285" spans="4:6" ht="15.75">
      <c r="D285" s="46"/>
      <c r="F285" s="46"/>
    </row>
    <row r="286" spans="4:6" ht="15.75">
      <c r="D286" s="46"/>
      <c r="F286" s="46"/>
    </row>
    <row r="287" spans="4:6" ht="15.75">
      <c r="D287" s="46"/>
      <c r="F287" s="46"/>
    </row>
    <row r="288" spans="4:6" ht="15.75">
      <c r="D288" s="46"/>
      <c r="F288" s="46"/>
    </row>
    <row r="289" spans="4:6" ht="15.75">
      <c r="D289" s="46"/>
      <c r="F289" s="46"/>
    </row>
    <row r="290" spans="4:6" ht="15.75">
      <c r="D290" s="46"/>
      <c r="F290" s="46"/>
    </row>
    <row r="291" spans="4:6" ht="15.75">
      <c r="D291" s="46"/>
      <c r="F291" s="46"/>
    </row>
    <row r="292" spans="4:6" ht="15.75">
      <c r="D292" s="46"/>
      <c r="F292" s="46"/>
    </row>
    <row r="293" spans="4:6" ht="15.75">
      <c r="D293" s="46"/>
      <c r="F293" s="46"/>
    </row>
    <row r="294" spans="4:6" ht="15.75">
      <c r="D294" s="46"/>
      <c r="F294" s="46"/>
    </row>
    <row r="295" spans="4:6" ht="15.75">
      <c r="D295" s="46"/>
      <c r="F295" s="46"/>
    </row>
    <row r="296" spans="4:6" ht="15.75">
      <c r="D296" s="46"/>
      <c r="F296" s="46"/>
    </row>
    <row r="297" spans="4:6" ht="15.75">
      <c r="D297" s="46"/>
      <c r="F297" s="46"/>
    </row>
    <row r="298" spans="4:6" ht="15.75">
      <c r="D298" s="46"/>
      <c r="F298" s="46"/>
    </row>
    <row r="299" spans="4:6" ht="15.75">
      <c r="D299" s="46"/>
      <c r="F299" s="46"/>
    </row>
    <row r="300" spans="4:6" ht="15.75">
      <c r="D300" s="46"/>
      <c r="F300" s="46"/>
    </row>
    <row r="301" spans="4:6" ht="15.75">
      <c r="D301" s="46"/>
      <c r="F301" s="46"/>
    </row>
    <row r="302" spans="4:6" ht="15.75">
      <c r="D302" s="46"/>
      <c r="F302" s="46"/>
    </row>
    <row r="303" spans="4:6" ht="15.75">
      <c r="D303" s="46"/>
      <c r="F303" s="46"/>
    </row>
    <row r="304" spans="4:6" ht="15.75">
      <c r="D304" s="46"/>
      <c r="F304" s="46"/>
    </row>
    <row r="305" spans="4:6" ht="15.75">
      <c r="D305" s="46"/>
      <c r="F305" s="46"/>
    </row>
    <row r="306" spans="4:6" ht="15.75">
      <c r="D306" s="46"/>
      <c r="F306" s="46"/>
    </row>
    <row r="307" spans="4:6" ht="15.75">
      <c r="D307" s="46"/>
      <c r="F307" s="46"/>
    </row>
    <row r="308" spans="4:6" ht="15.75">
      <c r="D308" s="46"/>
      <c r="F308" s="46"/>
    </row>
    <row r="309" spans="4:6" ht="15.75">
      <c r="D309" s="46"/>
      <c r="F309" s="46"/>
    </row>
    <row r="310" spans="4:6" ht="15.75">
      <c r="D310" s="46"/>
      <c r="F310" s="46"/>
    </row>
    <row r="311" spans="4:6" ht="15.75">
      <c r="D311" s="46"/>
      <c r="F311" s="46"/>
    </row>
    <row r="312" spans="4:6" ht="15.75">
      <c r="D312" s="46"/>
      <c r="F312" s="46"/>
    </row>
    <row r="313" spans="4:6" ht="15.75">
      <c r="D313" s="46"/>
      <c r="F313" s="46"/>
    </row>
    <row r="314" spans="4:6" ht="15.75">
      <c r="D314" s="46"/>
      <c r="F314" s="46"/>
    </row>
    <row r="315" spans="4:6" ht="15.75">
      <c r="D315" s="46"/>
      <c r="F315" s="46"/>
    </row>
    <row r="316" spans="4:6" ht="15.75">
      <c r="D316" s="46"/>
      <c r="F316" s="46"/>
    </row>
    <row r="317" spans="4:6" ht="15.75">
      <c r="D317" s="46"/>
      <c r="F317" s="46"/>
    </row>
    <row r="318" spans="4:6" ht="15.75">
      <c r="D318" s="46"/>
      <c r="F318" s="46"/>
    </row>
    <row r="319" spans="4:6" ht="15.75">
      <c r="D319" s="46"/>
      <c r="F319" s="46"/>
    </row>
    <row r="320" spans="4:6" ht="15.75">
      <c r="D320" s="46"/>
      <c r="F320" s="46"/>
    </row>
    <row r="321" spans="4:6" ht="15.75">
      <c r="D321" s="46"/>
      <c r="F321" s="46"/>
    </row>
    <row r="322" spans="4:6" ht="15.75">
      <c r="D322" s="46"/>
      <c r="F322" s="46"/>
    </row>
    <row r="323" spans="4:6" ht="15.75">
      <c r="D323" s="46"/>
      <c r="F323" s="46"/>
    </row>
    <row r="324" spans="4:6" ht="15.75">
      <c r="D324" s="46"/>
      <c r="F324" s="46"/>
    </row>
    <row r="325" spans="4:6" ht="15.75">
      <c r="D325" s="46"/>
      <c r="F325" s="46"/>
    </row>
    <row r="326" spans="4:6" ht="15.75">
      <c r="D326" s="46"/>
      <c r="F326" s="46"/>
    </row>
    <row r="327" spans="4:6" ht="15.75">
      <c r="D327" s="46"/>
      <c r="F327" s="46"/>
    </row>
    <row r="328" spans="4:6" ht="15.75">
      <c r="D328" s="46"/>
      <c r="F328" s="46"/>
    </row>
    <row r="329" spans="4:6" ht="15.75">
      <c r="D329" s="46"/>
      <c r="F329" s="46"/>
    </row>
    <row r="330" spans="4:6" ht="15.75">
      <c r="D330" s="46"/>
      <c r="F330" s="46"/>
    </row>
    <row r="331" spans="4:6" ht="15.75">
      <c r="D331" s="46"/>
      <c r="F331" s="46"/>
    </row>
    <row r="332" spans="4:6" ht="15.75">
      <c r="D332" s="46"/>
      <c r="F332" s="46"/>
    </row>
    <row r="333" spans="4:6" ht="15.75">
      <c r="D333" s="46"/>
      <c r="F333" s="46"/>
    </row>
    <row r="334" spans="4:6" ht="15.75">
      <c r="D334" s="46"/>
      <c r="F334" s="46"/>
    </row>
    <row r="335" spans="4:6" ht="15.75">
      <c r="D335" s="46"/>
      <c r="F335" s="46"/>
    </row>
    <row r="336" spans="4:6" ht="15.75">
      <c r="D336" s="46"/>
      <c r="F336" s="46"/>
    </row>
    <row r="337" spans="4:6" ht="15.75">
      <c r="D337" s="46"/>
      <c r="F337" s="46"/>
    </row>
    <row r="338" spans="4:6" ht="15.75">
      <c r="D338" s="46"/>
      <c r="F338" s="46"/>
    </row>
    <row r="339" spans="4:6" ht="15.75">
      <c r="D339" s="46"/>
      <c r="F339" s="46"/>
    </row>
    <row r="340" spans="4:6" ht="15.75">
      <c r="D340" s="46"/>
      <c r="F340" s="46"/>
    </row>
    <row r="341" spans="4:6" ht="15.75">
      <c r="D341" s="46"/>
      <c r="F341" s="46"/>
    </row>
    <row r="342" spans="4:6" ht="15.75">
      <c r="D342" s="46"/>
      <c r="F342" s="46"/>
    </row>
    <row r="343" spans="4:6" ht="15.75">
      <c r="D343" s="46"/>
      <c r="F343" s="46"/>
    </row>
    <row r="344" spans="4:6" ht="15.75">
      <c r="D344" s="46"/>
      <c r="F344" s="46"/>
    </row>
    <row r="345" spans="4:6" ht="15.75">
      <c r="D345" s="46"/>
      <c r="F345" s="46"/>
    </row>
    <row r="346" spans="4:6" ht="15.75">
      <c r="D346" s="46"/>
      <c r="F346" s="46"/>
    </row>
    <row r="347" spans="4:6" ht="15.75">
      <c r="D347" s="46"/>
      <c r="F347" s="46"/>
    </row>
    <row r="348" spans="4:6" ht="15.75">
      <c r="D348" s="46"/>
      <c r="F348" s="46"/>
    </row>
    <row r="349" spans="4:6" ht="15.75">
      <c r="D349" s="46"/>
      <c r="F349" s="46"/>
    </row>
    <row r="350" spans="4:6" ht="15.75">
      <c r="D350" s="46"/>
      <c r="F350" s="46"/>
    </row>
    <row r="351" spans="4:6" ht="15.75">
      <c r="D351" s="46"/>
      <c r="F351" s="46"/>
    </row>
    <row r="352" spans="4:6" ht="15.75">
      <c r="D352" s="46"/>
      <c r="F352" s="46"/>
    </row>
    <row r="353" spans="4:6" ht="15.75">
      <c r="D353" s="46"/>
      <c r="F353" s="46"/>
    </row>
    <row r="354" spans="4:6" ht="15.75">
      <c r="D354" s="46"/>
      <c r="F354" s="46"/>
    </row>
    <row r="355" spans="4:6" ht="15.75">
      <c r="D355" s="46"/>
      <c r="F355" s="46"/>
    </row>
    <row r="356" spans="4:6" ht="15.75">
      <c r="D356" s="46"/>
      <c r="F356" s="46"/>
    </row>
    <row r="357" spans="4:6" ht="15.75">
      <c r="D357" s="46"/>
      <c r="F357" s="46"/>
    </row>
    <row r="358" spans="4:6" ht="15.75">
      <c r="D358" s="46"/>
      <c r="F358" s="46"/>
    </row>
    <row r="359" spans="4:6" ht="15.75">
      <c r="D359" s="46"/>
      <c r="F359" s="46"/>
    </row>
    <row r="360" spans="4:6" ht="15.75">
      <c r="D360" s="46"/>
      <c r="F360" s="46"/>
    </row>
    <row r="361" spans="4:6" ht="15.75">
      <c r="D361" s="46"/>
      <c r="F361" s="46"/>
    </row>
    <row r="362" spans="4:6" ht="15.75">
      <c r="D362" s="46"/>
      <c r="F362" s="46"/>
    </row>
    <row r="363" spans="4:6" ht="15.75">
      <c r="D363" s="46"/>
      <c r="F363" s="46"/>
    </row>
    <row r="364" spans="4:6" ht="15.75">
      <c r="D364" s="46"/>
      <c r="F364" s="46"/>
    </row>
    <row r="365" spans="4:6" ht="15.75">
      <c r="D365" s="46"/>
      <c r="F365" s="46"/>
    </row>
    <row r="366" spans="4:6" ht="15.75">
      <c r="D366" s="46"/>
      <c r="F366" s="46"/>
    </row>
    <row r="367" spans="4:6" ht="15.75">
      <c r="D367" s="46"/>
      <c r="F367" s="46"/>
    </row>
    <row r="368" spans="4:6" ht="15.75">
      <c r="D368" s="46"/>
      <c r="F368" s="46"/>
    </row>
    <row r="369" spans="4:6" ht="15.75">
      <c r="D369" s="46"/>
      <c r="F369" s="46"/>
    </row>
    <row r="370" spans="4:6" ht="15.75">
      <c r="D370" s="46"/>
      <c r="F370" s="46"/>
    </row>
    <row r="371" spans="4:6" ht="15.75">
      <c r="D371" s="46"/>
      <c r="F371" s="46"/>
    </row>
    <row r="372" spans="4:6" ht="15.75">
      <c r="D372" s="46"/>
      <c r="F372" s="46"/>
    </row>
    <row r="373" spans="4:6" ht="15.75">
      <c r="D373" s="46"/>
      <c r="F373" s="46"/>
    </row>
    <row r="374" spans="4:6" ht="15.75">
      <c r="D374" s="46"/>
      <c r="F374" s="46"/>
    </row>
    <row r="375" spans="4:6" ht="15.75">
      <c r="D375" s="46"/>
      <c r="F375" s="46"/>
    </row>
    <row r="376" spans="4:6" ht="15.75">
      <c r="D376" s="46"/>
      <c r="F376" s="46"/>
    </row>
    <row r="377" spans="4:6" ht="15.75">
      <c r="D377" s="46"/>
      <c r="F377" s="46"/>
    </row>
    <row r="378" spans="4:6" ht="15.75">
      <c r="D378" s="46"/>
      <c r="F378" s="46"/>
    </row>
    <row r="379" spans="4:6" ht="15.75">
      <c r="D379" s="46"/>
      <c r="F379" s="46"/>
    </row>
    <row r="380" spans="4:6" ht="15.75">
      <c r="D380" s="46"/>
      <c r="F380" s="46"/>
    </row>
    <row r="381" spans="4:6" ht="15.75">
      <c r="D381" s="46"/>
      <c r="F381" s="46"/>
    </row>
    <row r="382" spans="4:6" ht="15.75">
      <c r="D382" s="46"/>
      <c r="F382" s="46"/>
    </row>
    <row r="383" spans="4:6" ht="15.75">
      <c r="D383" s="46"/>
      <c r="F383" s="46"/>
    </row>
    <row r="384" spans="4:6" ht="15.75">
      <c r="D384" s="46"/>
      <c r="F384" s="46"/>
    </row>
    <row r="385" spans="4:6" ht="15.75">
      <c r="D385" s="46"/>
      <c r="F385" s="46"/>
    </row>
    <row r="386" spans="4:6" ht="15.75">
      <c r="D386" s="46"/>
      <c r="F386" s="46"/>
    </row>
    <row r="387" spans="4:6" ht="15.75">
      <c r="D387" s="46"/>
      <c r="F387" s="46"/>
    </row>
    <row r="388" spans="4:6" ht="15.75">
      <c r="D388" s="46"/>
      <c r="F388" s="46"/>
    </row>
    <row r="389" spans="4:6" ht="15.75">
      <c r="D389" s="46"/>
      <c r="F389" s="46"/>
    </row>
    <row r="390" spans="4:6" ht="15.75">
      <c r="D390" s="46"/>
      <c r="F390" s="46"/>
    </row>
    <row r="391" spans="4:6" ht="15.75">
      <c r="D391" s="46"/>
      <c r="F391" s="46"/>
    </row>
    <row r="392" spans="4:6" ht="15.75">
      <c r="D392" s="46"/>
      <c r="F392" s="46"/>
    </row>
    <row r="393" spans="4:6" ht="15.75">
      <c r="D393" s="46"/>
      <c r="F393" s="46"/>
    </row>
    <row r="394" spans="4:6" ht="15.75">
      <c r="D394" s="46"/>
      <c r="F394" s="46"/>
    </row>
    <row r="395" spans="4:6" ht="15.75">
      <c r="D395" s="46"/>
      <c r="F395" s="46"/>
    </row>
    <row r="396" spans="4:6" ht="15.75">
      <c r="D396" s="46"/>
      <c r="F396" s="46"/>
    </row>
    <row r="397" spans="4:6" ht="15.75">
      <c r="D397" s="46"/>
      <c r="F397" s="46"/>
    </row>
    <row r="398" spans="4:6" ht="15.75">
      <c r="D398" s="46"/>
      <c r="F398" s="46"/>
    </row>
    <row r="399" spans="4:6" ht="15.75">
      <c r="D399" s="46"/>
      <c r="F399" s="46"/>
    </row>
    <row r="400" spans="4:6" ht="15.75">
      <c r="D400" s="46"/>
      <c r="F400" s="46"/>
    </row>
    <row r="401" spans="4:6" ht="15.75">
      <c r="D401" s="46"/>
      <c r="F401" s="46"/>
    </row>
    <row r="402" spans="4:6" ht="15.75">
      <c r="D402" s="46"/>
      <c r="F402" s="46"/>
    </row>
    <row r="403" spans="4:6" ht="15.75">
      <c r="D403" s="46"/>
      <c r="F403" s="46"/>
    </row>
    <row r="404" spans="4:6" ht="15.75">
      <c r="D404" s="46"/>
      <c r="F404" s="46"/>
    </row>
    <row r="405" spans="4:6" ht="15.75">
      <c r="D405" s="46"/>
      <c r="F405" s="46"/>
    </row>
    <row r="406" spans="4:6" ht="15.75">
      <c r="D406" s="46"/>
      <c r="F406" s="46"/>
    </row>
    <row r="407" spans="4:6" ht="15.75">
      <c r="D407" s="46"/>
      <c r="F407" s="46"/>
    </row>
    <row r="408" spans="4:6" ht="15.75">
      <c r="D408" s="46"/>
      <c r="F408" s="46"/>
    </row>
    <row r="409" spans="4:6" ht="15.75">
      <c r="D409" s="46"/>
      <c r="F409" s="46"/>
    </row>
    <row r="410" spans="4:6" ht="15.75">
      <c r="D410" s="46"/>
      <c r="F410" s="46"/>
    </row>
    <row r="411" spans="4:6" ht="15.75">
      <c r="D411" s="46"/>
      <c r="F411" s="46"/>
    </row>
    <row r="412" spans="4:6" ht="15.75">
      <c r="D412" s="46"/>
      <c r="F412" s="46"/>
    </row>
    <row r="413" spans="4:6" ht="15.75">
      <c r="D413" s="46"/>
      <c r="F413" s="46"/>
    </row>
    <row r="414" spans="4:6" ht="15.75">
      <c r="D414" s="46"/>
      <c r="F414" s="46"/>
    </row>
    <row r="415" spans="4:6" ht="15.75">
      <c r="D415" s="46"/>
      <c r="F415" s="46"/>
    </row>
    <row r="416" spans="4:6" ht="15.75">
      <c r="D416" s="46"/>
      <c r="F416" s="46"/>
    </row>
    <row r="417" spans="4:6" ht="15.75">
      <c r="D417" s="46"/>
      <c r="F417" s="46"/>
    </row>
    <row r="418" spans="4:6" ht="15.75">
      <c r="D418" s="46"/>
      <c r="F418" s="46"/>
    </row>
    <row r="419" spans="4:6" ht="15.75">
      <c r="D419" s="46"/>
      <c r="F419" s="46"/>
    </row>
    <row r="420" spans="4:6" ht="15.75">
      <c r="D420" s="46"/>
      <c r="F420" s="46"/>
    </row>
    <row r="421" spans="4:6" ht="15.75">
      <c r="D421" s="46"/>
      <c r="F421" s="46"/>
    </row>
    <row r="422" spans="4:6" ht="15.75">
      <c r="D422" s="46"/>
      <c r="F422" s="46"/>
    </row>
    <row r="423" spans="4:6" ht="15.75">
      <c r="D423" s="46"/>
      <c r="F423" s="46"/>
    </row>
    <row r="424" spans="4:6" ht="15.75">
      <c r="D424" s="46"/>
      <c r="F424" s="46"/>
    </row>
    <row r="425" spans="4:6" ht="15.75">
      <c r="D425" s="46"/>
      <c r="F425" s="46"/>
    </row>
    <row r="426" spans="4:6" ht="15.75">
      <c r="D426" s="46"/>
      <c r="F426" s="46"/>
    </row>
    <row r="427" spans="4:6" ht="15.75">
      <c r="D427" s="46"/>
      <c r="F427" s="46"/>
    </row>
    <row r="428" spans="4:6" ht="15.75">
      <c r="D428" s="46"/>
      <c r="F428" s="46"/>
    </row>
    <row r="429" spans="4:6" ht="15.75">
      <c r="D429" s="46"/>
      <c r="F429" s="46"/>
    </row>
    <row r="430" spans="4:6" ht="15.75">
      <c r="D430" s="46"/>
      <c r="F430" s="46"/>
    </row>
    <row r="431" spans="4:6" ht="15.75">
      <c r="D431" s="46"/>
      <c r="F431" s="46"/>
    </row>
    <row r="432" spans="4:6" ht="15.75">
      <c r="D432" s="46"/>
      <c r="F432" s="46"/>
    </row>
    <row r="433" spans="4:6" ht="15.75">
      <c r="D433" s="46"/>
      <c r="F433" s="46"/>
    </row>
    <row r="434" spans="4:6" ht="15.75">
      <c r="D434" s="46"/>
      <c r="F434" s="46"/>
    </row>
    <row r="435" spans="4:6" ht="15.75">
      <c r="D435" s="46"/>
      <c r="F435" s="46"/>
    </row>
    <row r="436" spans="4:6" ht="15.75">
      <c r="D436" s="46"/>
      <c r="F436" s="46"/>
    </row>
    <row r="437" spans="4:6" ht="15.75">
      <c r="D437" s="46"/>
      <c r="F437" s="46"/>
    </row>
    <row r="438" spans="4:6" ht="15.75">
      <c r="D438" s="46"/>
      <c r="F438" s="46"/>
    </row>
    <row r="439" spans="4:6" ht="15.75">
      <c r="D439" s="46"/>
      <c r="F439" s="46"/>
    </row>
    <row r="440" spans="4:6" ht="15.75">
      <c r="D440" s="46"/>
      <c r="F440" s="46"/>
    </row>
    <row r="441" spans="4:6" ht="15.75">
      <c r="D441" s="46"/>
      <c r="F441" s="46"/>
    </row>
    <row r="442" spans="4:6" ht="15.75">
      <c r="D442" s="46"/>
      <c r="F442" s="46"/>
    </row>
    <row r="443" spans="4:6" ht="15.75">
      <c r="D443" s="46"/>
      <c r="F443" s="46"/>
    </row>
    <row r="444" spans="4:6" ht="15.75">
      <c r="D444" s="46"/>
      <c r="F444" s="46"/>
    </row>
    <row r="445" spans="4:6" ht="15.75">
      <c r="D445" s="46"/>
      <c r="F445" s="46"/>
    </row>
    <row r="446" spans="4:6" ht="15.75">
      <c r="D446" s="46"/>
      <c r="F446" s="46"/>
    </row>
    <row r="447" spans="4:6" ht="15.75">
      <c r="D447" s="46"/>
      <c r="F447" s="46"/>
    </row>
    <row r="448" spans="4:6" ht="15.75">
      <c r="D448" s="46"/>
      <c r="F448" s="46"/>
    </row>
    <row r="449" spans="4:6" ht="15.75">
      <c r="D449" s="46"/>
      <c r="F449" s="46"/>
    </row>
    <row r="450" spans="4:6" ht="15.75">
      <c r="D450" s="46"/>
      <c r="F450" s="46"/>
    </row>
    <row r="451" spans="4:6" ht="15.75">
      <c r="D451" s="46"/>
      <c r="F451" s="46"/>
    </row>
    <row r="452" spans="4:6" ht="15.75">
      <c r="D452" s="46"/>
      <c r="F452" s="46"/>
    </row>
    <row r="453" spans="4:6" ht="15.75">
      <c r="D453" s="46"/>
      <c r="F453" s="46"/>
    </row>
    <row r="454" spans="4:6" ht="15.75">
      <c r="D454" s="46"/>
      <c r="F454" s="46"/>
    </row>
    <row r="455" spans="4:6" ht="15.75">
      <c r="D455" s="46"/>
      <c r="F455" s="46"/>
    </row>
    <row r="456" spans="4:6" ht="15.75">
      <c r="D456" s="46"/>
      <c r="F456" s="46"/>
    </row>
    <row r="457" spans="4:6" ht="15.75">
      <c r="D457" s="46"/>
      <c r="F457" s="46"/>
    </row>
    <row r="458" spans="4:6" ht="15.75">
      <c r="D458" s="46"/>
      <c r="F458" s="46"/>
    </row>
    <row r="459" spans="4:6" ht="15.75">
      <c r="D459" s="46"/>
      <c r="F459" s="46"/>
    </row>
    <row r="460" spans="4:6" ht="15.75">
      <c r="D460" s="46"/>
      <c r="F460" s="46"/>
    </row>
    <row r="461" spans="4:6" ht="15.75">
      <c r="D461" s="46"/>
      <c r="F461" s="46"/>
    </row>
    <row r="462" spans="4:6" ht="15.75">
      <c r="D462" s="46"/>
      <c r="F462" s="46"/>
    </row>
    <row r="463" spans="4:6" ht="15.75">
      <c r="D463" s="46"/>
      <c r="F463" s="46"/>
    </row>
    <row r="464" spans="4:6" ht="15.75">
      <c r="D464" s="46"/>
      <c r="F464" s="46"/>
    </row>
    <row r="465" spans="4:6" ht="15.75">
      <c r="D465" s="46"/>
      <c r="F465" s="46"/>
    </row>
    <row r="466" spans="4:6" ht="15.75">
      <c r="D466" s="46"/>
      <c r="F466" s="46"/>
    </row>
    <row r="467" spans="4:6" ht="15.75">
      <c r="D467" s="46"/>
      <c r="F467" s="46"/>
    </row>
    <row r="468" spans="4:6" ht="15.75">
      <c r="D468" s="46"/>
      <c r="F468" s="46"/>
    </row>
    <row r="469" spans="4:6" ht="15.75">
      <c r="D469" s="46"/>
      <c r="F469" s="46"/>
    </row>
    <row r="470" spans="4:6" ht="15.75">
      <c r="D470" s="46"/>
      <c r="F470" s="46"/>
    </row>
    <row r="471" spans="4:6" ht="15.75">
      <c r="D471" s="46"/>
      <c r="F471" s="46"/>
    </row>
    <row r="472" spans="4:6" ht="15.75">
      <c r="D472" s="46"/>
      <c r="F472" s="46"/>
    </row>
    <row r="473" spans="4:6" ht="15.75">
      <c r="D473" s="46"/>
      <c r="F473" s="46"/>
    </row>
    <row r="474" spans="4:6" ht="15.75">
      <c r="D474" s="46"/>
      <c r="F474" s="46"/>
    </row>
    <row r="475" spans="4:6" ht="15.75">
      <c r="D475" s="46"/>
      <c r="F475" s="46"/>
    </row>
    <row r="476" spans="4:6" ht="15.75">
      <c r="D476" s="46"/>
      <c r="F476" s="46"/>
    </row>
    <row r="477" spans="4:6" ht="15.75">
      <c r="D477" s="46"/>
      <c r="F477" s="46"/>
    </row>
    <row r="478" spans="4:6" ht="15.75">
      <c r="D478" s="46"/>
      <c r="F478" s="46"/>
    </row>
    <row r="479" spans="4:6" ht="15.75">
      <c r="D479" s="46"/>
      <c r="F479" s="46"/>
    </row>
    <row r="480" spans="4:6" ht="15.75">
      <c r="D480" s="46"/>
      <c r="F480" s="46"/>
    </row>
    <row r="481" spans="4:6" ht="15.75">
      <c r="D481" s="46"/>
      <c r="F481" s="46"/>
    </row>
    <row r="482" spans="4:6" ht="15.75">
      <c r="D482" s="46"/>
      <c r="F482" s="46"/>
    </row>
    <row r="483" spans="4:6" ht="15.75">
      <c r="D483" s="46"/>
      <c r="F483" s="46"/>
    </row>
    <row r="484" spans="4:6" ht="15.75">
      <c r="D484" s="46"/>
      <c r="F484" s="46"/>
    </row>
    <row r="485" spans="4:6" ht="15.75">
      <c r="D485" s="46"/>
      <c r="F485" s="46"/>
    </row>
    <row r="486" spans="4:6" ht="15.75">
      <c r="D486" s="46"/>
      <c r="F486" s="46"/>
    </row>
    <row r="487" spans="4:6" ht="15.75">
      <c r="D487" s="46"/>
      <c r="F487" s="46"/>
    </row>
    <row r="488" spans="4:6" ht="15.75">
      <c r="D488" s="46"/>
      <c r="F488" s="46"/>
    </row>
    <row r="489" spans="4:6" ht="15.75">
      <c r="D489" s="46"/>
      <c r="F489" s="46"/>
    </row>
    <row r="490" spans="4:6" ht="15.75">
      <c r="D490" s="46"/>
      <c r="F490" s="46"/>
    </row>
    <row r="491" spans="4:6" ht="15.75">
      <c r="D491" s="46"/>
      <c r="F491" s="46"/>
    </row>
    <row r="492" spans="4:6" ht="15.75">
      <c r="D492" s="46"/>
      <c r="F492" s="46"/>
    </row>
    <row r="493" spans="4:6" ht="15.75">
      <c r="D493" s="46"/>
      <c r="F493" s="46"/>
    </row>
    <row r="494" spans="4:6" ht="15.75">
      <c r="D494" s="46"/>
      <c r="F494" s="46"/>
    </row>
    <row r="495" spans="4:6" ht="15.75">
      <c r="D495" s="46"/>
      <c r="F495" s="46"/>
    </row>
    <row r="496" spans="4:6" ht="15.75">
      <c r="D496" s="46"/>
      <c r="F496" s="46"/>
    </row>
    <row r="497" spans="4:6" ht="15.75">
      <c r="D497" s="46"/>
      <c r="F497" s="46"/>
    </row>
    <row r="498" spans="4:6" ht="15.75">
      <c r="D498" s="46"/>
      <c r="F498" s="46"/>
    </row>
    <row r="499" spans="4:6" ht="15.75">
      <c r="D499" s="46"/>
      <c r="F499" s="46"/>
    </row>
    <row r="500" spans="4:6" ht="15.75">
      <c r="D500" s="46"/>
      <c r="F500" s="46"/>
    </row>
    <row r="501" spans="4:6" ht="15.75">
      <c r="D501" s="46"/>
      <c r="F501" s="46"/>
    </row>
    <row r="502" spans="4:6" ht="15.75">
      <c r="D502" s="46"/>
      <c r="F502" s="46"/>
    </row>
    <row r="503" spans="4:6" ht="15.75">
      <c r="D503" s="46"/>
      <c r="F503" s="46"/>
    </row>
    <row r="504" spans="4:6" ht="15.75">
      <c r="D504" s="46"/>
      <c r="F504" s="46"/>
    </row>
    <row r="505" spans="4:6" ht="15.75">
      <c r="D505" s="46"/>
      <c r="F505" s="46"/>
    </row>
    <row r="506" spans="4:6" ht="15.75">
      <c r="D506" s="46"/>
      <c r="F506" s="46"/>
    </row>
    <row r="507" spans="4:6" ht="15.75">
      <c r="D507" s="46"/>
      <c r="F507" s="46"/>
    </row>
    <row r="508" spans="4:6" ht="15.75">
      <c r="D508" s="46"/>
      <c r="F508" s="46"/>
    </row>
    <row r="509" spans="4:6" ht="15.75">
      <c r="D509" s="46"/>
      <c r="F509" s="46"/>
    </row>
    <row r="510" spans="4:6" ht="15.75">
      <c r="D510" s="46"/>
      <c r="F510" s="46"/>
    </row>
    <row r="511" spans="4:6" ht="15.75">
      <c r="D511" s="46"/>
      <c r="F511" s="46"/>
    </row>
    <row r="512" spans="4:6" ht="15.75">
      <c r="D512" s="46"/>
      <c r="F512" s="46"/>
    </row>
    <row r="513" spans="4:6" ht="15.75">
      <c r="D513" s="46"/>
      <c r="F513" s="46"/>
    </row>
    <row r="514" spans="4:6" ht="15.75">
      <c r="D514" s="46"/>
      <c r="F514" s="46"/>
    </row>
    <row r="515" spans="4:6" ht="15.75">
      <c r="D515" s="46"/>
      <c r="F515" s="46"/>
    </row>
    <row r="516" spans="4:6" ht="15.75">
      <c r="D516" s="46"/>
      <c r="F516" s="46"/>
    </row>
    <row r="517" spans="4:6" ht="15.75">
      <c r="D517" s="46"/>
      <c r="F517" s="46"/>
    </row>
    <row r="518" spans="4:6" ht="15.75">
      <c r="D518" s="46"/>
      <c r="F518" s="46"/>
    </row>
    <row r="519" spans="4:6" ht="15.75">
      <c r="D519" s="46"/>
      <c r="F519" s="46"/>
    </row>
    <row r="520" spans="4:6" ht="15.75">
      <c r="D520" s="46"/>
      <c r="F520" s="46"/>
    </row>
    <row r="521" spans="4:6" ht="15.75">
      <c r="D521" s="46"/>
      <c r="F521" s="46"/>
    </row>
    <row r="522" spans="4:6" ht="15.75">
      <c r="D522" s="46"/>
      <c r="F522" s="46"/>
    </row>
    <row r="523" spans="4:6" ht="15.75">
      <c r="D523" s="46"/>
      <c r="F523" s="46"/>
    </row>
    <row r="524" spans="4:6" ht="15.75">
      <c r="D524" s="46"/>
      <c r="F524" s="46"/>
    </row>
    <row r="525" spans="4:6" ht="15.75">
      <c r="D525" s="46"/>
      <c r="F525" s="46"/>
    </row>
    <row r="526" spans="4:6" ht="15.75">
      <c r="D526" s="46"/>
      <c r="F526" s="46"/>
    </row>
    <row r="527" spans="4:6" ht="15.75">
      <c r="D527" s="46"/>
      <c r="F527" s="46"/>
    </row>
    <row r="528" spans="4:6" ht="15.75">
      <c r="D528" s="46"/>
      <c r="F528" s="46"/>
    </row>
    <row r="529" spans="4:6" ht="15.75">
      <c r="D529" s="46"/>
      <c r="F529" s="46"/>
    </row>
    <row r="530" spans="4:6" ht="15.75">
      <c r="D530" s="46"/>
      <c r="F530" s="46"/>
    </row>
    <row r="531" spans="4:6" ht="15.75">
      <c r="D531" s="46"/>
      <c r="F531" s="46"/>
    </row>
    <row r="532" spans="4:6" ht="15.75">
      <c r="D532" s="46"/>
      <c r="F532" s="46"/>
    </row>
    <row r="533" spans="4:6" ht="15.75">
      <c r="D533" s="46"/>
      <c r="F533" s="46"/>
    </row>
    <row r="534" spans="4:6" ht="15.75">
      <c r="D534" s="46"/>
      <c r="F534" s="46"/>
    </row>
    <row r="535" spans="4:6" ht="15.75">
      <c r="D535" s="46"/>
      <c r="F535" s="46"/>
    </row>
    <row r="536" spans="4:6" ht="15.75">
      <c r="D536" s="46"/>
      <c r="F536" s="46"/>
    </row>
    <row r="537" spans="4:6" ht="15.75">
      <c r="D537" s="46"/>
      <c r="F537" s="46"/>
    </row>
    <row r="538" spans="4:6" ht="15.75">
      <c r="D538" s="46"/>
      <c r="F538" s="46"/>
    </row>
    <row r="539" spans="4:6" ht="15.75">
      <c r="D539" s="46"/>
      <c r="F539" s="46"/>
    </row>
    <row r="540" spans="4:6" ht="15.75">
      <c r="D540" s="46"/>
      <c r="F540" s="46"/>
    </row>
    <row r="541" spans="4:6" ht="15.75">
      <c r="D541" s="46"/>
      <c r="F541" s="46"/>
    </row>
    <row r="542" spans="4:6" ht="15.75">
      <c r="D542" s="46"/>
      <c r="F542" s="46"/>
    </row>
    <row r="543" spans="4:6" ht="15.75">
      <c r="D543" s="46"/>
      <c r="F543" s="46"/>
    </row>
    <row r="544" spans="4:6" ht="15.75">
      <c r="D544" s="46"/>
      <c r="F544" s="46"/>
    </row>
    <row r="545" spans="4:6" ht="15.75">
      <c r="D545" s="46"/>
      <c r="F545" s="46"/>
    </row>
    <row r="546" spans="4:6" ht="15.75">
      <c r="D546" s="46"/>
      <c r="F546" s="46"/>
    </row>
    <row r="547" spans="4:6" ht="15.75">
      <c r="D547" s="46"/>
      <c r="F547" s="46"/>
    </row>
    <row r="548" spans="4:6" ht="15.75">
      <c r="D548" s="46"/>
      <c r="F548" s="46"/>
    </row>
    <row r="549" spans="4:6" ht="15.75">
      <c r="D549" s="46"/>
      <c r="F549" s="46"/>
    </row>
    <row r="550" spans="4:6" ht="15.75">
      <c r="D550" s="46"/>
      <c r="F550" s="46"/>
    </row>
    <row r="551" spans="4:6" ht="15.75">
      <c r="D551" s="46"/>
      <c r="F551" s="46"/>
    </row>
    <row r="552" spans="4:6" ht="15.75">
      <c r="D552" s="46"/>
      <c r="F552" s="46"/>
    </row>
    <row r="553" spans="4:6" ht="15.75">
      <c r="D553" s="46"/>
      <c r="F553" s="46"/>
    </row>
    <row r="554" spans="4:6" ht="15.75">
      <c r="D554" s="46"/>
      <c r="F554" s="46"/>
    </row>
    <row r="555" spans="4:6" ht="15.75">
      <c r="D555" s="46"/>
      <c r="F555" s="46"/>
    </row>
    <row r="556" spans="4:6" ht="15.75">
      <c r="D556" s="46"/>
      <c r="F556" s="46"/>
    </row>
    <row r="557" spans="4:6" ht="15.75">
      <c r="D557" s="46"/>
      <c r="F557" s="46"/>
    </row>
    <row r="558" spans="4:6" ht="15.75">
      <c r="D558" s="46"/>
      <c r="F558" s="46"/>
    </row>
    <row r="559" spans="4:6" ht="15.75">
      <c r="D559" s="46"/>
      <c r="F559" s="46"/>
    </row>
    <row r="560" spans="4:6" ht="15.75">
      <c r="D560" s="46"/>
      <c r="F560" s="46"/>
    </row>
    <row r="561" spans="4:6" ht="15.75">
      <c r="D561" s="46"/>
      <c r="F561" s="46"/>
    </row>
    <row r="562" spans="4:6" ht="15.75">
      <c r="D562" s="46"/>
      <c r="F562" s="46"/>
    </row>
    <row r="563" spans="4:6" ht="15.75">
      <c r="D563" s="46"/>
      <c r="F563" s="46"/>
    </row>
    <row r="564" spans="4:6" ht="15.75">
      <c r="D564" s="46"/>
      <c r="F564" s="46"/>
    </row>
    <row r="565" spans="4:6" ht="15.75">
      <c r="D565" s="46"/>
      <c r="F565" s="46"/>
    </row>
    <row r="566" spans="4:6" ht="15.75">
      <c r="D566" s="46"/>
      <c r="F566" s="46"/>
    </row>
    <row r="567" spans="4:6" ht="15.75">
      <c r="D567" s="46"/>
      <c r="F567" s="46"/>
    </row>
    <row r="568" spans="4:6" ht="15.75">
      <c r="D568" s="46"/>
      <c r="F568" s="46"/>
    </row>
    <row r="569" spans="4:6" ht="15.75">
      <c r="D569" s="46"/>
      <c r="F569" s="46"/>
    </row>
    <row r="570" spans="4:6" ht="15.75">
      <c r="D570" s="46"/>
      <c r="F570" s="46"/>
    </row>
    <row r="571" spans="4:6" ht="15.75">
      <c r="D571" s="46"/>
      <c r="F571" s="46"/>
    </row>
    <row r="572" spans="4:6" ht="15.75">
      <c r="D572" s="46"/>
      <c r="F572" s="46"/>
    </row>
    <row r="573" spans="4:6" ht="15.75">
      <c r="D573" s="46"/>
      <c r="F573" s="46"/>
    </row>
    <row r="574" spans="4:6" ht="15.75">
      <c r="D574" s="46"/>
      <c r="F574" s="46"/>
    </row>
    <row r="575" spans="4:6" ht="15.75">
      <c r="D575" s="46"/>
      <c r="F575" s="46"/>
    </row>
    <row r="576" spans="4:6" ht="15.75">
      <c r="D576" s="46"/>
      <c r="F576" s="46"/>
    </row>
    <row r="577" spans="4:6" ht="15.75">
      <c r="D577" s="46"/>
      <c r="F577" s="46"/>
    </row>
    <row r="578" spans="4:6" ht="15.75">
      <c r="D578" s="46"/>
      <c r="F578" s="46"/>
    </row>
    <row r="579" spans="4:6" ht="15.75">
      <c r="D579" s="46"/>
      <c r="F579" s="46"/>
    </row>
    <row r="580" spans="4:6" ht="15.75">
      <c r="D580" s="46"/>
      <c r="F580" s="46"/>
    </row>
    <row r="581" spans="4:6" ht="15.75">
      <c r="D581" s="46"/>
      <c r="F581" s="46"/>
    </row>
    <row r="582" spans="4:6" ht="15.75">
      <c r="D582" s="46"/>
      <c r="F582" s="46"/>
    </row>
    <row r="583" spans="4:6" ht="15.75">
      <c r="D583" s="46"/>
      <c r="F583" s="46"/>
    </row>
    <row r="584" spans="4:6" ht="15.75">
      <c r="D584" s="46"/>
      <c r="F584" s="46"/>
    </row>
    <row r="585" spans="4:6" ht="15.75">
      <c r="D585" s="46"/>
      <c r="F585" s="46"/>
    </row>
    <row r="586" spans="4:6" ht="15.75">
      <c r="D586" s="46"/>
      <c r="F586" s="46"/>
    </row>
    <row r="587" spans="4:6" ht="15.75">
      <c r="D587" s="46"/>
      <c r="F587" s="46"/>
    </row>
    <row r="588" spans="4:6" ht="15.75">
      <c r="D588" s="46"/>
      <c r="F588" s="46"/>
    </row>
    <row r="589" spans="4:6" ht="15.75">
      <c r="D589" s="46"/>
      <c r="F589" s="46"/>
    </row>
    <row r="590" spans="4:6" ht="15.75">
      <c r="D590" s="46"/>
      <c r="F590" s="46"/>
    </row>
    <row r="591" spans="4:6" ht="15.75">
      <c r="D591" s="46"/>
      <c r="F591" s="46"/>
    </row>
    <row r="592" spans="4:6" ht="15.75">
      <c r="D592" s="46"/>
      <c r="F592" s="46"/>
    </row>
    <row r="593" spans="4:6" ht="15.75">
      <c r="D593" s="46"/>
      <c r="F593" s="46"/>
    </row>
    <row r="594" spans="4:6" ht="15.75">
      <c r="D594" s="46"/>
      <c r="F594" s="46"/>
    </row>
    <row r="595" spans="4:6" ht="15.75">
      <c r="D595" s="46"/>
      <c r="F595" s="46"/>
    </row>
    <row r="596" spans="4:6" ht="15.75">
      <c r="D596" s="46"/>
      <c r="F596" s="46"/>
    </row>
    <row r="597" spans="4:6" ht="15.75">
      <c r="D597" s="46"/>
      <c r="F597" s="46"/>
    </row>
    <row r="598" spans="4:6" ht="15.75">
      <c r="D598" s="46"/>
      <c r="F598" s="46"/>
    </row>
    <row r="599" spans="4:6" ht="15.75">
      <c r="D599" s="46"/>
      <c r="F599" s="46"/>
    </row>
    <row r="600" spans="4:6" ht="15.75">
      <c r="D600" s="46"/>
      <c r="F600" s="46"/>
    </row>
    <row r="601" spans="4:6" ht="15.75">
      <c r="D601" s="46"/>
      <c r="F601" s="46"/>
    </row>
    <row r="602" spans="4:6" ht="15.75">
      <c r="D602" s="46"/>
      <c r="F602" s="46"/>
    </row>
    <row r="603" spans="4:6" ht="15.75">
      <c r="D603" s="46"/>
      <c r="F603" s="46"/>
    </row>
    <row r="604" spans="4:6" ht="15.75">
      <c r="D604" s="46"/>
      <c r="F604" s="46"/>
    </row>
    <row r="605" spans="4:6" ht="15.75">
      <c r="D605" s="46"/>
      <c r="F605" s="46"/>
    </row>
    <row r="606" spans="4:6" ht="15.75">
      <c r="D606" s="46"/>
      <c r="F606" s="46"/>
    </row>
    <row r="607" spans="4:6" ht="15.75">
      <c r="D607" s="46"/>
      <c r="F607" s="46"/>
    </row>
    <row r="608" spans="4:6" ht="15.75">
      <c r="D608" s="46"/>
      <c r="F608" s="46"/>
    </row>
    <row r="609" spans="4:6" ht="15.75">
      <c r="D609" s="46"/>
      <c r="F609" s="46"/>
    </row>
    <row r="610" spans="4:6" ht="15.75">
      <c r="D610" s="46"/>
      <c r="F610" s="46"/>
    </row>
    <row r="611" spans="4:6" ht="15.75">
      <c r="D611" s="46"/>
      <c r="F611" s="46"/>
    </row>
    <row r="612" spans="4:6" ht="15.75">
      <c r="D612" s="46"/>
      <c r="F612" s="46"/>
    </row>
    <row r="613" spans="4:6" ht="15.75">
      <c r="D613" s="46"/>
      <c r="F613" s="46"/>
    </row>
    <row r="614" spans="4:6" ht="15.75">
      <c r="D614" s="46"/>
      <c r="F614" s="46"/>
    </row>
    <row r="615" spans="4:6" ht="15.75">
      <c r="D615" s="46"/>
      <c r="F615" s="46"/>
    </row>
    <row r="616" spans="4:6" ht="15.75">
      <c r="D616" s="46"/>
      <c r="F616" s="46"/>
    </row>
    <row r="617" spans="4:6" ht="15.75">
      <c r="D617" s="46"/>
      <c r="F617" s="46"/>
    </row>
    <row r="618" spans="4:6" ht="15.75">
      <c r="D618" s="46"/>
      <c r="F618" s="46"/>
    </row>
    <row r="619" spans="4:6" ht="15.75">
      <c r="D619" s="46"/>
      <c r="F619" s="46"/>
    </row>
    <row r="620" spans="4:6" ht="15.75">
      <c r="D620" s="46"/>
      <c r="F620" s="46"/>
    </row>
    <row r="621" spans="4:6" ht="15.75">
      <c r="D621" s="46"/>
      <c r="F621" s="46"/>
    </row>
    <row r="622" spans="4:6" ht="15.75">
      <c r="D622" s="46"/>
      <c r="F622" s="46"/>
    </row>
    <row r="623" spans="4:6" ht="15.75">
      <c r="D623" s="46"/>
      <c r="F623" s="46"/>
    </row>
    <row r="624" spans="4:6" ht="15.75">
      <c r="D624" s="46"/>
      <c r="F624" s="46"/>
    </row>
    <row r="625" spans="4:6" ht="15.75">
      <c r="D625" s="46"/>
      <c r="F625" s="46"/>
    </row>
    <row r="626" spans="4:6" ht="15.75">
      <c r="D626" s="46"/>
      <c r="F626" s="46"/>
    </row>
    <row r="627" spans="4:6" ht="15.75">
      <c r="D627" s="46"/>
      <c r="F627" s="46"/>
    </row>
    <row r="628" spans="4:6" ht="15.75">
      <c r="D628" s="46"/>
      <c r="F628" s="46"/>
    </row>
    <row r="629" spans="4:6" ht="15.75">
      <c r="D629" s="46"/>
      <c r="F629" s="46"/>
    </row>
    <row r="630" spans="4:6" ht="15.75">
      <c r="D630" s="46"/>
      <c r="F630" s="46"/>
    </row>
    <row r="631" spans="4:6" ht="15.75">
      <c r="D631" s="46"/>
      <c r="F631" s="46"/>
    </row>
    <row r="632" spans="4:6" ht="15.75">
      <c r="D632" s="46"/>
      <c r="F632" s="46"/>
    </row>
    <row r="633" spans="4:6" ht="15.75">
      <c r="D633" s="46"/>
      <c r="F633" s="46"/>
    </row>
    <row r="634" spans="4:6" ht="15.75">
      <c r="D634" s="46"/>
      <c r="F634" s="46"/>
    </row>
    <row r="635" spans="4:6" ht="15.75">
      <c r="D635" s="46"/>
      <c r="F635" s="46"/>
    </row>
    <row r="636" spans="4:6" ht="15.75">
      <c r="D636" s="46"/>
      <c r="F636" s="46"/>
    </row>
    <row r="637" spans="4:6" ht="15.75">
      <c r="D637" s="46"/>
      <c r="F637" s="46"/>
    </row>
    <row r="638" spans="4:6" ht="15.75">
      <c r="D638" s="46"/>
      <c r="F638" s="46"/>
    </row>
    <row r="639" spans="4:6" ht="15.75">
      <c r="D639" s="46"/>
      <c r="F639" s="46"/>
    </row>
    <row r="640" spans="4:6" ht="15.75">
      <c r="D640" s="46"/>
      <c r="F640" s="46"/>
    </row>
    <row r="641" spans="4:6" ht="15.75">
      <c r="D641" s="46"/>
      <c r="F641" s="46"/>
    </row>
    <row r="642" spans="4:6" ht="15.75">
      <c r="D642" s="46"/>
      <c r="F642" s="46"/>
    </row>
    <row r="643" spans="4:6" ht="15.75">
      <c r="D643" s="46"/>
      <c r="F643" s="46"/>
    </row>
    <row r="644" spans="4:6" ht="15.75">
      <c r="D644" s="46"/>
      <c r="F644" s="46"/>
    </row>
    <row r="645" spans="4:6" ht="15.75">
      <c r="D645" s="46"/>
      <c r="F645" s="46"/>
    </row>
    <row r="646" spans="4:6" ht="15.75">
      <c r="D646" s="46"/>
      <c r="F646" s="46"/>
    </row>
    <row r="647" spans="4:6" ht="15.75">
      <c r="D647" s="46"/>
      <c r="F647" s="46"/>
    </row>
    <row r="648" spans="4:6" ht="15.75">
      <c r="D648" s="46"/>
      <c r="F648" s="46"/>
    </row>
    <row r="649" spans="4:6" ht="15.75">
      <c r="D649" s="46"/>
      <c r="F649" s="46"/>
    </row>
    <row r="650" spans="4:6" ht="15.75">
      <c r="D650" s="46"/>
      <c r="F650" s="46"/>
    </row>
    <row r="651" spans="4:6" ht="15.75">
      <c r="D651" s="46"/>
      <c r="F651" s="46"/>
    </row>
    <row r="652" spans="4:6" ht="15.75">
      <c r="D652" s="46"/>
      <c r="F652" s="46"/>
    </row>
    <row r="653" spans="4:6" ht="15.75">
      <c r="D653" s="46"/>
      <c r="F653" s="46"/>
    </row>
    <row r="654" spans="4:6" ht="15.75">
      <c r="D654" s="46"/>
      <c r="F654" s="46"/>
    </row>
    <row r="655" spans="4:6" ht="15.75">
      <c r="D655" s="46"/>
      <c r="F655" s="46"/>
    </row>
    <row r="656" spans="4:6" ht="15.75">
      <c r="D656" s="46"/>
      <c r="F656" s="46"/>
    </row>
    <row r="657" spans="4:6" ht="15.75">
      <c r="D657" s="46"/>
      <c r="F657" s="46"/>
    </row>
    <row r="658" spans="4:6" ht="15.75">
      <c r="D658" s="46"/>
      <c r="F658" s="46"/>
    </row>
    <row r="659" spans="4:6" ht="15.75">
      <c r="D659" s="46"/>
      <c r="F659" s="46"/>
    </row>
    <row r="660" spans="4:6" ht="15.75">
      <c r="D660" s="46"/>
      <c r="F660" s="46"/>
    </row>
    <row r="661" spans="4:6" ht="15.75">
      <c r="D661" s="46"/>
      <c r="F661" s="46"/>
    </row>
    <row r="662" spans="4:6" ht="15.75">
      <c r="D662" s="46"/>
      <c r="F662" s="46"/>
    </row>
    <row r="663" spans="4:6" ht="15.75">
      <c r="D663" s="46"/>
      <c r="F663" s="46"/>
    </row>
    <row r="664" spans="4:6" ht="15.75">
      <c r="D664" s="46"/>
      <c r="F664" s="46"/>
    </row>
    <row r="665" spans="4:6" ht="15.75">
      <c r="D665" s="46"/>
      <c r="F665" s="46"/>
    </row>
    <row r="666" spans="4:6" ht="15.75">
      <c r="D666" s="46"/>
      <c r="F666" s="46"/>
    </row>
    <row r="667" spans="4:6" ht="15.75">
      <c r="D667" s="46"/>
      <c r="F667" s="46"/>
    </row>
    <row r="668" spans="4:6" ht="15.75">
      <c r="D668" s="46"/>
      <c r="F668" s="46"/>
    </row>
    <row r="669" spans="4:6" ht="15.75">
      <c r="D669" s="46"/>
      <c r="F669" s="46"/>
    </row>
    <row r="670" spans="4:6" ht="15.75">
      <c r="D670" s="46"/>
      <c r="F670" s="46"/>
    </row>
    <row r="671" spans="4:6" ht="15.75">
      <c r="D671" s="46"/>
      <c r="F671" s="46"/>
    </row>
    <row r="672" spans="4:6" ht="15.75">
      <c r="D672" s="46"/>
      <c r="F672" s="46"/>
    </row>
    <row r="673" spans="4:6" ht="15.75">
      <c r="D673" s="46"/>
      <c r="F673" s="46"/>
    </row>
    <row r="674" spans="4:6" ht="15.75">
      <c r="D674" s="46"/>
      <c r="F674" s="46"/>
    </row>
    <row r="675" spans="4:6" ht="15.75">
      <c r="D675" s="46"/>
      <c r="F675" s="46"/>
    </row>
    <row r="676" spans="4:6" ht="15.75">
      <c r="D676" s="46"/>
      <c r="F676" s="46"/>
    </row>
    <row r="677" spans="4:6" ht="15.75">
      <c r="D677" s="46"/>
      <c r="F677" s="46"/>
    </row>
    <row r="678" spans="4:6" ht="15.75">
      <c r="D678" s="46"/>
      <c r="F678" s="46"/>
    </row>
    <row r="679" spans="4:6" ht="15.75">
      <c r="D679" s="46"/>
      <c r="F679" s="46"/>
    </row>
    <row r="680" spans="4:6" ht="15.75">
      <c r="D680" s="46"/>
      <c r="F680" s="46"/>
    </row>
    <row r="681" spans="4:6" ht="15.75">
      <c r="D681" s="46"/>
      <c r="F681" s="46"/>
    </row>
    <row r="682" spans="4:6" ht="15.75">
      <c r="D682" s="46"/>
      <c r="F682" s="46"/>
    </row>
    <row r="683" spans="4:6" ht="15.75">
      <c r="D683" s="46"/>
      <c r="F683" s="46"/>
    </row>
    <row r="684" spans="4:6" ht="15.75">
      <c r="D684" s="46"/>
      <c r="F684" s="46"/>
    </row>
    <row r="685" spans="4:6" ht="15.75">
      <c r="D685" s="46"/>
      <c r="F685" s="46"/>
    </row>
    <row r="686" spans="4:6" ht="15.75">
      <c r="D686" s="46"/>
      <c r="F686" s="46"/>
    </row>
    <row r="687" spans="4:6" ht="15.75">
      <c r="D687" s="46"/>
      <c r="F687" s="46"/>
    </row>
    <row r="688" spans="4:6" ht="15.75">
      <c r="D688" s="46"/>
      <c r="F688" s="46"/>
    </row>
    <row r="689" spans="4:6" ht="15.75">
      <c r="D689" s="46"/>
      <c r="F689" s="46"/>
    </row>
    <row r="690" spans="4:6" ht="15.75">
      <c r="D690" s="46"/>
      <c r="F690" s="46"/>
    </row>
    <row r="691" spans="4:6" ht="15.75">
      <c r="D691" s="46"/>
      <c r="F691" s="46"/>
    </row>
    <row r="692" spans="4:6" ht="15.75">
      <c r="D692" s="46"/>
      <c r="F692" s="46"/>
    </row>
    <row r="693" spans="4:6" ht="15.75">
      <c r="D693" s="46"/>
      <c r="F693" s="46"/>
    </row>
    <row r="694" spans="4:6" ht="15.75">
      <c r="D694" s="46"/>
      <c r="F694" s="46"/>
    </row>
    <row r="695" spans="4:6" ht="15.75">
      <c r="D695" s="46"/>
      <c r="F695" s="46"/>
    </row>
    <row r="696" spans="4:6" ht="15.75">
      <c r="D696" s="46"/>
      <c r="F696" s="46"/>
    </row>
    <row r="697" spans="4:6" ht="15.75">
      <c r="D697" s="46"/>
      <c r="F697" s="46"/>
    </row>
    <row r="698" spans="4:6" ht="15.75">
      <c r="D698" s="46"/>
      <c r="F698" s="46"/>
    </row>
    <row r="699" spans="4:6" ht="15.75">
      <c r="D699" s="46"/>
      <c r="F699" s="46"/>
    </row>
    <row r="700" spans="4:6" ht="15.75">
      <c r="D700" s="46"/>
      <c r="F700" s="46"/>
    </row>
    <row r="701" spans="4:6" ht="15.75">
      <c r="D701" s="46"/>
      <c r="F701" s="46"/>
    </row>
    <row r="702" spans="4:6" ht="15.75">
      <c r="D702" s="46"/>
      <c r="F702" s="46"/>
    </row>
    <row r="703" spans="4:6" ht="15.75">
      <c r="D703" s="46"/>
      <c r="F703" s="46"/>
    </row>
    <row r="704" spans="4:6" ht="15.75">
      <c r="D704" s="46"/>
      <c r="F704" s="46"/>
    </row>
    <row r="705" spans="4:6" ht="15.75">
      <c r="D705" s="46"/>
      <c r="F705" s="46"/>
    </row>
    <row r="706" spans="4:6" ht="15.75">
      <c r="D706" s="46"/>
      <c r="F706" s="46"/>
    </row>
    <row r="707" spans="4:6" ht="15.75">
      <c r="D707" s="46"/>
      <c r="F707" s="46"/>
    </row>
    <row r="708" spans="4:6" ht="15.75">
      <c r="D708" s="46"/>
      <c r="F708" s="46"/>
    </row>
    <row r="709" spans="4:6" ht="15.75">
      <c r="D709" s="46"/>
      <c r="F709" s="46"/>
    </row>
    <row r="710" spans="4:6" ht="15.75">
      <c r="D710" s="46"/>
      <c r="F710" s="46"/>
    </row>
    <row r="711" spans="4:6" ht="15.75">
      <c r="D711" s="46"/>
      <c r="F711" s="46"/>
    </row>
    <row r="712" spans="4:6" ht="15.75">
      <c r="D712" s="46"/>
      <c r="F712" s="46"/>
    </row>
    <row r="713" spans="4:6" ht="15.75">
      <c r="D713" s="46"/>
      <c r="F713" s="46"/>
    </row>
    <row r="714" spans="4:6" ht="15.75">
      <c r="D714" s="46"/>
      <c r="F714" s="46"/>
    </row>
    <row r="715" spans="4:6" ht="15.75">
      <c r="D715" s="46"/>
      <c r="F715" s="46"/>
    </row>
    <row r="716" spans="4:6" ht="15.75">
      <c r="D716" s="46"/>
      <c r="F716" s="46"/>
    </row>
    <row r="717" spans="4:6" ht="15.75">
      <c r="D717" s="46"/>
      <c r="F717" s="46"/>
    </row>
    <row r="718" spans="4:6" ht="15.75">
      <c r="D718" s="46"/>
      <c r="F718" s="46"/>
    </row>
    <row r="719" spans="4:6" ht="15.75">
      <c r="D719" s="46"/>
      <c r="F719" s="46"/>
    </row>
    <row r="720" spans="4:6" ht="15.75">
      <c r="D720" s="46"/>
      <c r="F720" s="46"/>
    </row>
    <row r="721" spans="4:6" ht="15.75">
      <c r="D721" s="46"/>
      <c r="F721" s="46"/>
    </row>
    <row r="722" spans="4:6" ht="15.75">
      <c r="D722" s="46"/>
      <c r="F722" s="46"/>
    </row>
    <row r="723" spans="4:6" ht="15.75">
      <c r="D723" s="46"/>
      <c r="F723" s="46"/>
    </row>
    <row r="724" spans="4:6" ht="15.75">
      <c r="D724" s="46"/>
      <c r="F724" s="46"/>
    </row>
    <row r="725" spans="4:6" ht="15.75">
      <c r="D725" s="46"/>
      <c r="F725" s="46"/>
    </row>
    <row r="726" spans="4:6" ht="15.75">
      <c r="D726" s="46"/>
      <c r="F726" s="46"/>
    </row>
    <row r="727" spans="4:6" ht="15.75">
      <c r="D727" s="46"/>
      <c r="F727" s="46"/>
    </row>
    <row r="728" spans="4:6" ht="15.75">
      <c r="D728" s="46"/>
      <c r="F728" s="46"/>
    </row>
    <row r="729" spans="4:6" ht="15.75">
      <c r="D729" s="46"/>
      <c r="F729" s="46"/>
    </row>
    <row r="730" spans="4:6" ht="15.75">
      <c r="D730" s="46"/>
      <c r="F730" s="46"/>
    </row>
    <row r="731" spans="4:6" ht="15.75">
      <c r="D731" s="46"/>
      <c r="F731" s="46"/>
    </row>
    <row r="732" spans="4:6" ht="15.75">
      <c r="D732" s="46"/>
      <c r="F732" s="46"/>
    </row>
    <row r="733" spans="4:6" ht="15.75">
      <c r="D733" s="46"/>
      <c r="F733" s="46"/>
    </row>
    <row r="734" spans="4:6" ht="15.75">
      <c r="D734" s="46"/>
      <c r="F734" s="46"/>
    </row>
    <row r="735" spans="4:6" ht="15.75">
      <c r="D735" s="46"/>
      <c r="F735" s="46"/>
    </row>
    <row r="736" spans="4:6" ht="15.75">
      <c r="D736" s="46"/>
      <c r="F736" s="46"/>
    </row>
    <row r="737" spans="4:6" ht="15.75">
      <c r="D737" s="46"/>
      <c r="F737" s="46"/>
    </row>
    <row r="738" spans="4:6" ht="15.75">
      <c r="D738" s="46"/>
      <c r="F738" s="46"/>
    </row>
    <row r="739" spans="4:6" ht="15.75">
      <c r="D739" s="46"/>
      <c r="F739" s="46"/>
    </row>
    <row r="740" spans="4:6" ht="15.75">
      <c r="D740" s="46"/>
      <c r="F740" s="46"/>
    </row>
    <row r="741" spans="4:6" ht="15.75">
      <c r="D741" s="46"/>
      <c r="F741" s="46"/>
    </row>
    <row r="742" spans="4:6" ht="15.75">
      <c r="D742" s="46"/>
      <c r="F742" s="46"/>
    </row>
    <row r="743" spans="4:6" ht="15.75">
      <c r="D743" s="46"/>
      <c r="F743" s="46"/>
    </row>
    <row r="744" spans="4:6" ht="15.75">
      <c r="D744" s="46"/>
      <c r="F744" s="46"/>
    </row>
    <row r="745" spans="4:6" ht="15.75">
      <c r="D745" s="46"/>
      <c r="F745" s="46"/>
    </row>
    <row r="746" spans="4:6" ht="15.75">
      <c r="D746" s="46"/>
      <c r="F746" s="46"/>
    </row>
    <row r="747" spans="4:6" ht="15.75">
      <c r="D747" s="46"/>
      <c r="F747" s="46"/>
    </row>
    <row r="748" spans="4:6" ht="15.75">
      <c r="D748" s="46"/>
      <c r="F748" s="46"/>
    </row>
    <row r="749" spans="4:6" ht="15.75">
      <c r="D749" s="46"/>
      <c r="F749" s="46"/>
    </row>
    <row r="750" spans="4:6" ht="15.75">
      <c r="D750" s="46"/>
      <c r="F750" s="46"/>
    </row>
    <row r="751" spans="4:6" ht="15.75">
      <c r="D751" s="46"/>
      <c r="F751" s="46"/>
    </row>
    <row r="752" spans="4:6" ht="15.75">
      <c r="D752" s="46"/>
      <c r="F752" s="46"/>
    </row>
    <row r="753" spans="4:6" ht="15.75">
      <c r="D753" s="46"/>
      <c r="F753" s="46"/>
    </row>
    <row r="754" spans="4:6" ht="15.75">
      <c r="D754" s="46"/>
      <c r="F754" s="46"/>
    </row>
    <row r="755" spans="4:6" ht="15.75">
      <c r="D755" s="46"/>
      <c r="F755" s="46"/>
    </row>
    <row r="756" spans="4:6" ht="15.75">
      <c r="D756" s="46"/>
      <c r="F756" s="46"/>
    </row>
    <row r="757" spans="4:6" ht="15.75">
      <c r="D757" s="46"/>
      <c r="F757" s="46"/>
    </row>
    <row r="758" spans="4:6" ht="15.75">
      <c r="D758" s="46"/>
      <c r="F758" s="46"/>
    </row>
    <row r="759" spans="4:6" ht="15.75">
      <c r="D759" s="46"/>
      <c r="F759" s="46"/>
    </row>
    <row r="760" spans="4:6" ht="15.75">
      <c r="D760" s="46"/>
      <c r="F760" s="46"/>
    </row>
    <row r="761" spans="4:6" ht="15.75">
      <c r="D761" s="46"/>
      <c r="F761" s="46"/>
    </row>
    <row r="762" spans="4:6" ht="15.75">
      <c r="D762" s="46"/>
      <c r="F762" s="46"/>
    </row>
    <row r="763" spans="4:6" ht="15.75">
      <c r="D763" s="46"/>
      <c r="F763" s="46"/>
    </row>
    <row r="764" spans="4:6" ht="15.75">
      <c r="D764" s="46"/>
      <c r="F764" s="46"/>
    </row>
    <row r="765" spans="4:6" ht="15.75">
      <c r="D765" s="46"/>
      <c r="F765" s="46"/>
    </row>
    <row r="766" spans="4:6" ht="15.75">
      <c r="D766" s="46"/>
      <c r="F766" s="46"/>
    </row>
    <row r="767" spans="4:6" ht="15.75">
      <c r="D767" s="46"/>
      <c r="F767" s="46"/>
    </row>
    <row r="768" spans="4:6" ht="15.75">
      <c r="D768" s="46"/>
      <c r="F768" s="46"/>
    </row>
    <row r="769" spans="4:6" ht="15.75">
      <c r="D769" s="46"/>
      <c r="F769" s="46"/>
    </row>
    <row r="770" spans="4:6" ht="15.75">
      <c r="D770" s="46"/>
      <c r="F770" s="46"/>
    </row>
    <row r="771" spans="4:6" ht="15.75">
      <c r="D771" s="46"/>
      <c r="F771" s="46"/>
    </row>
    <row r="772" spans="4:6" ht="15.75">
      <c r="D772" s="46"/>
      <c r="F772" s="46"/>
    </row>
    <row r="773" spans="4:6" ht="15.75">
      <c r="D773" s="46"/>
      <c r="F773" s="46"/>
    </row>
    <row r="774" spans="4:6" ht="15.75">
      <c r="D774" s="46"/>
      <c r="F774" s="46"/>
    </row>
    <row r="775" spans="4:6" ht="15.75">
      <c r="D775" s="46"/>
      <c r="F775" s="46"/>
    </row>
    <row r="776" spans="4:6" ht="15.75">
      <c r="D776" s="46"/>
      <c r="F776" s="46"/>
    </row>
    <row r="777" spans="4:6" ht="15.75">
      <c r="D777" s="46"/>
      <c r="F777" s="46"/>
    </row>
    <row r="778" spans="4:6" ht="15.75">
      <c r="D778" s="46"/>
      <c r="F778" s="46"/>
    </row>
    <row r="779" spans="4:6" ht="15.75">
      <c r="D779" s="46"/>
      <c r="F779" s="46"/>
    </row>
    <row r="780" spans="4:6" ht="15.75">
      <c r="D780" s="46"/>
      <c r="F780" s="46"/>
    </row>
    <row r="781" spans="4:6" ht="15.75">
      <c r="D781" s="46"/>
      <c r="F781" s="46"/>
    </row>
    <row r="782" spans="4:6" ht="15.75">
      <c r="D782" s="46"/>
      <c r="F782" s="46"/>
    </row>
    <row r="783" spans="4:6" ht="15.75">
      <c r="D783" s="46"/>
      <c r="F783" s="46"/>
    </row>
    <row r="784" spans="4:6" ht="15.75">
      <c r="D784" s="46"/>
      <c r="F784" s="46"/>
    </row>
    <row r="785" spans="4:6" ht="15.75">
      <c r="D785" s="46"/>
      <c r="F785" s="46"/>
    </row>
    <row r="786" spans="4:6" ht="15.75">
      <c r="D786" s="46"/>
      <c r="F786" s="46"/>
    </row>
    <row r="787" spans="4:6" ht="15.75">
      <c r="D787" s="46"/>
      <c r="F787" s="46"/>
    </row>
    <row r="788" spans="4:6" ht="15.75">
      <c r="D788" s="46"/>
      <c r="F788" s="46"/>
    </row>
    <row r="789" spans="4:6" ht="15.75">
      <c r="D789" s="46"/>
      <c r="F789" s="46"/>
    </row>
    <row r="790" spans="4:6" ht="15.75">
      <c r="D790" s="46"/>
      <c r="F790" s="46"/>
    </row>
    <row r="791" spans="4:6" ht="15.75">
      <c r="D791" s="46"/>
      <c r="F791" s="46"/>
    </row>
    <row r="792" spans="4:6" ht="15.75">
      <c r="D792" s="46"/>
      <c r="F792" s="46"/>
    </row>
    <row r="793" spans="4:6" ht="15.75">
      <c r="D793" s="46"/>
      <c r="F793" s="46"/>
    </row>
    <row r="794" spans="4:6" ht="15.75">
      <c r="D794" s="46"/>
      <c r="F794" s="46"/>
    </row>
    <row r="795" spans="4:6" ht="15.75">
      <c r="D795" s="46"/>
      <c r="F795" s="46"/>
    </row>
    <row r="796" spans="4:6" ht="15.75">
      <c r="D796" s="46"/>
      <c r="F796" s="46"/>
    </row>
    <row r="797" spans="4:6" ht="15.75">
      <c r="D797" s="46"/>
      <c r="F797" s="46"/>
    </row>
    <row r="798" spans="4:6" ht="15.75">
      <c r="D798" s="46"/>
      <c r="F798" s="46"/>
    </row>
    <row r="799" spans="4:6" ht="15.75">
      <c r="D799" s="46"/>
      <c r="F799" s="46"/>
    </row>
    <row r="800" spans="4:6" ht="15.75">
      <c r="D800" s="46"/>
      <c r="F800" s="46"/>
    </row>
    <row r="801" spans="4:6" ht="15.75">
      <c r="D801" s="46"/>
      <c r="F801" s="46"/>
    </row>
    <row r="802" spans="4:6" ht="15.75">
      <c r="D802" s="46"/>
      <c r="F802" s="46"/>
    </row>
    <row r="803" spans="4:6" ht="15.75">
      <c r="D803" s="46"/>
      <c r="F803" s="46"/>
    </row>
    <row r="804" spans="4:6" ht="15.75">
      <c r="D804" s="46"/>
      <c r="F804" s="46"/>
    </row>
    <row r="805" spans="4:6" ht="15.75">
      <c r="D805" s="46"/>
      <c r="F805" s="46"/>
    </row>
    <row r="806" spans="4:6" ht="15.75">
      <c r="D806" s="46"/>
      <c r="F806" s="46"/>
    </row>
    <row r="807" spans="4:6" ht="15.75">
      <c r="D807" s="46"/>
      <c r="F807" s="46"/>
    </row>
    <row r="808" spans="4:6" ht="15.75">
      <c r="D808" s="46"/>
      <c r="F808" s="46"/>
    </row>
    <row r="809" spans="4:6" ht="15.75">
      <c r="D809" s="46"/>
      <c r="F809" s="46"/>
    </row>
    <row r="810" spans="4:6" ht="15.75">
      <c r="D810" s="46"/>
      <c r="F810" s="46"/>
    </row>
    <row r="811" spans="4:6" ht="15.75">
      <c r="D811" s="46"/>
      <c r="F811" s="46"/>
    </row>
    <row r="812" spans="4:6" ht="15.75">
      <c r="D812" s="46"/>
      <c r="F812" s="46"/>
    </row>
    <row r="813" spans="4:6" ht="15.75">
      <c r="D813" s="46"/>
      <c r="F813" s="46"/>
    </row>
    <row r="814" spans="4:6" ht="15.75">
      <c r="D814" s="46"/>
      <c r="F814" s="46"/>
    </row>
    <row r="815" spans="4:6" ht="15.75">
      <c r="D815" s="46"/>
      <c r="F815" s="46"/>
    </row>
    <row r="816" spans="4:6" ht="15.75">
      <c r="D816" s="46"/>
      <c r="F816" s="46"/>
    </row>
    <row r="817" spans="4:6" ht="15.75">
      <c r="D817" s="46"/>
      <c r="F817" s="46"/>
    </row>
    <row r="818" spans="4:6" ht="15.75">
      <c r="D818" s="46"/>
      <c r="F818" s="46"/>
    </row>
    <row r="819" spans="4:6" ht="15.75">
      <c r="D819" s="46"/>
      <c r="F819" s="46"/>
    </row>
    <row r="820" spans="4:6" ht="15.75">
      <c r="D820" s="46"/>
      <c r="F820" s="46"/>
    </row>
    <row r="821" spans="4:6" ht="15.75">
      <c r="D821" s="46"/>
      <c r="F821" s="46"/>
    </row>
    <row r="822" spans="4:6" ht="15.75">
      <c r="D822" s="46"/>
      <c r="F822" s="46"/>
    </row>
    <row r="823" spans="4:6" ht="15.75">
      <c r="D823" s="46"/>
      <c r="F823" s="46"/>
    </row>
    <row r="824" spans="4:6" ht="15.75">
      <c r="D824" s="46"/>
      <c r="F824" s="46"/>
    </row>
    <row r="825" spans="4:6" ht="15.75">
      <c r="D825" s="46"/>
      <c r="F825" s="46"/>
    </row>
    <row r="826" spans="4:6" ht="15.75">
      <c r="D826" s="46"/>
      <c r="F826" s="46"/>
    </row>
    <row r="827" spans="4:6" ht="15.75">
      <c r="D827" s="46"/>
      <c r="F827" s="46"/>
    </row>
    <row r="828" spans="4:6" ht="15.75">
      <c r="D828" s="46"/>
      <c r="F828" s="46"/>
    </row>
    <row r="829" spans="4:6" ht="15.75">
      <c r="D829" s="46"/>
      <c r="F829" s="46"/>
    </row>
    <row r="830" spans="4:6" ht="15.75">
      <c r="D830" s="46"/>
      <c r="F830" s="46"/>
    </row>
    <row r="831" spans="4:6" ht="15.75">
      <c r="D831" s="46"/>
      <c r="F831" s="46"/>
    </row>
    <row r="832" spans="4:6" ht="15.75">
      <c r="D832" s="46"/>
      <c r="F832" s="46"/>
    </row>
    <row r="833" spans="4:6" ht="15.75">
      <c r="D833" s="46"/>
      <c r="F833" s="46"/>
    </row>
    <row r="834" spans="4:6" ht="15.75">
      <c r="D834" s="46"/>
      <c r="F834" s="46"/>
    </row>
    <row r="835" spans="4:6" ht="15.75">
      <c r="D835" s="46"/>
      <c r="F835" s="46"/>
    </row>
    <row r="836" spans="4:6" ht="15.75">
      <c r="D836" s="46"/>
      <c r="F836" s="46"/>
    </row>
    <row r="837" spans="4:6" ht="15.75">
      <c r="D837" s="46"/>
      <c r="F837" s="46"/>
    </row>
    <row r="838" spans="4:6" ht="15.75">
      <c r="D838" s="46"/>
      <c r="F838" s="46"/>
    </row>
    <row r="839" spans="4:6" ht="15.75">
      <c r="D839" s="46"/>
      <c r="F839" s="46"/>
    </row>
    <row r="840" spans="4:6" ht="15.75">
      <c r="D840" s="46"/>
      <c r="F840" s="46"/>
    </row>
    <row r="841" spans="4:6" ht="15.75">
      <c r="D841" s="46"/>
      <c r="F841" s="46"/>
    </row>
    <row r="842" spans="4:6" ht="15.75">
      <c r="D842" s="46"/>
      <c r="F842" s="46"/>
    </row>
    <row r="843" spans="4:6" ht="15.75">
      <c r="D843" s="46"/>
      <c r="F843" s="46"/>
    </row>
    <row r="844" spans="4:6" ht="15.75">
      <c r="D844" s="46"/>
      <c r="F844" s="46"/>
    </row>
    <row r="845" spans="4:6" ht="15.75">
      <c r="D845" s="46"/>
      <c r="F845" s="46"/>
    </row>
    <row r="846" spans="4:6" ht="15.75">
      <c r="D846" s="46"/>
      <c r="F846" s="46"/>
    </row>
    <row r="847" spans="4:6" ht="15.75">
      <c r="D847" s="46"/>
      <c r="F847" s="46"/>
    </row>
    <row r="848" spans="4:6" ht="15.75">
      <c r="D848" s="46"/>
      <c r="F848" s="46"/>
    </row>
    <row r="849" spans="4:6" ht="15.75">
      <c r="D849" s="46"/>
      <c r="F849" s="46"/>
    </row>
    <row r="850" spans="4:6" ht="15.75">
      <c r="D850" s="46"/>
      <c r="F850" s="46"/>
    </row>
    <row r="851" spans="4:6" ht="15.75">
      <c r="D851" s="46"/>
      <c r="F851" s="46"/>
    </row>
    <row r="852" spans="4:6" ht="15.75">
      <c r="D852" s="46"/>
      <c r="F852" s="46"/>
    </row>
    <row r="853" spans="4:6" ht="15.75">
      <c r="D853" s="46"/>
      <c r="F853" s="46"/>
    </row>
    <row r="854" spans="4:6" ht="15.75">
      <c r="D854" s="46"/>
      <c r="F854" s="46"/>
    </row>
    <row r="855" spans="4:6" ht="15.75">
      <c r="D855" s="46"/>
      <c r="F855" s="46"/>
    </row>
    <row r="856" spans="4:6" ht="15.75">
      <c r="D856" s="46"/>
      <c r="F856" s="46"/>
    </row>
    <row r="857" spans="4:6" ht="15.75">
      <c r="D857" s="46"/>
      <c r="F857" s="46"/>
    </row>
    <row r="858" spans="4:6" ht="15.75">
      <c r="D858" s="46"/>
      <c r="F858" s="46"/>
    </row>
    <row r="859" spans="4:6" ht="15.75">
      <c r="D859" s="46"/>
      <c r="F859" s="46"/>
    </row>
    <row r="860" spans="4:6" ht="15.75">
      <c r="D860" s="46"/>
      <c r="F860" s="46"/>
    </row>
    <row r="861" spans="4:6" ht="15.75">
      <c r="D861" s="46"/>
      <c r="F861" s="46"/>
    </row>
    <row r="862" spans="4:6" ht="15.75">
      <c r="D862" s="46"/>
      <c r="F862" s="46"/>
    </row>
    <row r="863" spans="4:6" ht="15.75">
      <c r="D863" s="46"/>
      <c r="F863" s="46"/>
    </row>
    <row r="864" spans="4:6" ht="15.75">
      <c r="D864" s="46"/>
      <c r="F864" s="46"/>
    </row>
    <row r="865" spans="4:6" ht="15.75">
      <c r="D865" s="46"/>
      <c r="F865" s="46"/>
    </row>
    <row r="866" spans="4:6" ht="15.75">
      <c r="D866" s="46"/>
      <c r="F866" s="46"/>
    </row>
    <row r="867" spans="4:6" ht="15.75">
      <c r="D867" s="46"/>
      <c r="F867" s="46"/>
    </row>
    <row r="868" spans="4:6" ht="15.75">
      <c r="D868" s="46"/>
      <c r="F868" s="46"/>
    </row>
    <row r="869" spans="4:6" ht="15.75">
      <c r="D869" s="46"/>
      <c r="F869" s="46"/>
    </row>
    <row r="870" spans="4:6" ht="15.75">
      <c r="D870" s="46"/>
      <c r="F870" s="46"/>
    </row>
    <row r="871" spans="4:6" ht="15.75">
      <c r="D871" s="46"/>
      <c r="F871" s="46"/>
    </row>
    <row r="872" spans="4:6" ht="15.75">
      <c r="D872" s="46"/>
      <c r="F872" s="46"/>
    </row>
    <row r="873" spans="4:6" ht="15.75">
      <c r="D873" s="46"/>
      <c r="F873" s="46"/>
    </row>
    <row r="874" spans="4:6" ht="15.75">
      <c r="D874" s="46"/>
      <c r="F874" s="46"/>
    </row>
    <row r="875" spans="4:6" ht="15.75">
      <c r="D875" s="46"/>
      <c r="F875" s="46"/>
    </row>
    <row r="876" spans="4:6" ht="15.75">
      <c r="D876" s="46"/>
      <c r="F876" s="46"/>
    </row>
    <row r="877" spans="4:6" ht="15.75">
      <c r="D877" s="46"/>
      <c r="F877" s="46"/>
    </row>
    <row r="878" spans="4:6" ht="15.75">
      <c r="D878" s="46"/>
      <c r="F878" s="46"/>
    </row>
    <row r="879" spans="4:6" ht="15.75">
      <c r="D879" s="46"/>
      <c r="F879" s="46"/>
    </row>
    <row r="880" spans="4:6" ht="15.75">
      <c r="D880" s="46"/>
      <c r="F880" s="46"/>
    </row>
    <row r="881" spans="4:6" ht="15.75">
      <c r="D881" s="46"/>
      <c r="F881" s="46"/>
    </row>
    <row r="882" spans="4:6" ht="15.75">
      <c r="D882" s="46"/>
      <c r="F882" s="46"/>
    </row>
    <row r="883" spans="4:6" ht="15.75">
      <c r="D883" s="46"/>
      <c r="F883" s="46"/>
    </row>
    <row r="884" spans="4:6" ht="15.75">
      <c r="D884" s="46"/>
      <c r="F884" s="46"/>
    </row>
    <row r="885" spans="4:6" ht="15.75">
      <c r="D885" s="46"/>
      <c r="F885" s="46"/>
    </row>
    <row r="886" spans="4:6" ht="15.75">
      <c r="D886" s="46"/>
      <c r="F886" s="46"/>
    </row>
    <row r="887" spans="4:6" ht="15.75">
      <c r="D887" s="46"/>
      <c r="F887" s="46"/>
    </row>
    <row r="888" spans="4:6" ht="15.75">
      <c r="D888" s="46"/>
      <c r="F888" s="46"/>
    </row>
    <row r="889" spans="4:6" ht="15.75">
      <c r="D889" s="46"/>
      <c r="F889" s="46"/>
    </row>
    <row r="890" spans="4:6" ht="15.75">
      <c r="D890" s="46"/>
      <c r="F890" s="46"/>
    </row>
    <row r="891" spans="4:6" ht="15.75">
      <c r="D891" s="46"/>
      <c r="F891" s="46"/>
    </row>
    <row r="892" spans="4:6" ht="15.75">
      <c r="D892" s="46"/>
      <c r="F892" s="46"/>
    </row>
    <row r="893" spans="4:6" ht="15.75">
      <c r="D893" s="46"/>
      <c r="F893" s="46"/>
    </row>
    <row r="894" spans="4:6" ht="15.75">
      <c r="D894" s="46"/>
      <c r="F894" s="46"/>
    </row>
    <row r="895" spans="4:6" ht="15.75">
      <c r="D895" s="46"/>
      <c r="F895" s="46"/>
    </row>
    <row r="896" spans="4:6" ht="15.75">
      <c r="D896" s="46"/>
      <c r="F896" s="46"/>
    </row>
    <row r="897" spans="4:6" ht="15.75">
      <c r="D897" s="46"/>
      <c r="F897" s="46"/>
    </row>
    <row r="898" spans="4:6" ht="15.75">
      <c r="D898" s="46"/>
      <c r="F898" s="46"/>
    </row>
    <row r="899" spans="4:6" ht="15.75">
      <c r="D899" s="46"/>
      <c r="F899" s="46"/>
    </row>
    <row r="900" spans="4:6" ht="15.75">
      <c r="D900" s="46"/>
      <c r="F900" s="46"/>
    </row>
    <row r="901" spans="4:6" ht="15.75">
      <c r="D901" s="46"/>
      <c r="F901" s="46"/>
    </row>
    <row r="902" spans="4:6" ht="15.75">
      <c r="D902" s="46"/>
      <c r="F902" s="46"/>
    </row>
    <row r="903" spans="4:6" ht="15.75">
      <c r="D903" s="46"/>
      <c r="F903" s="46"/>
    </row>
    <row r="904" spans="4:6" ht="15.75">
      <c r="D904" s="46"/>
      <c r="F904" s="46"/>
    </row>
    <row r="905" spans="4:6" ht="15.75">
      <c r="D905" s="46"/>
      <c r="F905" s="46"/>
    </row>
    <row r="906" spans="4:6" ht="15.75">
      <c r="D906" s="46"/>
      <c r="F906" s="46"/>
    </row>
    <row r="907" spans="4:6" ht="15.75">
      <c r="D907" s="46"/>
      <c r="F907" s="46"/>
    </row>
    <row r="908" spans="4:6" ht="15.75">
      <c r="D908" s="46"/>
      <c r="F908" s="46"/>
    </row>
    <row r="909" spans="4:6" ht="15.75">
      <c r="D909" s="46"/>
      <c r="F909" s="46"/>
    </row>
    <row r="910" spans="4:6" ht="15.75">
      <c r="D910" s="46"/>
      <c r="F910" s="46"/>
    </row>
    <row r="911" spans="4:6" ht="15.75">
      <c r="D911" s="46"/>
      <c r="F911" s="46"/>
    </row>
    <row r="912" spans="4:6" ht="15.75">
      <c r="D912" s="46"/>
      <c r="F912" s="46"/>
    </row>
    <row r="913" spans="4:6" ht="15.75">
      <c r="D913" s="46"/>
      <c r="F913" s="46"/>
    </row>
    <row r="914" spans="4:6" ht="15.75">
      <c r="D914" s="46"/>
      <c r="F914" s="46"/>
    </row>
    <row r="915" spans="4:6" ht="15.75">
      <c r="D915" s="46"/>
      <c r="F915" s="46"/>
    </row>
    <row r="916" spans="4:6" ht="15.75">
      <c r="D916" s="46"/>
      <c r="F916" s="46"/>
    </row>
    <row r="917" spans="4:6" ht="15.75">
      <c r="D917" s="46"/>
      <c r="F917" s="46"/>
    </row>
    <row r="918" spans="4:6" ht="15.75">
      <c r="D918" s="46"/>
      <c r="F918" s="46"/>
    </row>
    <row r="919" spans="4:6" ht="15.75">
      <c r="D919" s="46"/>
      <c r="F919" s="46"/>
    </row>
    <row r="920" spans="4:6" ht="15.75">
      <c r="D920" s="46"/>
      <c r="F920" s="46"/>
    </row>
    <row r="921" spans="4:6" ht="15.75">
      <c r="D921" s="46"/>
      <c r="F921" s="46"/>
    </row>
    <row r="922" spans="4:6" ht="15.75">
      <c r="D922" s="46"/>
      <c r="F922" s="46"/>
    </row>
    <row r="923" spans="4:6" ht="15.75">
      <c r="D923" s="46"/>
      <c r="F923" s="46"/>
    </row>
    <row r="924" spans="4:6" ht="15.75">
      <c r="D924" s="46"/>
      <c r="F924" s="46"/>
    </row>
    <row r="925" spans="4:6" ht="15.75">
      <c r="D925" s="46"/>
      <c r="F925" s="46"/>
    </row>
    <row r="926" spans="4:6" ht="15.75">
      <c r="D926" s="46"/>
      <c r="F926" s="46"/>
    </row>
    <row r="927" spans="4:6" ht="15.75">
      <c r="D927" s="46"/>
      <c r="F927" s="46"/>
    </row>
    <row r="928" spans="4:6" ht="15.75">
      <c r="D928" s="46"/>
      <c r="F928" s="46"/>
    </row>
    <row r="929" spans="4:6" ht="15.75">
      <c r="D929" s="46"/>
      <c r="F929" s="46"/>
    </row>
    <row r="930" spans="4:6" ht="15.75">
      <c r="D930" s="46"/>
      <c r="F930" s="46"/>
    </row>
    <row r="931" spans="4:6" ht="15.75">
      <c r="D931" s="46"/>
      <c r="F931" s="46"/>
    </row>
    <row r="932" spans="4:6" ht="15.75">
      <c r="D932" s="46"/>
      <c r="F932" s="46"/>
    </row>
    <row r="933" spans="4:6" ht="15.75">
      <c r="D933" s="46"/>
      <c r="F933" s="46"/>
    </row>
    <row r="934" spans="4:6" ht="15.75">
      <c r="D934" s="46"/>
      <c r="F934" s="46"/>
    </row>
    <row r="935" spans="4:6" ht="15.75">
      <c r="D935" s="46"/>
      <c r="F935" s="46"/>
    </row>
    <row r="936" spans="4:6" ht="15.75">
      <c r="D936" s="46"/>
      <c r="F936" s="46"/>
    </row>
    <row r="937" spans="4:6" ht="15.75">
      <c r="D937" s="46"/>
      <c r="F937" s="46"/>
    </row>
    <row r="938" spans="4:6" ht="15.75">
      <c r="D938" s="46"/>
      <c r="F938" s="46"/>
    </row>
    <row r="939" spans="4:6" ht="15.75">
      <c r="D939" s="46"/>
      <c r="F939" s="46"/>
    </row>
    <row r="940" spans="4:6" ht="15.75">
      <c r="D940" s="46"/>
      <c r="F940" s="46"/>
    </row>
    <row r="941" spans="4:6" ht="15.75">
      <c r="D941" s="46"/>
      <c r="F941" s="46"/>
    </row>
    <row r="942" spans="4:6" ht="15.75">
      <c r="D942" s="46"/>
      <c r="F942" s="46"/>
    </row>
    <row r="943" spans="4:6" ht="15.75">
      <c r="D943" s="46"/>
      <c r="F943" s="46"/>
    </row>
    <row r="944" spans="4:6" ht="15.75">
      <c r="D944" s="46"/>
      <c r="F944" s="46"/>
    </row>
    <row r="945" spans="4:6" ht="15.75">
      <c r="D945" s="46"/>
      <c r="F945" s="46"/>
    </row>
    <row r="946" spans="4:6" ht="15.75">
      <c r="D946" s="46"/>
      <c r="F946" s="46"/>
    </row>
    <row r="947" spans="4:6" ht="15.75">
      <c r="D947" s="46"/>
      <c r="F947" s="46"/>
    </row>
    <row r="948" spans="4:6" ht="15.75">
      <c r="D948" s="46"/>
      <c r="F948" s="46"/>
    </row>
    <row r="949" spans="4:6" ht="15.75">
      <c r="D949" s="46"/>
      <c r="F949" s="46"/>
    </row>
    <row r="950" spans="4:6" ht="15.75">
      <c r="D950" s="46"/>
      <c r="F950" s="46"/>
    </row>
    <row r="951" spans="4:6" ht="15.75">
      <c r="D951" s="46"/>
      <c r="F951" s="46"/>
    </row>
    <row r="952" spans="4:6" ht="15.75">
      <c r="D952" s="46"/>
      <c r="F952" s="46"/>
    </row>
    <row r="953" spans="4:6" ht="15.75">
      <c r="D953" s="46"/>
      <c r="F953" s="46"/>
    </row>
    <row r="954" spans="4:6" ht="15.75">
      <c r="D954" s="46"/>
      <c r="F954" s="46"/>
    </row>
    <row r="955" spans="4:6" ht="15.75">
      <c r="D955" s="46"/>
      <c r="F955" s="46"/>
    </row>
    <row r="956" spans="4:6" ht="15.75">
      <c r="D956" s="46"/>
      <c r="F956" s="46"/>
    </row>
    <row r="957" spans="4:6" ht="15.75">
      <c r="D957" s="46"/>
      <c r="F957" s="46"/>
    </row>
    <row r="958" spans="4:6" ht="15.75">
      <c r="D958" s="46"/>
      <c r="F958" s="46"/>
    </row>
    <row r="959" spans="4:6" ht="15.75">
      <c r="D959" s="46"/>
      <c r="F959" s="46"/>
    </row>
    <row r="960" spans="4:6" ht="15.75">
      <c r="D960" s="46"/>
      <c r="F960" s="46"/>
    </row>
    <row r="961" spans="4:6" ht="15.75">
      <c r="D961" s="46"/>
      <c r="F961" s="46"/>
    </row>
    <row r="962" spans="4:6" ht="15.75">
      <c r="D962" s="46"/>
      <c r="F962" s="46"/>
    </row>
    <row r="963" spans="4:6" ht="15.75">
      <c r="D963" s="46"/>
      <c r="F963" s="46"/>
    </row>
    <row r="964" spans="4:6" ht="15.75">
      <c r="D964" s="46"/>
      <c r="F964" s="46"/>
    </row>
    <row r="965" spans="4:6" ht="15.75">
      <c r="D965" s="46"/>
      <c r="F965" s="46"/>
    </row>
    <row r="966" spans="4:6" ht="15.75">
      <c r="D966" s="46"/>
      <c r="F966" s="46"/>
    </row>
    <row r="967" spans="4:6" ht="15.75">
      <c r="D967" s="46"/>
      <c r="F967" s="46"/>
    </row>
    <row r="968" spans="4:6" ht="15.75">
      <c r="D968" s="46"/>
      <c r="F968" s="46"/>
    </row>
    <row r="969" spans="4:6" ht="15.75">
      <c r="D969" s="46"/>
      <c r="F969" s="46"/>
    </row>
    <row r="970" spans="4:6" ht="15.75">
      <c r="D970" s="46"/>
      <c r="F970" s="46"/>
    </row>
    <row r="971" spans="4:6" ht="15.75">
      <c r="D971" s="46"/>
      <c r="F971" s="46"/>
    </row>
    <row r="972" spans="4:6" ht="15.75">
      <c r="D972" s="46"/>
      <c r="F972" s="46"/>
    </row>
    <row r="973" spans="4:6" ht="15.75">
      <c r="D973" s="46"/>
      <c r="F973" s="46"/>
    </row>
    <row r="974" spans="4:6" ht="15.75">
      <c r="D974" s="46"/>
      <c r="F974" s="46"/>
    </row>
    <row r="975" spans="4:6" ht="15.75">
      <c r="D975" s="46"/>
      <c r="F975" s="46"/>
    </row>
    <row r="976" spans="4:6" ht="15.75">
      <c r="D976" s="46"/>
      <c r="F976" s="46"/>
    </row>
    <row r="977" spans="4:6" ht="15.75">
      <c r="D977" s="46"/>
      <c r="F977" s="46"/>
    </row>
    <row r="978" spans="4:6" ht="15.75">
      <c r="D978" s="46"/>
      <c r="F978" s="46"/>
    </row>
    <row r="979" spans="4:6" ht="15.75">
      <c r="D979" s="46"/>
      <c r="F979" s="46"/>
    </row>
    <row r="980" spans="4:6" ht="15.75">
      <c r="D980" s="46"/>
      <c r="F980" s="46"/>
    </row>
    <row r="981" spans="4:6" ht="15.75">
      <c r="D981" s="46"/>
      <c r="F981" s="46"/>
    </row>
    <row r="982" spans="4:6" ht="15.75">
      <c r="D982" s="46"/>
      <c r="F982" s="46"/>
    </row>
    <row r="983" spans="4:6" ht="15.75">
      <c r="D983" s="46"/>
      <c r="F983" s="46"/>
    </row>
    <row r="984" spans="4:6" ht="15.75">
      <c r="D984" s="46"/>
      <c r="F984" s="46"/>
    </row>
    <row r="985" spans="4:6" ht="15.75">
      <c r="D985" s="46"/>
      <c r="F985" s="46"/>
    </row>
    <row r="986" spans="4:6" ht="15.75">
      <c r="D986" s="46"/>
      <c r="F986" s="46"/>
    </row>
    <row r="987" spans="4:6" ht="15.75">
      <c r="D987" s="46"/>
      <c r="F987" s="46"/>
    </row>
    <row r="988" spans="4:6" ht="15.75">
      <c r="D988" s="46"/>
      <c r="F988" s="46"/>
    </row>
    <row r="989" spans="4:6" ht="15.75">
      <c r="D989" s="46"/>
      <c r="F989" s="46"/>
    </row>
    <row r="990" spans="4:6" ht="15.75">
      <c r="D990" s="46"/>
      <c r="F990" s="46"/>
    </row>
    <row r="991" spans="4:6" ht="15.75">
      <c r="D991" s="46"/>
      <c r="F991" s="46"/>
    </row>
    <row r="992" spans="4:6" ht="15.75">
      <c r="D992" s="46"/>
      <c r="F992" s="46"/>
    </row>
    <row r="993" spans="4:6" ht="15.75">
      <c r="D993" s="46"/>
      <c r="F993" s="46"/>
    </row>
    <row r="994" spans="4:6" ht="15.75">
      <c r="D994" s="46"/>
      <c r="F994" s="46"/>
    </row>
    <row r="995" spans="4:6" ht="15.75">
      <c r="D995" s="46"/>
      <c r="F995" s="46"/>
    </row>
    <row r="996" spans="4:6" ht="15.75">
      <c r="D996" s="46"/>
      <c r="F996" s="46"/>
    </row>
    <row r="997" spans="4:6" ht="15.75">
      <c r="D997" s="46"/>
      <c r="F997" s="46"/>
    </row>
    <row r="998" spans="4:6" ht="15.75">
      <c r="D998" s="46"/>
      <c r="F998" s="46"/>
    </row>
    <row r="999" spans="4:6" ht="15.75">
      <c r="D999" s="46"/>
      <c r="F999" s="46"/>
    </row>
    <row r="1000" spans="4:6" ht="15.75">
      <c r="D1000" s="46"/>
      <c r="F1000" s="46"/>
    </row>
    <row r="1001" spans="4:6" ht="15.75">
      <c r="D1001" s="46"/>
      <c r="F1001" s="46"/>
    </row>
    <row r="1002" spans="4:6" ht="15.75">
      <c r="D1002" s="46"/>
      <c r="F1002" s="46"/>
    </row>
    <row r="1003" spans="4:6" ht="15.75">
      <c r="D1003" s="46"/>
      <c r="F1003" s="46"/>
    </row>
    <row r="1004" spans="4:6" ht="15.75">
      <c r="D1004" s="46"/>
      <c r="F1004" s="46"/>
    </row>
    <row r="1005" spans="4:6" ht="15.75">
      <c r="D1005" s="46"/>
      <c r="F1005" s="46"/>
    </row>
    <row r="1006" spans="4:6" ht="15.75">
      <c r="D1006" s="46"/>
      <c r="F1006" s="46"/>
    </row>
    <row r="1007" spans="4:6" ht="15.75">
      <c r="D1007" s="46"/>
      <c r="F1007" s="46"/>
    </row>
    <row r="1008" spans="4:6" ht="15.75">
      <c r="D1008" s="46"/>
      <c r="F1008" s="46"/>
    </row>
    <row r="1009" spans="4:6" ht="15.75">
      <c r="D1009" s="46"/>
      <c r="F1009" s="46"/>
    </row>
    <row r="1010" spans="4:6" ht="15.75">
      <c r="D1010" s="46"/>
      <c r="F1010" s="46"/>
    </row>
    <row r="1011" spans="4:6" ht="15.75">
      <c r="D1011" s="46"/>
      <c r="F1011" s="46"/>
    </row>
    <row r="1012" spans="4:6" ht="15.75">
      <c r="D1012" s="46"/>
      <c r="F1012" s="46"/>
    </row>
    <row r="1013" spans="4:6" ht="15.75">
      <c r="D1013" s="46"/>
      <c r="F1013" s="46"/>
    </row>
    <row r="1014" spans="4:6" ht="15.75">
      <c r="D1014" s="46"/>
      <c r="F1014" s="46"/>
    </row>
    <row r="1015" spans="4:6" ht="15.75">
      <c r="D1015" s="46"/>
      <c r="F1015" s="46"/>
    </row>
    <row r="1016" spans="4:6" ht="15.75">
      <c r="D1016" s="46"/>
      <c r="F1016" s="46"/>
    </row>
    <row r="1017" spans="4:6" ht="15.75">
      <c r="D1017" s="46"/>
      <c r="F1017" s="46"/>
    </row>
    <row r="1018" spans="4:6" ht="15.75">
      <c r="D1018" s="46"/>
      <c r="F1018" s="46"/>
    </row>
    <row r="1019" spans="4:6" ht="15.75">
      <c r="D1019" s="46"/>
      <c r="F1019" s="46"/>
    </row>
    <row r="1020" spans="4:6" ht="15.75">
      <c r="D1020" s="46"/>
      <c r="F1020" s="46"/>
    </row>
    <row r="1021" spans="4:6" ht="15.75">
      <c r="D1021" s="46"/>
      <c r="F1021" s="46"/>
    </row>
    <row r="1022" spans="4:6" ht="15.75">
      <c r="D1022" s="46"/>
      <c r="F1022" s="46"/>
    </row>
    <row r="1023" spans="4:6" ht="15.75">
      <c r="D1023" s="46"/>
      <c r="F1023" s="46"/>
    </row>
  </sheetData>
  <pageMargins left="0.7" right="0.7" top="0.75" bottom="0.75" header="0.3" footer="0.3"/>
  <drawing r:id="rId1"/>
  <tableParts count="3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selection activeCell="M4" sqref="M4"/>
    </sheetView>
  </sheetViews>
  <sheetFormatPr defaultColWidth="11.25" defaultRowHeight="15" customHeight="1"/>
  <cols>
    <col min="1" max="1" width="24.625" customWidth="1"/>
    <col min="2" max="2" width="9.875" customWidth="1"/>
    <col min="3" max="3" width="19.5" customWidth="1"/>
    <col min="4" max="4" width="15.75" customWidth="1"/>
    <col min="5" max="5" width="16" customWidth="1"/>
    <col min="6" max="6" width="21.875" customWidth="1"/>
    <col min="7" max="7" width="12.125" customWidth="1"/>
  </cols>
  <sheetData>
    <row r="1" spans="1:26" ht="22.5" customHeight="1">
      <c r="A1" s="106" t="s">
        <v>62</v>
      </c>
      <c r="B1" s="1"/>
      <c r="C1" s="107"/>
      <c r="D1" s="107"/>
      <c r="E1" s="107"/>
      <c r="F1" s="108" t="s">
        <v>63</v>
      </c>
      <c r="G1" s="109">
        <f>SUM('Fleet Value'!B4:B40)</f>
        <v>37</v>
      </c>
      <c r="H1" s="36" t="s">
        <v>64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2.5" customHeight="1">
      <c r="A2" s="1"/>
      <c r="B2" s="1"/>
      <c r="C2" s="110"/>
      <c r="D2" s="111" t="s">
        <v>65</v>
      </c>
      <c r="E2" s="110"/>
      <c r="F2" s="110"/>
      <c r="G2" s="1"/>
      <c r="H2" s="112"/>
      <c r="I2" s="113" t="s">
        <v>66</v>
      </c>
      <c r="J2" s="114"/>
      <c r="K2" s="112"/>
      <c r="L2" s="1"/>
      <c r="M2" s="112"/>
      <c r="N2" s="113" t="s">
        <v>53</v>
      </c>
      <c r="O2" s="112"/>
      <c r="P2" s="112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2.5" customHeight="1">
      <c r="A3" s="115" t="s">
        <v>67</v>
      </c>
      <c r="B3" s="116"/>
      <c r="C3" s="117">
        <v>2025</v>
      </c>
      <c r="D3" s="117">
        <v>2026</v>
      </c>
      <c r="E3" s="117">
        <v>2027</v>
      </c>
      <c r="F3" s="117">
        <v>2028</v>
      </c>
      <c r="G3" s="118"/>
      <c r="H3" s="119">
        <v>2025</v>
      </c>
      <c r="I3" s="120">
        <v>2026</v>
      </c>
      <c r="J3" s="119">
        <v>2027</v>
      </c>
      <c r="K3" s="119">
        <v>2028</v>
      </c>
      <c r="L3" s="118"/>
      <c r="M3" s="121">
        <v>2025</v>
      </c>
      <c r="N3" s="122">
        <v>2026</v>
      </c>
      <c r="O3" s="121">
        <v>2027</v>
      </c>
      <c r="P3" s="121">
        <v>2028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2.5" customHeight="1">
      <c r="A4" s="123" t="s">
        <v>68</v>
      </c>
      <c r="B4" s="124">
        <v>6000</v>
      </c>
      <c r="C4" s="125">
        <f>SUM('Fleet Value'!$B$4:$B$40)*$B$4</f>
        <v>222000</v>
      </c>
      <c r="D4" s="125">
        <f>SUM('Fleet Value'!$B$4:$B$40)*$B$4</f>
        <v>222000</v>
      </c>
      <c r="E4" s="125">
        <f>SUM('Fleet Value'!$B$4:$B$40)*$B$4</f>
        <v>222000</v>
      </c>
      <c r="F4" s="125">
        <f>SUM('Fleet Value'!$B$4:$B$40)*$B$4</f>
        <v>222000</v>
      </c>
      <c r="G4" s="118"/>
      <c r="H4" s="126">
        <f>'Fleet Value'!U4</f>
        <v>6305.4147699359992</v>
      </c>
      <c r="I4" s="126">
        <f>'Fleet Value'!V4</f>
        <v>34124.735401522528</v>
      </c>
      <c r="J4" s="126">
        <f>'Fleet Value'!W4</f>
        <v>34124.735401522528</v>
      </c>
      <c r="K4" s="127">
        <f>'Fleet Value'!X4</f>
        <v>48749.622002175041</v>
      </c>
      <c r="L4" s="118"/>
      <c r="M4" s="128">
        <f>'Fleet Value'!AE4</f>
        <v>12963.687300719997</v>
      </c>
      <c r="N4" s="128">
        <f>'Fleet Value'!AF4</f>
        <v>43679.661313948833</v>
      </c>
      <c r="O4" s="128">
        <f>'Fleet Value'!AG4</f>
        <v>60059.534306679641</v>
      </c>
      <c r="P4" s="129">
        <f>'Fleet Value'!AH4</f>
        <v>126749.01720565511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2.5" customHeight="1">
      <c r="A5" s="130" t="s">
        <v>69</v>
      </c>
      <c r="B5" s="131">
        <v>0.25</v>
      </c>
      <c r="C5" s="132">
        <f t="shared" ref="C5:F5" si="0">SUM($B$5*(M$42))</f>
        <v>434872.29634289996</v>
      </c>
      <c r="D5" s="132">
        <f t="shared" si="0"/>
        <v>1465252.4531366995</v>
      </c>
      <c r="E5" s="132">
        <f t="shared" si="0"/>
        <v>2014722.1230629622</v>
      </c>
      <c r="F5" s="132">
        <f t="shared" si="0"/>
        <v>4251848.6363341734</v>
      </c>
      <c r="G5" s="118"/>
      <c r="H5" s="133">
        <f>'Fleet Value'!U5</f>
        <v>8141.7105828000003</v>
      </c>
      <c r="I5" s="133">
        <f>'Fleet Value'!V5</f>
        <v>44062.719026593993</v>
      </c>
      <c r="J5" s="133">
        <f>'Fleet Value'!W5</f>
        <v>44062.719026593993</v>
      </c>
      <c r="K5" s="134">
        <f>'Fleet Value'!X5</f>
        <v>62946.741466562853</v>
      </c>
      <c r="L5" s="118"/>
      <c r="M5" s="133">
        <f>'Fleet Value'!AE5</f>
        <v>16739.040005999999</v>
      </c>
      <c r="N5" s="133">
        <f>'Fleet Value'!AF5</f>
        <v>56400.280354040318</v>
      </c>
      <c r="O5" s="133">
        <f>'Fleet Value'!AG5</f>
        <v>77550.385486805419</v>
      </c>
      <c r="P5" s="134">
        <f>'Fleet Value'!AH5</f>
        <v>163661.52781306341</v>
      </c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2.5" customHeight="1">
      <c r="A6" s="135" t="s">
        <v>70</v>
      </c>
      <c r="B6" s="1"/>
      <c r="C6" s="136">
        <f t="shared" ref="C6:F6" si="1">SUM(C4:C5)</f>
        <v>656872.29634290002</v>
      </c>
      <c r="D6" s="136">
        <f t="shared" si="1"/>
        <v>1687252.4531366995</v>
      </c>
      <c r="E6" s="136">
        <f t="shared" si="1"/>
        <v>2236722.1230629622</v>
      </c>
      <c r="F6" s="136">
        <f t="shared" si="1"/>
        <v>4473848.6363341734</v>
      </c>
      <c r="G6" s="118"/>
      <c r="H6" s="127">
        <f>'Fleet Value'!U6</f>
        <v>18891.778236048001</v>
      </c>
      <c r="I6" s="127">
        <f>'Fleet Value'!V6</f>
        <v>102241.79647042054</v>
      </c>
      <c r="J6" s="127">
        <f>'Fleet Value'!W6</f>
        <v>102241.79647042054</v>
      </c>
      <c r="K6" s="126">
        <f>'Fleet Value'!X6</f>
        <v>146059.70924345791</v>
      </c>
      <c r="L6" s="118"/>
      <c r="M6" s="129">
        <f>'Fleet Value'!AE6</f>
        <v>38840.760606959993</v>
      </c>
      <c r="N6" s="129">
        <f>'Fleet Value'!AF6</f>
        <v>130869.49948213826</v>
      </c>
      <c r="O6" s="129">
        <f>'Fleet Value'!AG6</f>
        <v>179945.5617879401</v>
      </c>
      <c r="P6" s="128">
        <f>'Fleet Value'!AH6</f>
        <v>379755.24403299054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2.5" customHeight="1">
      <c r="A7" s="137"/>
      <c r="B7" s="137"/>
      <c r="C7" s="110"/>
      <c r="D7" s="110"/>
      <c r="E7" s="110"/>
      <c r="F7" s="110"/>
      <c r="G7" s="118"/>
      <c r="H7" s="133">
        <f>'Fleet Value'!U7</f>
        <v>18891.778236048001</v>
      </c>
      <c r="I7" s="133">
        <f>'Fleet Value'!V7</f>
        <v>102241.79647042054</v>
      </c>
      <c r="J7" s="133">
        <f>'Fleet Value'!W7</f>
        <v>102241.79647042054</v>
      </c>
      <c r="K7" s="134">
        <f>'Fleet Value'!X7</f>
        <v>146059.70924345791</v>
      </c>
      <c r="L7" s="118"/>
      <c r="M7" s="133">
        <f>'Fleet Value'!AE7</f>
        <v>38840.760606959993</v>
      </c>
      <c r="N7" s="133">
        <f>'Fleet Value'!AF7</f>
        <v>130869.49948213826</v>
      </c>
      <c r="O7" s="133">
        <f>'Fleet Value'!AG7</f>
        <v>179945.5617879401</v>
      </c>
      <c r="P7" s="134">
        <f>'Fleet Value'!AH7</f>
        <v>379755.24403299054</v>
      </c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2.5" customHeight="1">
      <c r="A8" s="138" t="s">
        <v>71</v>
      </c>
      <c r="B8" s="139"/>
      <c r="C8" s="140">
        <f>SUM((('Fleet Value'!$AE$42)+((LookupTables!$J$4+LookupTables!$K$4)*FT_FraudReductionConservative))-C6)</f>
        <v>1119632.8890286998</v>
      </c>
      <c r="D8" s="140">
        <f>SUM((('Fleet Value'!$AF$42)+((LookupTables!$J$4+LookupTables!$K$4)*FT_FraudReductionConservative))-D6)</f>
        <v>4210773.3594100988</v>
      </c>
      <c r="E8" s="140">
        <f>SUM((('Fleet Value'!$AG$42)+((LookupTables!$J$4+LookupTables!$K$4)*FT_FraudReductionConservative))-E6)</f>
        <v>5859182.3691888861</v>
      </c>
      <c r="F8" s="140">
        <f>SUM((('Fleet Value'!$AH$42)+((LookupTables!$J$4+LookupTables!$K$4)*FT_FraudReductionConservative))-F6)</f>
        <v>12570561.90900252</v>
      </c>
      <c r="G8" s="118"/>
      <c r="H8" s="127">
        <f>'Fleet Value'!U8</f>
        <v>14772.290179391997</v>
      </c>
      <c r="I8" s="127">
        <f>'Fleet Value'!V8</f>
        <v>79947.23773760219</v>
      </c>
      <c r="J8" s="127">
        <f>'Fleet Value'!W8</f>
        <v>79947.23773760219</v>
      </c>
      <c r="K8" s="126">
        <f>'Fleet Value'!X8</f>
        <v>114210.33962514599</v>
      </c>
      <c r="L8" s="118"/>
      <c r="M8" s="129">
        <f>'Fleet Value'!AE8</f>
        <v>30371.253531839997</v>
      </c>
      <c r="N8" s="129">
        <f>'Fleet Value'!AF8</f>
        <v>102332.46430413082</v>
      </c>
      <c r="O8" s="129">
        <f>'Fleet Value'!AG8</f>
        <v>140707.13841817985</v>
      </c>
      <c r="P8" s="128">
        <f>'Fleet Value'!AH8</f>
        <v>296946.88302537962</v>
      </c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2.5" customHeight="1">
      <c r="A9" s="1"/>
      <c r="B9" s="1"/>
      <c r="C9" s="107"/>
      <c r="D9" s="107"/>
      <c r="E9" s="107"/>
      <c r="F9" s="107"/>
      <c r="G9" s="118"/>
      <c r="H9" s="133">
        <f>'Fleet Value'!U9</f>
        <v>16316.190636191999</v>
      </c>
      <c r="I9" s="133">
        <f>'Fleet Value'!V9</f>
        <v>88302.78554800016</v>
      </c>
      <c r="J9" s="133">
        <f>'Fleet Value'!W9</f>
        <v>88302.78554800016</v>
      </c>
      <c r="K9" s="134">
        <f>'Fleet Value'!X9</f>
        <v>126146.83649714309</v>
      </c>
      <c r="L9" s="118"/>
      <c r="M9" s="133">
        <f>'Fleet Value'!AE9</f>
        <v>33545.452767839997</v>
      </c>
      <c r="N9" s="133">
        <f>'Fleet Value'!AF9</f>
        <v>113027.5655014402</v>
      </c>
      <c r="O9" s="133">
        <f>'Fleet Value'!AG9</f>
        <v>155412.90256448029</v>
      </c>
      <c r="P9" s="134">
        <f>'Fleet Value'!AH9</f>
        <v>327981.77489257202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2.5" customHeight="1">
      <c r="A10" s="1"/>
      <c r="B10" s="1"/>
      <c r="C10" s="107"/>
      <c r="D10" s="107"/>
      <c r="E10" s="107"/>
      <c r="F10" s="107"/>
      <c r="G10" s="118"/>
      <c r="H10" s="127">
        <f>'Fleet Value'!U10</f>
        <v>19329.050022854397</v>
      </c>
      <c r="I10" s="127">
        <f>'Fleet Value'!V10</f>
        <v>104608.29963758186</v>
      </c>
      <c r="J10" s="127">
        <f>'Fleet Value'!W10</f>
        <v>104608.29963758186</v>
      </c>
      <c r="K10" s="126">
        <f>'Fleet Value'!X10</f>
        <v>149440.42805368837</v>
      </c>
      <c r="L10" s="118"/>
      <c r="M10" s="129">
        <f>'Fleet Value'!AE10</f>
        <v>39739.774377887996</v>
      </c>
      <c r="N10" s="129">
        <f>'Fleet Value'!AF10</f>
        <v>133898.62353610477</v>
      </c>
      <c r="O10" s="129">
        <f>'Fleet Value'!AG10</f>
        <v>184110.60736214404</v>
      </c>
      <c r="P10" s="128">
        <f>'Fleet Value'!AH10</f>
        <v>388545.11293958977</v>
      </c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2.5" customHeight="1">
      <c r="A11" s="1"/>
      <c r="B11" s="1"/>
      <c r="C11" s="107"/>
      <c r="D11" s="107"/>
      <c r="E11" s="107"/>
      <c r="F11" s="107"/>
      <c r="G11" s="118"/>
      <c r="H11" s="133">
        <f>'Fleet Value'!U11</f>
        <v>22169.826863366397</v>
      </c>
      <c r="I11" s="133">
        <f>'Fleet Value'!V11</f>
        <v>119982.50760871409</v>
      </c>
      <c r="J11" s="133">
        <f>'Fleet Value'!W11</f>
        <v>119982.50760871409</v>
      </c>
      <c r="K11" s="134">
        <f>'Fleet Value'!X11</f>
        <v>171403.582298163</v>
      </c>
      <c r="L11" s="118"/>
      <c r="M11" s="133">
        <f>'Fleet Value'!AE11</f>
        <v>45580.300972127996</v>
      </c>
      <c r="N11" s="133">
        <f>'Fleet Value'!AF11</f>
        <v>153577.60973915405</v>
      </c>
      <c r="O11" s="133">
        <f>'Fleet Value'!AG11</f>
        <v>211169.21339133682</v>
      </c>
      <c r="P11" s="134">
        <f>'Fleet Value'!AH11</f>
        <v>445649.31397522386</v>
      </c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2.5" customHeight="1">
      <c r="A12" s="1"/>
      <c r="B12" s="1"/>
      <c r="C12" s="110"/>
      <c r="D12" s="110"/>
      <c r="E12" s="110"/>
      <c r="F12" s="110"/>
      <c r="G12" s="118"/>
      <c r="H12" s="127">
        <f>'Fleet Value'!U12</f>
        <v>24815.835516239997</v>
      </c>
      <c r="I12" s="127">
        <f>'Fleet Value'!V12</f>
        <v>134302.63537889201</v>
      </c>
      <c r="J12" s="127">
        <f>'Fleet Value'!W12</f>
        <v>134302.63537889201</v>
      </c>
      <c r="K12" s="126">
        <f>'Fleet Value'!X12</f>
        <v>191860.90768413147</v>
      </c>
      <c r="L12" s="118"/>
      <c r="M12" s="129">
        <f>'Fleet Value'!AE12</f>
        <v>51020.391754799995</v>
      </c>
      <c r="N12" s="129">
        <f>'Fleet Value'!AF12</f>
        <v>171907.37328498179</v>
      </c>
      <c r="O12" s="129">
        <f>'Fleet Value'!AG12</f>
        <v>236372.63826684994</v>
      </c>
      <c r="P12" s="128">
        <f>'Fleet Value'!AH12</f>
        <v>498838.35997874185</v>
      </c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2.5" customHeight="1">
      <c r="A13" s="141" t="s">
        <v>72</v>
      </c>
      <c r="B13" s="116"/>
      <c r="C13" s="117">
        <v>2025</v>
      </c>
      <c r="D13" s="117">
        <v>2026</v>
      </c>
      <c r="E13" s="117">
        <v>2027</v>
      </c>
      <c r="F13" s="117">
        <v>2028</v>
      </c>
      <c r="G13" s="118"/>
      <c r="H13" s="133">
        <f>'Fleet Value'!U13</f>
        <v>47736.818427974395</v>
      </c>
      <c r="I13" s="133">
        <f>'Fleet Value'!V13</f>
        <v>258350.37934890445</v>
      </c>
      <c r="J13" s="133">
        <f>'Fleet Value'!W13</f>
        <v>258350.37934890445</v>
      </c>
      <c r="K13" s="134">
        <f>'Fleet Value'!X13</f>
        <v>369071.97049843497</v>
      </c>
      <c r="L13" s="118"/>
      <c r="M13" s="133">
        <f>'Fleet Value'!AE13</f>
        <v>98145.040320287982</v>
      </c>
      <c r="N13" s="133">
        <f>'Fleet Value'!AF13</f>
        <v>330688.48556659766</v>
      </c>
      <c r="O13" s="133">
        <f>'Fleet Value'!AG13</f>
        <v>454696.66765407182</v>
      </c>
      <c r="P13" s="134">
        <f>'Fleet Value'!AH13</f>
        <v>959587.12329593091</v>
      </c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2.5" customHeight="1">
      <c r="A14" s="123" t="s">
        <v>68</v>
      </c>
      <c r="B14" s="124">
        <v>1200</v>
      </c>
      <c r="C14" s="125">
        <f>SUM('Fleet Value'!$B$4:$B$40)*$B$14</f>
        <v>44400</v>
      </c>
      <c r="D14" s="125">
        <f>SUM('Fleet Value'!$B$4:$B$40)*$B$14</f>
        <v>44400</v>
      </c>
      <c r="E14" s="125">
        <f>SUM('Fleet Value'!$B$4:$B$40)*$B$14</f>
        <v>44400</v>
      </c>
      <c r="F14" s="125">
        <f>SUM('Fleet Value'!$B$4:$B$40)*$B$14</f>
        <v>44400</v>
      </c>
      <c r="G14" s="118"/>
      <c r="H14" s="127">
        <f>'Fleet Value'!U14</f>
        <v>43086.506980204795</v>
      </c>
      <c r="I14" s="127">
        <f>'Fleet Value'!V14</f>
        <v>233183.01867876414</v>
      </c>
      <c r="J14" s="127">
        <f>'Fleet Value'!W14</f>
        <v>233183.01867876414</v>
      </c>
      <c r="K14" s="126">
        <f>'Fleet Value'!X14</f>
        <v>333118.59811252024</v>
      </c>
      <c r="L14" s="118"/>
      <c r="M14" s="129">
        <f>'Fleet Value'!AE14</f>
        <v>88584.181017695999</v>
      </c>
      <c r="N14" s="129">
        <f>'Fleet Value'!AF14</f>
        <v>298474.26390881813</v>
      </c>
      <c r="O14" s="129">
        <f>'Fleet Value'!AG14</f>
        <v>410402.1128746249</v>
      </c>
      <c r="P14" s="128">
        <f>'Fleet Value'!AH14</f>
        <v>866108.35509255272</v>
      </c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2.5" customHeight="1">
      <c r="A15" s="130" t="s">
        <v>69</v>
      </c>
      <c r="B15" s="131">
        <v>0.5</v>
      </c>
      <c r="C15" s="132">
        <f t="shared" ref="C15:F15" si="2">SUM($B$15*(M$42))</f>
        <v>869744.59268579993</v>
      </c>
      <c r="D15" s="132">
        <f t="shared" si="2"/>
        <v>2930504.906273399</v>
      </c>
      <c r="E15" s="132">
        <f t="shared" si="2"/>
        <v>4029444.2461259244</v>
      </c>
      <c r="F15" s="132">
        <f t="shared" si="2"/>
        <v>8503697.2726683468</v>
      </c>
      <c r="G15" s="118"/>
      <c r="H15" s="133">
        <f>'Fleet Value'!U15</f>
        <v>6305.4147699359992</v>
      </c>
      <c r="I15" s="133">
        <f>'Fleet Value'!V15</f>
        <v>34124.735401522528</v>
      </c>
      <c r="J15" s="133">
        <f>'Fleet Value'!W15</f>
        <v>34124.735401522528</v>
      </c>
      <c r="K15" s="134">
        <f>'Fleet Value'!X15</f>
        <v>48749.622002175041</v>
      </c>
      <c r="L15" s="118"/>
      <c r="M15" s="133">
        <f>'Fleet Value'!AE15</f>
        <v>12963.687300719997</v>
      </c>
      <c r="N15" s="133">
        <f>'Fleet Value'!AF15</f>
        <v>43679.661313948833</v>
      </c>
      <c r="O15" s="133">
        <f>'Fleet Value'!AG15</f>
        <v>60059.534306679641</v>
      </c>
      <c r="P15" s="134">
        <f>'Fleet Value'!AH15</f>
        <v>126749.01720565511</v>
      </c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2.5" customHeight="1">
      <c r="A16" s="135" t="s">
        <v>70</v>
      </c>
      <c r="B16" s="1"/>
      <c r="C16" s="136">
        <f t="shared" ref="C16:F16" si="3">SUM(C14:C15)</f>
        <v>914144.59268579993</v>
      </c>
      <c r="D16" s="136">
        <f t="shared" si="3"/>
        <v>2974904.906273399</v>
      </c>
      <c r="E16" s="136">
        <f t="shared" si="3"/>
        <v>4073844.2461259244</v>
      </c>
      <c r="F16" s="136">
        <f t="shared" si="3"/>
        <v>8548097.2726683468</v>
      </c>
      <c r="G16" s="118"/>
      <c r="H16" s="142">
        <f>'Fleet Value'!U16</f>
        <v>8141.7105828000003</v>
      </c>
      <c r="I16" s="142">
        <f>'Fleet Value'!V16</f>
        <v>44062.719026593993</v>
      </c>
      <c r="J16" s="142">
        <f>'Fleet Value'!W16</f>
        <v>44062.719026593993</v>
      </c>
      <c r="K16" s="143">
        <f>'Fleet Value'!X16</f>
        <v>62946.741466562853</v>
      </c>
      <c r="L16" s="118"/>
      <c r="M16" s="129">
        <f>'Fleet Value'!AE16</f>
        <v>16739.040005999999</v>
      </c>
      <c r="N16" s="129">
        <f>'Fleet Value'!AF16</f>
        <v>56400.280354040318</v>
      </c>
      <c r="O16" s="129">
        <f>'Fleet Value'!AG16</f>
        <v>77550.385486805419</v>
      </c>
      <c r="P16" s="128">
        <f>'Fleet Value'!AH16</f>
        <v>163661.52781306341</v>
      </c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2.5" customHeight="1">
      <c r="A17" s="137"/>
      <c r="B17" s="137"/>
      <c r="C17" s="110"/>
      <c r="D17" s="110"/>
      <c r="E17" s="110"/>
      <c r="F17" s="110"/>
      <c r="G17" s="118"/>
      <c r="H17" s="133">
        <f>'Fleet Value'!U17</f>
        <v>13073.304158380799</v>
      </c>
      <c r="I17" s="133">
        <f>'Fleet Value'!V17</f>
        <v>70752.371018551901</v>
      </c>
      <c r="J17" s="133">
        <f>'Fleet Value'!W17</f>
        <v>70752.371018551901</v>
      </c>
      <c r="K17" s="134">
        <f>'Fleet Value'!X17</f>
        <v>101074.81574078843</v>
      </c>
      <c r="L17" s="118"/>
      <c r="M17" s="133">
        <f>'Fleet Value'!AE17</f>
        <v>26878.204413215997</v>
      </c>
      <c r="N17" s="133">
        <f>'Fleet Value'!AF17</f>
        <v>90563.034903746418</v>
      </c>
      <c r="O17" s="133">
        <f>'Fleet Value'!AG17</f>
        <v>124524.17299265132</v>
      </c>
      <c r="P17" s="134">
        <f>'Fleet Value'!AH17</f>
        <v>262794.52092604991</v>
      </c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2.5" customHeight="1">
      <c r="A18" s="144" t="s">
        <v>71</v>
      </c>
      <c r="B18" s="139"/>
      <c r="C18" s="145">
        <f>SUM((('Fleet Value'!$AE$42)+((LookupTables!$J$4+LookupTables!$K$4)*FT_FraudReductionConservative))-C16)</f>
        <v>862360.59268579993</v>
      </c>
      <c r="D18" s="145">
        <f>SUM((('Fleet Value'!$AF$42)+((LookupTables!$J$4+LookupTables!$K$4)*FT_FraudReductionConservative))-D16)</f>
        <v>2923120.906273399</v>
      </c>
      <c r="E18" s="145">
        <f>SUM((('Fleet Value'!$AG$42)+((LookupTables!$J$4+LookupTables!$K$4)*FT_FraudReductionConservative))-E16)</f>
        <v>4022060.2461259244</v>
      </c>
      <c r="F18" s="145">
        <f>SUM((('Fleet Value'!$AH$42)+((LookupTables!$J$4+LookupTables!$K$4)*FT_FraudReductionConservative))-F16)</f>
        <v>8496313.2726683468</v>
      </c>
      <c r="G18" s="118"/>
      <c r="H18" s="133">
        <f>'Fleet Value'!U18</f>
        <v>18891.778236048001</v>
      </c>
      <c r="I18" s="133">
        <f>'Fleet Value'!V18</f>
        <v>102241.79647042054</v>
      </c>
      <c r="J18" s="133">
        <f>'Fleet Value'!W18</f>
        <v>102241.79647042054</v>
      </c>
      <c r="K18" s="134">
        <f>'Fleet Value'!X18</f>
        <v>146059.70924345791</v>
      </c>
      <c r="L18" s="118"/>
      <c r="M18" s="129">
        <f>'Fleet Value'!AE18</f>
        <v>38840.760606959993</v>
      </c>
      <c r="N18" s="129">
        <f>'Fleet Value'!AF18</f>
        <v>130869.49948213826</v>
      </c>
      <c r="O18" s="129">
        <f>'Fleet Value'!AG18</f>
        <v>179945.5617879401</v>
      </c>
      <c r="P18" s="128">
        <f>'Fleet Value'!AH18</f>
        <v>379755.24403299054</v>
      </c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2.5" customHeight="1">
      <c r="A19" s="1"/>
      <c r="B19" s="1"/>
      <c r="C19" s="107"/>
      <c r="D19" s="107"/>
      <c r="E19" s="107"/>
      <c r="F19" s="107"/>
      <c r="G19" s="118"/>
      <c r="H19" s="127">
        <f>'Fleet Value'!U19</f>
        <v>18891.778236048001</v>
      </c>
      <c r="I19" s="127">
        <f>'Fleet Value'!V19</f>
        <v>102241.79647042054</v>
      </c>
      <c r="J19" s="127">
        <f>'Fleet Value'!W19</f>
        <v>102241.79647042054</v>
      </c>
      <c r="K19" s="126">
        <f>'Fleet Value'!X19</f>
        <v>146059.70924345791</v>
      </c>
      <c r="L19" s="118"/>
      <c r="M19" s="133">
        <f>'Fleet Value'!AE19</f>
        <v>38840.760606959993</v>
      </c>
      <c r="N19" s="133">
        <f>'Fleet Value'!AF19</f>
        <v>130869.49948213826</v>
      </c>
      <c r="O19" s="133">
        <f>'Fleet Value'!AG19</f>
        <v>179945.5617879401</v>
      </c>
      <c r="P19" s="134">
        <f>'Fleet Value'!AH19</f>
        <v>379755.24403299054</v>
      </c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2.5" customHeight="1">
      <c r="A20" s="1"/>
      <c r="B20" s="1"/>
      <c r="C20" s="107"/>
      <c r="D20" s="107"/>
      <c r="E20" s="107"/>
      <c r="F20" s="107"/>
      <c r="G20" s="118"/>
      <c r="H20" s="133">
        <f>'Fleet Value'!U20</f>
        <v>26585.882594208</v>
      </c>
      <c r="I20" s="133">
        <f>'Fleet Value'!V20</f>
        <v>143882.08262983145</v>
      </c>
      <c r="J20" s="133">
        <f>'Fleet Value'!W20</f>
        <v>143882.08262983145</v>
      </c>
      <c r="K20" s="134">
        <f>'Fleet Value'!X20</f>
        <v>205545.83232833064</v>
      </c>
      <c r="L20" s="118"/>
      <c r="M20" s="129">
        <f>'Fleet Value'!AE20</f>
        <v>54659.539640160001</v>
      </c>
      <c r="N20" s="129">
        <f>'Fleet Value'!AF20</f>
        <v>184169.06576618424</v>
      </c>
      <c r="O20" s="129">
        <f>'Fleet Value'!AG20</f>
        <v>253232.46542850332</v>
      </c>
      <c r="P20" s="128">
        <f>'Fleet Value'!AH20</f>
        <v>534419.16405365965</v>
      </c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2.5" customHeight="1">
      <c r="A21" s="1"/>
      <c r="B21" s="1"/>
      <c r="C21" s="110"/>
      <c r="D21" s="110"/>
      <c r="E21" s="110"/>
      <c r="F21" s="110"/>
      <c r="G21" s="118"/>
      <c r="H21" s="127">
        <f>'Fleet Value'!U21</f>
        <v>29986.135492896003</v>
      </c>
      <c r="I21" s="127">
        <f>'Fleet Value'!V21</f>
        <v>162284.16000295334</v>
      </c>
      <c r="J21" s="127">
        <f>'Fleet Value'!W21</f>
        <v>162284.16000295334</v>
      </c>
      <c r="K21" s="126">
        <f>'Fleet Value'!X21</f>
        <v>231834.51428993334</v>
      </c>
      <c r="L21" s="118"/>
      <c r="M21" s="133">
        <f>'Fleet Value'!AE21</f>
        <v>61650.327229919989</v>
      </c>
      <c r="N21" s="133">
        <f>'Fleet Value'!AF21</f>
        <v>207723.72480378026</v>
      </c>
      <c r="O21" s="133">
        <f>'Fleet Value'!AG21</f>
        <v>285620.12160519784</v>
      </c>
      <c r="P21" s="134">
        <f>'Fleet Value'!AH21</f>
        <v>602769.73715382675</v>
      </c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2.5" customHeight="1">
      <c r="A22" s="146" t="s">
        <v>73</v>
      </c>
      <c r="B22" s="116"/>
      <c r="C22" s="117">
        <v>2025</v>
      </c>
      <c r="D22" s="117">
        <v>2026</v>
      </c>
      <c r="E22" s="117">
        <v>2027</v>
      </c>
      <c r="F22" s="117">
        <v>2028</v>
      </c>
      <c r="G22" s="118"/>
      <c r="H22" s="133">
        <f>'Fleet Value'!U22</f>
        <v>41420.039821055994</v>
      </c>
      <c r="I22" s="133">
        <f>'Fleet Value'!V22</f>
        <v>224164.14316681161</v>
      </c>
      <c r="J22" s="133">
        <f>'Fleet Value'!W22</f>
        <v>224164.14316681161</v>
      </c>
      <c r="K22" s="134">
        <f>'Fleet Value'!X22</f>
        <v>320234.49023830233</v>
      </c>
      <c r="L22" s="118"/>
      <c r="M22" s="129">
        <f>'Fleet Value'!AE22</f>
        <v>85157.989413119998</v>
      </c>
      <c r="N22" s="129">
        <f>'Fleet Value'!AF22</f>
        <v>286930.10325351887</v>
      </c>
      <c r="O22" s="129">
        <f>'Fleet Value'!AG22</f>
        <v>394528.89197358844</v>
      </c>
      <c r="P22" s="128">
        <f>'Fleet Value'!AH22</f>
        <v>832609.67461958609</v>
      </c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2.5" customHeight="1">
      <c r="A23" s="123" t="s">
        <v>68</v>
      </c>
      <c r="B23" s="124">
        <v>12000</v>
      </c>
      <c r="C23" s="125">
        <f>SUM('Fleet Value'!$B$4:$B$40)*$B$23</f>
        <v>444000</v>
      </c>
      <c r="D23" s="125">
        <f>SUM('Fleet Value'!$B$4:$B$40)*$B$23</f>
        <v>444000</v>
      </c>
      <c r="E23" s="125">
        <f>SUM('Fleet Value'!$B$4:$B$40)*$B$23</f>
        <v>444000</v>
      </c>
      <c r="F23" s="125">
        <f>SUM('Fleet Value'!$B$4:$B$40)*$B$23</f>
        <v>444000</v>
      </c>
      <c r="G23" s="118"/>
      <c r="H23" s="127">
        <f>'Fleet Value'!U23</f>
        <v>59165.770854527989</v>
      </c>
      <c r="I23" s="127">
        <f>'Fleet Value'!V23</f>
        <v>320203.56295425334</v>
      </c>
      <c r="J23" s="127">
        <f>'Fleet Value'!W23</f>
        <v>320203.56295425334</v>
      </c>
      <c r="K23" s="126">
        <f>'Fleet Value'!X23</f>
        <v>457433.66136321909</v>
      </c>
      <c r="L23" s="118"/>
      <c r="M23" s="133">
        <f>'Fleet Value'!AE23</f>
        <v>121642.52158656</v>
      </c>
      <c r="N23" s="133">
        <f>'Fleet Value'!AF23</f>
        <v>409860.5605814443</v>
      </c>
      <c r="O23" s="133">
        <f>'Fleet Value'!AG23</f>
        <v>563558.27079948585</v>
      </c>
      <c r="P23" s="134">
        <f>'Fleet Value'!AH23</f>
        <v>1189327.5195443698</v>
      </c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2.5" customHeight="1">
      <c r="A24" s="130" t="s">
        <v>69</v>
      </c>
      <c r="B24" s="131">
        <v>0</v>
      </c>
      <c r="C24" s="132">
        <f t="shared" ref="C24:F24" si="4">SUM($B$24*(M$42))</f>
        <v>0</v>
      </c>
      <c r="D24" s="132">
        <f t="shared" si="4"/>
        <v>0</v>
      </c>
      <c r="E24" s="132">
        <f t="shared" si="4"/>
        <v>0</v>
      </c>
      <c r="F24" s="132">
        <f t="shared" si="4"/>
        <v>0</v>
      </c>
      <c r="G24" s="118"/>
      <c r="H24" s="133">
        <f>'Fleet Value'!U24</f>
        <v>7036.4031600959988</v>
      </c>
      <c r="I24" s="133">
        <f>'Fleet Value'!V24</f>
        <v>38080.824938206257</v>
      </c>
      <c r="J24" s="133">
        <f>'Fleet Value'!W24</f>
        <v>38080.824938206257</v>
      </c>
      <c r="K24" s="134">
        <f>'Fleet Value'!X24</f>
        <v>54401.178483151802</v>
      </c>
      <c r="L24" s="118"/>
      <c r="M24" s="129">
        <f>'Fleet Value'!AE24</f>
        <v>14466.570973920003</v>
      </c>
      <c r="N24" s="129">
        <f>'Fleet Value'!AF24</f>
        <v>48743.455920904016</v>
      </c>
      <c r="O24" s="129">
        <f>'Fleet Value'!AG24</f>
        <v>67022.251891243024</v>
      </c>
      <c r="P24" s="128">
        <f>'Fleet Value'!AH24</f>
        <v>141443.06405619468</v>
      </c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2.5" customHeight="1">
      <c r="A25" s="135" t="s">
        <v>70</v>
      </c>
      <c r="B25" s="1"/>
      <c r="C25" s="136">
        <f t="shared" ref="C25:F25" si="5">SUM(C23:C24)</f>
        <v>444000</v>
      </c>
      <c r="D25" s="136">
        <f t="shared" si="5"/>
        <v>444000</v>
      </c>
      <c r="E25" s="136">
        <f t="shared" si="5"/>
        <v>444000</v>
      </c>
      <c r="F25" s="136">
        <f t="shared" si="5"/>
        <v>444000</v>
      </c>
      <c r="G25" s="118"/>
      <c r="H25" s="127">
        <f>'Fleet Value'!U25</f>
        <v>8872.6989729600009</v>
      </c>
      <c r="I25" s="127">
        <f>'Fleet Value'!V25</f>
        <v>48018.808563277729</v>
      </c>
      <c r="J25" s="127">
        <f>'Fleet Value'!W25</f>
        <v>48018.808563277729</v>
      </c>
      <c r="K25" s="126">
        <f>'Fleet Value'!X25</f>
        <v>68598.297947539613</v>
      </c>
      <c r="L25" s="118"/>
      <c r="M25" s="133">
        <f>'Fleet Value'!AE25</f>
        <v>18241.923679200001</v>
      </c>
      <c r="N25" s="133">
        <f>'Fleet Value'!AF25</f>
        <v>61464.07496099548</v>
      </c>
      <c r="O25" s="133">
        <f>'Fleet Value'!AG25</f>
        <v>84513.10307136878</v>
      </c>
      <c r="P25" s="134">
        <f>'Fleet Value'!AH25</f>
        <v>178355.57466360298</v>
      </c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2.5" customHeight="1">
      <c r="A26" s="137"/>
      <c r="B26" s="137"/>
      <c r="C26" s="110"/>
      <c r="D26" s="110"/>
      <c r="E26" s="110"/>
      <c r="F26" s="110"/>
      <c r="G26" s="118"/>
      <c r="H26" s="133">
        <f>'Fleet Value'!U26</f>
        <v>14471.716730860799</v>
      </c>
      <c r="I26" s="133">
        <f>'Fleet Value'!V26</f>
        <v>78320.542306120769</v>
      </c>
      <c r="J26" s="133">
        <f>'Fleet Value'!W26</f>
        <v>78320.542306120769</v>
      </c>
      <c r="K26" s="134">
        <f>'Fleet Value'!X26</f>
        <v>111886.48900874397</v>
      </c>
      <c r="L26" s="118"/>
      <c r="M26" s="129">
        <f>'Fleet Value'!AE26</f>
        <v>29753.286222815997</v>
      </c>
      <c r="N26" s="129">
        <f>'Fleet Value'!AF26</f>
        <v>100250.29415183461</v>
      </c>
      <c r="O26" s="129">
        <f>'Fleet Value'!AG26</f>
        <v>137844.15445877257</v>
      </c>
      <c r="P26" s="128">
        <f>'Fleet Value'!AH26</f>
        <v>290904.87142273434</v>
      </c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2.5" customHeight="1">
      <c r="A27" s="147" t="s">
        <v>71</v>
      </c>
      <c r="B27" s="139"/>
      <c r="C27" s="148">
        <f>SUM((('Fleet Value'!$AE$42)+((LookupTables!$J$4+LookupTables!$K$4)*FT_FraudReductionConservative))-C25)</f>
        <v>1332505.1853715999</v>
      </c>
      <c r="D27" s="148">
        <f>SUM((('Fleet Value'!$AF$42)+((LookupTables!$J$4+LookupTables!$K$4)*FT_FraudReductionConservative))-D25)</f>
        <v>5454025.812546798</v>
      </c>
      <c r="E27" s="148">
        <f>SUM((('Fleet Value'!$AG$42)+((LookupTables!$J$4+LookupTables!$K$4)*FT_FraudReductionConservative))-E25)</f>
        <v>7651904.4922518488</v>
      </c>
      <c r="F27" s="148">
        <f>SUM((('Fleet Value'!$AH$42)+((LookupTables!$J$4+LookupTables!$K$4)*FT_FraudReductionConservative))-F25)</f>
        <v>16600410.545336694</v>
      </c>
      <c r="G27" s="118"/>
      <c r="H27" s="127">
        <f>'Fleet Value'!U27</f>
        <v>20290.190808528001</v>
      </c>
      <c r="I27" s="127">
        <f>'Fleet Value'!V27</f>
        <v>109809.96775798941</v>
      </c>
      <c r="J27" s="127">
        <f>'Fleet Value'!W27</f>
        <v>109809.96775798941</v>
      </c>
      <c r="K27" s="126">
        <f>'Fleet Value'!X27</f>
        <v>156871.38251141345</v>
      </c>
      <c r="L27" s="118"/>
      <c r="M27" s="133">
        <f>'Fleet Value'!AE27</f>
        <v>41715.842416559994</v>
      </c>
      <c r="N27" s="133">
        <f>'Fleet Value'!AF27</f>
        <v>140556.75873022643</v>
      </c>
      <c r="O27" s="133">
        <f>'Fleet Value'!AG27</f>
        <v>193265.54325406137</v>
      </c>
      <c r="P27" s="134">
        <f>'Fleet Value'!AH27</f>
        <v>407865.59452967497</v>
      </c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>
      <c r="A28" s="1"/>
      <c r="B28" s="1"/>
      <c r="C28" s="107"/>
      <c r="D28" s="107"/>
      <c r="E28" s="107"/>
      <c r="F28" s="107"/>
      <c r="G28" s="118"/>
      <c r="H28" s="133">
        <f>'Fleet Value'!U28</f>
        <v>7621.1938722239993</v>
      </c>
      <c r="I28" s="133">
        <f>'Fleet Value'!V28</f>
        <v>41245.696567553248</v>
      </c>
      <c r="J28" s="133">
        <f>'Fleet Value'!W28</f>
        <v>41245.696567553248</v>
      </c>
      <c r="K28" s="134">
        <f>'Fleet Value'!X28</f>
        <v>58922.423667933217</v>
      </c>
      <c r="L28" s="118"/>
      <c r="M28" s="129">
        <f>'Fleet Value'!AE28</f>
        <v>15668.877912479998</v>
      </c>
      <c r="N28" s="129">
        <f>'Fleet Value'!AF28</f>
        <v>52794.49160646816</v>
      </c>
      <c r="O28" s="129">
        <f>'Fleet Value'!AG28</f>
        <v>72592.425958893713</v>
      </c>
      <c r="P28" s="128">
        <f>'Fleet Value'!AH28</f>
        <v>153198.30153662636</v>
      </c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>
      <c r="A29" s="1"/>
      <c r="B29" s="1"/>
      <c r="C29" s="107"/>
      <c r="D29" s="107"/>
      <c r="E29" s="107"/>
      <c r="F29" s="107"/>
      <c r="G29" s="118"/>
      <c r="H29" s="127">
        <f>'Fleet Value'!U29</f>
        <v>9749.8850411519979</v>
      </c>
      <c r="I29" s="127">
        <f>'Fleet Value'!V29</f>
        <v>52766.116007298217</v>
      </c>
      <c r="J29" s="127">
        <f>'Fleet Value'!W29</f>
        <v>52766.116007298217</v>
      </c>
      <c r="K29" s="126">
        <f>'Fleet Value'!X29</f>
        <v>75380.16572471174</v>
      </c>
      <c r="L29" s="118"/>
      <c r="M29" s="133">
        <f>'Fleet Value'!AE29</f>
        <v>20045.384087039998</v>
      </c>
      <c r="N29" s="133">
        <f>'Fleet Value'!AF29</f>
        <v>67540.628489341718</v>
      </c>
      <c r="O29" s="133">
        <f>'Fleet Value'!AG29</f>
        <v>92868.364172844842</v>
      </c>
      <c r="P29" s="134">
        <f>'Fleet Value'!AH29</f>
        <v>195988.43088425053</v>
      </c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>
      <c r="A30" s="1"/>
      <c r="B30" s="1"/>
      <c r="C30" s="107"/>
      <c r="D30" s="107"/>
      <c r="E30" s="107"/>
      <c r="F30" s="107"/>
      <c r="G30" s="118"/>
      <c r="H30" s="133">
        <f>'Fleet Value'!U30</f>
        <v>14980.2303935808</v>
      </c>
      <c r="I30" s="133">
        <f>'Fleet Value'!V30</f>
        <v>81072.604592509466</v>
      </c>
      <c r="J30" s="133">
        <f>'Fleet Value'!W30</f>
        <v>81072.604592509466</v>
      </c>
      <c r="K30" s="134">
        <f>'Fleet Value'!X30</f>
        <v>115818.00656072782</v>
      </c>
      <c r="L30" s="118"/>
      <c r="M30" s="129">
        <f>'Fleet Value'!AE30</f>
        <v>30798.770517216002</v>
      </c>
      <c r="N30" s="129">
        <f>'Fleet Value'!AF30</f>
        <v>103772.93387841212</v>
      </c>
      <c r="O30" s="129">
        <f>'Fleet Value'!AG30</f>
        <v>142687.78408281665</v>
      </c>
      <c r="P30" s="128">
        <f>'Fleet Value'!AH30</f>
        <v>301126.81705789233</v>
      </c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>
      <c r="A31" s="1"/>
      <c r="B31" s="1"/>
      <c r="C31" s="107"/>
      <c r="D31" s="107"/>
      <c r="E31" s="107"/>
      <c r="F31" s="107"/>
      <c r="G31" s="118"/>
      <c r="H31" s="127">
        <f>'Fleet Value'!U31</f>
        <v>21052.961302608001</v>
      </c>
      <c r="I31" s="127">
        <f>'Fleet Value'!V31</f>
        <v>113938.06118757243</v>
      </c>
      <c r="J31" s="127">
        <f>'Fleet Value'!W31</f>
        <v>113938.06118757243</v>
      </c>
      <c r="K31" s="126">
        <f>'Fleet Value'!X31</f>
        <v>162768.65883938919</v>
      </c>
      <c r="L31" s="118"/>
      <c r="M31" s="133">
        <f>'Fleet Value'!AE31</f>
        <v>43284.068858159997</v>
      </c>
      <c r="N31" s="133">
        <f>'Fleet Value'!AF31</f>
        <v>145840.71832009271</v>
      </c>
      <c r="O31" s="133">
        <f>'Fleet Value'!AG31</f>
        <v>200530.98769012748</v>
      </c>
      <c r="P31" s="134">
        <f>'Fleet Value'!AH31</f>
        <v>423198.51298241195</v>
      </c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>
      <c r="A32" s="1"/>
      <c r="B32" s="1"/>
      <c r="C32" s="107"/>
      <c r="D32" s="107"/>
      <c r="E32" s="107"/>
      <c r="F32" s="107"/>
      <c r="G32" s="118"/>
      <c r="H32" s="133">
        <f>'Fleet Value'!U32</f>
        <v>31380.681870575998</v>
      </c>
      <c r="I32" s="133">
        <f>'Fleet Value'!V32</f>
        <v>169831.40754809222</v>
      </c>
      <c r="J32" s="133">
        <f>'Fleet Value'!W32</f>
        <v>169831.40754809222</v>
      </c>
      <c r="K32" s="134">
        <f>'Fleet Value'!X32</f>
        <v>242616.2964972746</v>
      </c>
      <c r="L32" s="118"/>
      <c r="M32" s="129">
        <f>'Fleet Value'!AE32</f>
        <v>64517.460293519987</v>
      </c>
      <c r="N32" s="129">
        <f>'Fleet Value'!AF32</f>
        <v>217384.20166155804</v>
      </c>
      <c r="O32" s="129">
        <f>'Fleet Value'!AG32</f>
        <v>298903.27728464227</v>
      </c>
      <c r="P32" s="128">
        <f>'Fleet Value'!AH32</f>
        <v>630802.37089291401</v>
      </c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>
      <c r="A33" s="1"/>
      <c r="B33" s="1"/>
      <c r="C33" s="107"/>
      <c r="D33" s="107"/>
      <c r="E33" s="107"/>
      <c r="F33" s="107"/>
      <c r="G33" s="118"/>
      <c r="H33" s="127">
        <f>'Fleet Value'!U33</f>
        <v>18198.900613296002</v>
      </c>
      <c r="I33" s="127">
        <f>'Fleet Value'!V33</f>
        <v>98491.961383475398</v>
      </c>
      <c r="J33" s="127">
        <f>'Fleet Value'!W33</f>
        <v>98491.961383475398</v>
      </c>
      <c r="K33" s="126">
        <f>'Fleet Value'!X33</f>
        <v>140702.80197639344</v>
      </c>
      <c r="L33" s="118"/>
      <c r="M33" s="133">
        <f>'Fleet Value'!AE33</f>
        <v>37416.231187919999</v>
      </c>
      <c r="N33" s="133">
        <f>'Fleet Value'!AF33</f>
        <v>126069.71057084852</v>
      </c>
      <c r="O33" s="133">
        <f>'Fleet Value'!AG33</f>
        <v>173345.85203491672</v>
      </c>
      <c r="P33" s="134">
        <f>'Fleet Value'!AH33</f>
        <v>365827.28513862297</v>
      </c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>
      <c r="A34" s="1"/>
      <c r="B34" s="1"/>
      <c r="C34" s="107"/>
      <c r="D34" s="107"/>
      <c r="E34" s="107"/>
      <c r="F34" s="107"/>
      <c r="G34" s="118"/>
      <c r="H34" s="133">
        <f>'Fleet Value'!U34</f>
        <v>23127.545570975999</v>
      </c>
      <c r="I34" s="133">
        <f>'Fleet Value'!V34</f>
        <v>125165.65553453997</v>
      </c>
      <c r="J34" s="133">
        <f>'Fleet Value'!W34</f>
        <v>125165.65553453997</v>
      </c>
      <c r="K34" s="134">
        <f>'Fleet Value'!X34</f>
        <v>178808.07933505712</v>
      </c>
      <c r="L34" s="118"/>
      <c r="M34" s="129">
        <f>'Fleet Value'!AE34</f>
        <v>47549.333351520007</v>
      </c>
      <c r="N34" s="129">
        <f>'Fleet Value'!AF34</f>
        <v>160212.03908421117</v>
      </c>
      <c r="O34" s="129">
        <f>'Fleet Value'!AG34</f>
        <v>220291.55374079035</v>
      </c>
      <c r="P34" s="128">
        <f>'Fleet Value'!AH34</f>
        <v>464901.00627114857</v>
      </c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>
      <c r="A35" s="1"/>
      <c r="B35" s="1"/>
      <c r="C35" s="107"/>
      <c r="D35" s="107"/>
      <c r="E35" s="107"/>
      <c r="F35" s="107"/>
      <c r="G35" s="118"/>
      <c r="H35" s="127">
        <f>'Fleet Value'!U35</f>
        <v>16643.108137823998</v>
      </c>
      <c r="I35" s="127">
        <f>'Fleet Value'!V35</f>
        <v>90072.054287387495</v>
      </c>
      <c r="J35" s="127">
        <f>'Fleet Value'!W35</f>
        <v>90072.054287387495</v>
      </c>
      <c r="K35" s="126">
        <f>'Fleet Value'!X35</f>
        <v>128674.36326769642</v>
      </c>
      <c r="L35" s="118"/>
      <c r="M35" s="133">
        <f>'Fleet Value'!AE35</f>
        <v>34217.582424480002</v>
      </c>
      <c r="N35" s="133">
        <f>'Fleet Value'!AF35</f>
        <v>115292.22948785598</v>
      </c>
      <c r="O35" s="133">
        <f>'Fleet Value'!AG35</f>
        <v>158526.81554580198</v>
      </c>
      <c r="P35" s="134">
        <f>'Fleet Value'!AH35</f>
        <v>334553.34449601069</v>
      </c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>
      <c r="A36" s="1"/>
      <c r="B36" s="1"/>
      <c r="C36" s="107"/>
      <c r="D36" s="107"/>
      <c r="E36" s="107"/>
      <c r="F36" s="107"/>
      <c r="G36" s="118"/>
      <c r="H36" s="133">
        <f>'Fleet Value'!U36</f>
        <v>29112.343745471993</v>
      </c>
      <c r="I36" s="133">
        <f>'Fleet Value'!V36</f>
        <v>157555.22253177402</v>
      </c>
      <c r="J36" s="133">
        <f>'Fleet Value'!W36</f>
        <v>157555.22253177402</v>
      </c>
      <c r="K36" s="134">
        <f>'Fleet Value'!X36</f>
        <v>225078.88933110575</v>
      </c>
      <c r="L36" s="118"/>
      <c r="M36" s="129">
        <f>'Fleet Value'!AE36</f>
        <v>59853.845413440002</v>
      </c>
      <c r="N36" s="129">
        <f>'Fleet Value'!AF36</f>
        <v>201670.68484067076</v>
      </c>
      <c r="O36" s="129">
        <f>'Fleet Value'!AG36</f>
        <v>277297.19165592222</v>
      </c>
      <c r="P36" s="128">
        <f>'Fleet Value'!AH36</f>
        <v>585205.11226087494</v>
      </c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>
      <c r="A37" s="1"/>
      <c r="B37" s="1"/>
      <c r="C37" s="107"/>
      <c r="D37" s="107"/>
      <c r="E37" s="107"/>
      <c r="F37" s="107"/>
      <c r="G37" s="118"/>
      <c r="H37" s="127">
        <f>'Fleet Value'!U37</f>
        <v>26716.405330655994</v>
      </c>
      <c r="I37" s="127">
        <f>'Fleet Value'!V37</f>
        <v>144588.46817426974</v>
      </c>
      <c r="J37" s="127">
        <f>'Fleet Value'!W37</f>
        <v>144588.46817426974</v>
      </c>
      <c r="K37" s="126">
        <f>'Fleet Value'!X37</f>
        <v>206554.95453467109</v>
      </c>
      <c r="L37" s="118"/>
      <c r="M37" s="133">
        <f>'Fleet Value'!AE37</f>
        <v>54927.889305119985</v>
      </c>
      <c r="N37" s="133">
        <f>'Fleet Value'!AF37</f>
        <v>185073.2392630653</v>
      </c>
      <c r="O37" s="133">
        <f>'Fleet Value'!AG37</f>
        <v>254475.70398671477</v>
      </c>
      <c r="P37" s="134">
        <f>'Fleet Value'!AH37</f>
        <v>537042.88179014483</v>
      </c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>
      <c r="A38" s="1"/>
      <c r="B38" s="1"/>
      <c r="C38" s="107"/>
      <c r="D38" s="107"/>
      <c r="E38" s="107"/>
      <c r="F38" s="107"/>
      <c r="G38" s="118"/>
      <c r="H38" s="133">
        <f>'Fleet Value'!U38</f>
        <v>33781.377885926391</v>
      </c>
      <c r="I38" s="133">
        <f>'Fleet Value'!V38</f>
        <v>182823.90991192215</v>
      </c>
      <c r="J38" s="133">
        <f>'Fleet Value'!W38</f>
        <v>182823.90991192215</v>
      </c>
      <c r="K38" s="134">
        <f>'Fleet Value'!X38</f>
        <v>261177.01415988881</v>
      </c>
      <c r="L38" s="118"/>
      <c r="M38" s="129">
        <f>'Fleet Value'!AE38</f>
        <v>69453.197843327987</v>
      </c>
      <c r="N38" s="129">
        <f>'Fleet Value'!AF38</f>
        <v>234014.60468726035</v>
      </c>
      <c r="O38" s="129">
        <f>'Fleet Value'!AG38</f>
        <v>321770.08144498296</v>
      </c>
      <c r="P38" s="128">
        <f>'Fleet Value'!AH38</f>
        <v>679060.2368157109</v>
      </c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>
      <c r="A39" s="1"/>
      <c r="B39" s="1"/>
      <c r="C39" s="107"/>
      <c r="D39" s="107"/>
      <c r="E39" s="107"/>
      <c r="F39" s="107"/>
      <c r="G39" s="118"/>
      <c r="H39" s="127">
        <f>'Fleet Value'!U39</f>
        <v>51512.532373670387</v>
      </c>
      <c r="I39" s="127">
        <f>'Fleet Value'!V39</f>
        <v>278784.44182534044</v>
      </c>
      <c r="J39" s="127">
        <f>'Fleet Value'!W39</f>
        <v>278784.44182534044</v>
      </c>
      <c r="K39" s="126">
        <f>'Fleet Value'!X39</f>
        <v>398263.48832191498</v>
      </c>
      <c r="L39" s="118"/>
      <c r="M39" s="133">
        <f>'Fleet Value'!AE39</f>
        <v>105907.76120620799</v>
      </c>
      <c r="N39" s="133">
        <f>'Fleet Value'!AF39</f>
        <v>356844.08553643577</v>
      </c>
      <c r="O39" s="133">
        <f>'Fleet Value'!AG39</f>
        <v>490660.61761259916</v>
      </c>
      <c r="P39" s="134">
        <f>'Fleet Value'!AH39</f>
        <v>1035485.0696369789</v>
      </c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>
      <c r="A40" s="1"/>
      <c r="B40" s="1"/>
      <c r="C40" s="107"/>
      <c r="D40" s="107"/>
      <c r="E40" s="107"/>
      <c r="F40" s="107"/>
      <c r="G40" s="118"/>
      <c r="H40" s="149">
        <f>'Fleet Value'!U40</f>
        <v>48603.880220716797</v>
      </c>
      <c r="I40" s="149">
        <f>'Fleet Value'!V40</f>
        <v>263042.89448608144</v>
      </c>
      <c r="J40" s="149">
        <f>'Fleet Value'!W40</f>
        <v>263042.89448608144</v>
      </c>
      <c r="K40" s="150">
        <f>'Fleet Value'!X40</f>
        <v>375775.56355154497</v>
      </c>
      <c r="L40" s="118"/>
      <c r="M40" s="129">
        <f>'Fleet Value'!AE40</f>
        <v>99927.685611935987</v>
      </c>
      <c r="N40" s="129">
        <f>'Fleet Value'!AF40</f>
        <v>336694.90494218428</v>
      </c>
      <c r="O40" s="129">
        <f>'Fleet Value'!AG40</f>
        <v>462955.4942955033</v>
      </c>
      <c r="P40" s="128">
        <f>'Fleet Value'!AH40</f>
        <v>977016.465234017</v>
      </c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>
      <c r="A41" s="1"/>
      <c r="B41" s="1"/>
      <c r="C41" s="107"/>
      <c r="D41" s="107"/>
      <c r="E41" s="107"/>
      <c r="F41" s="107"/>
      <c r="G41" s="118"/>
      <c r="H41" s="151">
        <f>'Fleet Value'!U41</f>
        <v>2025</v>
      </c>
      <c r="I41" s="152">
        <f>'Fleet Value'!V41</f>
        <v>2026</v>
      </c>
      <c r="J41" s="151">
        <f>'Fleet Value'!W41</f>
        <v>2027</v>
      </c>
      <c r="K41" s="152">
        <f>'Fleet Value'!X41</f>
        <v>2028</v>
      </c>
      <c r="L41" s="118"/>
      <c r="M41" s="151">
        <f>'Fleet Value'!AE41</f>
        <v>2025</v>
      </c>
      <c r="N41" s="152">
        <f>'Fleet Value'!AF41</f>
        <v>2026</v>
      </c>
      <c r="O41" s="151">
        <f>'Fleet Value'!AG41</f>
        <v>2027</v>
      </c>
      <c r="P41" s="152">
        <f>'Fleet Value'!AH41</f>
        <v>2028</v>
      </c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5">
      <c r="A42" s="1"/>
      <c r="B42" s="1"/>
      <c r="C42" s="107"/>
      <c r="D42" s="107"/>
      <c r="E42" s="107"/>
      <c r="F42" s="107"/>
      <c r="G42" s="1"/>
      <c r="H42" s="153">
        <f>'Fleet Value'!U42</f>
        <v>846071.07122807996</v>
      </c>
      <c r="I42" s="153">
        <f>'Fleet Value'!V42</f>
        <v>4578913.9160521869</v>
      </c>
      <c r="J42" s="153">
        <f>'Fleet Value'!W42</f>
        <v>4578913.9160521869</v>
      </c>
      <c r="K42" s="153">
        <f>'Fleet Value'!X42</f>
        <v>6541305.5943602659</v>
      </c>
      <c r="L42" s="1"/>
      <c r="M42" s="153">
        <f>'Fleet Value'!AE42</f>
        <v>1739489.1853715999</v>
      </c>
      <c r="N42" s="153">
        <f>'Fleet Value'!AF42</f>
        <v>5861009.812546798</v>
      </c>
      <c r="O42" s="153">
        <f>'Fleet Value'!AG42</f>
        <v>8058888.4922518488</v>
      </c>
      <c r="P42" s="153">
        <f>'Fleet Value'!AH42</f>
        <v>17007394.545336694</v>
      </c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>
      <c r="A43" s="1"/>
      <c r="B43" s="1"/>
      <c r="C43" s="107"/>
      <c r="D43" s="107"/>
      <c r="E43" s="107"/>
      <c r="F43" s="107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>
      <c r="A44" s="1"/>
      <c r="B44" s="1"/>
      <c r="C44" s="107"/>
      <c r="D44" s="107"/>
      <c r="E44" s="107"/>
      <c r="F44" s="107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>
      <c r="A45" s="1"/>
      <c r="B45" s="1"/>
      <c r="C45" s="107"/>
      <c r="D45" s="107"/>
      <c r="E45" s="107"/>
      <c r="F45" s="107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>
      <c r="A46" s="1"/>
      <c r="B46" s="1"/>
      <c r="C46" s="107"/>
      <c r="D46" s="107"/>
      <c r="E46" s="107"/>
      <c r="F46" s="107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>
      <c r="A47" s="1"/>
      <c r="B47" s="1"/>
      <c r="C47" s="107"/>
      <c r="D47" s="107"/>
      <c r="E47" s="107"/>
      <c r="F47" s="107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>
      <c r="A48" s="1"/>
      <c r="B48" s="1"/>
      <c r="C48" s="107"/>
      <c r="D48" s="107"/>
      <c r="E48" s="107"/>
      <c r="F48" s="107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>
      <c r="A49" s="1"/>
      <c r="B49" s="1"/>
      <c r="C49" s="107"/>
      <c r="D49" s="107"/>
      <c r="E49" s="107"/>
      <c r="F49" s="107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>
      <c r="A50" s="1"/>
      <c r="B50" s="1"/>
      <c r="C50" s="107"/>
      <c r="D50" s="107"/>
      <c r="E50" s="107"/>
      <c r="F50" s="107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>
      <c r="A51" s="1"/>
      <c r="B51" s="1"/>
      <c r="C51" s="107"/>
      <c r="D51" s="107"/>
      <c r="E51" s="107"/>
      <c r="F51" s="107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>
      <c r="A52" s="1"/>
      <c r="B52" s="1"/>
      <c r="C52" s="107"/>
      <c r="D52" s="107"/>
      <c r="E52" s="107"/>
      <c r="F52" s="107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>
      <c r="A53" s="1"/>
      <c r="B53" s="1"/>
      <c r="C53" s="107"/>
      <c r="D53" s="107"/>
      <c r="E53" s="107"/>
      <c r="F53" s="107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>
      <c r="A54" s="1"/>
      <c r="B54" s="1"/>
      <c r="C54" s="107"/>
      <c r="D54" s="107"/>
      <c r="E54" s="107"/>
      <c r="F54" s="107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>
      <c r="A55" s="1"/>
      <c r="B55" s="1"/>
      <c r="C55" s="107"/>
      <c r="D55" s="107"/>
      <c r="E55" s="107"/>
      <c r="F55" s="107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>
      <c r="A56" s="1"/>
      <c r="B56" s="1"/>
      <c r="C56" s="107"/>
      <c r="D56" s="107"/>
      <c r="E56" s="107"/>
      <c r="F56" s="107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>
      <c r="A57" s="1"/>
      <c r="B57" s="1"/>
      <c r="C57" s="107"/>
      <c r="D57" s="107"/>
      <c r="E57" s="107"/>
      <c r="F57" s="107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>
      <c r="A58" s="1"/>
      <c r="B58" s="1"/>
      <c r="C58" s="107"/>
      <c r="D58" s="107"/>
      <c r="E58" s="107"/>
      <c r="F58" s="107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>
      <c r="A59" s="1"/>
      <c r="B59" s="1"/>
      <c r="C59" s="107"/>
      <c r="D59" s="107"/>
      <c r="E59" s="107"/>
      <c r="F59" s="107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>
      <c r="A60" s="1"/>
      <c r="B60" s="1"/>
      <c r="C60" s="107"/>
      <c r="D60" s="107"/>
      <c r="E60" s="107"/>
      <c r="F60" s="107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>
      <c r="A61" s="1"/>
      <c r="B61" s="1"/>
      <c r="C61" s="107"/>
      <c r="D61" s="107"/>
      <c r="E61" s="107"/>
      <c r="F61" s="107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>
      <c r="A62" s="1"/>
      <c r="B62" s="1"/>
      <c r="C62" s="107"/>
      <c r="D62" s="107"/>
      <c r="E62" s="107"/>
      <c r="F62" s="107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>
      <c r="A63" s="1"/>
      <c r="B63" s="1"/>
      <c r="C63" s="107"/>
      <c r="D63" s="107"/>
      <c r="E63" s="107"/>
      <c r="F63" s="107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>
      <c r="A64" s="1"/>
      <c r="B64" s="1"/>
      <c r="C64" s="107"/>
      <c r="D64" s="107"/>
      <c r="E64" s="107"/>
      <c r="F64" s="107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>
      <c r="A65" s="1"/>
      <c r="B65" s="1"/>
      <c r="C65" s="107"/>
      <c r="D65" s="107"/>
      <c r="E65" s="107"/>
      <c r="F65" s="107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>
      <c r="A66" s="1"/>
      <c r="B66" s="1"/>
      <c r="C66" s="107"/>
      <c r="D66" s="107"/>
      <c r="E66" s="107"/>
      <c r="F66" s="107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>
      <c r="A67" s="1"/>
      <c r="B67" s="1"/>
      <c r="C67" s="107"/>
      <c r="D67" s="107"/>
      <c r="E67" s="107"/>
      <c r="F67" s="107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>
      <c r="A68" s="1"/>
      <c r="B68" s="1"/>
      <c r="C68" s="107"/>
      <c r="D68" s="107"/>
      <c r="E68" s="107"/>
      <c r="F68" s="107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>
      <c r="A69" s="1"/>
      <c r="B69" s="1"/>
      <c r="C69" s="107"/>
      <c r="D69" s="107"/>
      <c r="E69" s="107"/>
      <c r="F69" s="107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>
      <c r="A70" s="1"/>
      <c r="B70" s="1"/>
      <c r="C70" s="107"/>
      <c r="D70" s="107"/>
      <c r="E70" s="107"/>
      <c r="F70" s="107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>
      <c r="A71" s="1"/>
      <c r="B71" s="1"/>
      <c r="C71" s="107"/>
      <c r="D71" s="107"/>
      <c r="E71" s="107"/>
      <c r="F71" s="107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>
      <c r="A72" s="1"/>
      <c r="B72" s="1"/>
      <c r="C72" s="107"/>
      <c r="D72" s="107"/>
      <c r="E72" s="107"/>
      <c r="F72" s="107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>
      <c r="A73" s="1"/>
      <c r="B73" s="1"/>
      <c r="C73" s="107"/>
      <c r="D73" s="107"/>
      <c r="E73" s="107"/>
      <c r="F73" s="107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>
      <c r="A74" s="1"/>
      <c r="B74" s="1"/>
      <c r="C74" s="107"/>
      <c r="D74" s="107"/>
      <c r="E74" s="107"/>
      <c r="F74" s="107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>
      <c r="A75" s="1"/>
      <c r="B75" s="1"/>
      <c r="C75" s="107"/>
      <c r="D75" s="107"/>
      <c r="E75" s="107"/>
      <c r="F75" s="107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>
      <c r="A76" s="1"/>
      <c r="B76" s="1"/>
      <c r="C76" s="107"/>
      <c r="D76" s="107"/>
      <c r="E76" s="107"/>
      <c r="F76" s="107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>
      <c r="A77" s="1"/>
      <c r="B77" s="1"/>
      <c r="C77" s="107"/>
      <c r="D77" s="107"/>
      <c r="E77" s="107"/>
      <c r="F77" s="107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>
      <c r="A78" s="1"/>
      <c r="B78" s="1"/>
      <c r="C78" s="107"/>
      <c r="D78" s="107"/>
      <c r="E78" s="107"/>
      <c r="F78" s="107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>
      <c r="A79" s="1"/>
      <c r="B79" s="1"/>
      <c r="C79" s="107"/>
      <c r="D79" s="107"/>
      <c r="E79" s="107"/>
      <c r="F79" s="107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>
      <c r="A80" s="1"/>
      <c r="B80" s="1"/>
      <c r="C80" s="107"/>
      <c r="D80" s="107"/>
      <c r="E80" s="107"/>
      <c r="F80" s="107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>
      <c r="A81" s="1"/>
      <c r="B81" s="1"/>
      <c r="C81" s="107"/>
      <c r="D81" s="107"/>
      <c r="E81" s="107"/>
      <c r="F81" s="107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>
      <c r="A82" s="1"/>
      <c r="B82" s="1"/>
      <c r="C82" s="107"/>
      <c r="D82" s="107"/>
      <c r="E82" s="107"/>
      <c r="F82" s="107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>
      <c r="A83" s="1"/>
      <c r="B83" s="1"/>
      <c r="C83" s="107"/>
      <c r="D83" s="107"/>
      <c r="E83" s="107"/>
      <c r="F83" s="107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>
      <c r="A84" s="1"/>
      <c r="B84" s="1"/>
      <c r="C84" s="107"/>
      <c r="D84" s="107"/>
      <c r="E84" s="107"/>
      <c r="F84" s="107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>
      <c r="A85" s="1"/>
      <c r="B85" s="1"/>
      <c r="C85" s="107"/>
      <c r="D85" s="107"/>
      <c r="E85" s="107"/>
      <c r="F85" s="107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>
      <c r="A86" s="1"/>
      <c r="B86" s="1"/>
      <c r="C86" s="107"/>
      <c r="D86" s="107"/>
      <c r="E86" s="107"/>
      <c r="F86" s="107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>
      <c r="A87" s="1"/>
      <c r="B87" s="1"/>
      <c r="C87" s="107"/>
      <c r="D87" s="107"/>
      <c r="E87" s="107"/>
      <c r="F87" s="107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>
      <c r="A88" s="1"/>
      <c r="B88" s="1"/>
      <c r="C88" s="107"/>
      <c r="D88" s="107"/>
      <c r="E88" s="107"/>
      <c r="F88" s="107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>
      <c r="A89" s="1"/>
      <c r="B89" s="1"/>
      <c r="C89" s="107"/>
      <c r="D89" s="107"/>
      <c r="E89" s="107"/>
      <c r="F89" s="107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>
      <c r="A90" s="1"/>
      <c r="B90" s="1"/>
      <c r="C90" s="107"/>
      <c r="D90" s="107"/>
      <c r="E90" s="107"/>
      <c r="F90" s="107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>
      <c r="A91" s="1"/>
      <c r="B91" s="1"/>
      <c r="C91" s="107"/>
      <c r="D91" s="107"/>
      <c r="E91" s="107"/>
      <c r="F91" s="107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>
      <c r="A92" s="1"/>
      <c r="B92" s="1"/>
      <c r="C92" s="107"/>
      <c r="D92" s="107"/>
      <c r="E92" s="107"/>
      <c r="F92" s="107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>
      <c r="A93" s="1"/>
      <c r="B93" s="1"/>
      <c r="C93" s="107"/>
      <c r="D93" s="107"/>
      <c r="E93" s="107"/>
      <c r="F93" s="107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>
      <c r="A94" s="1"/>
      <c r="B94" s="1"/>
      <c r="C94" s="107"/>
      <c r="D94" s="107"/>
      <c r="E94" s="107"/>
      <c r="F94" s="107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>
      <c r="A95" s="1"/>
      <c r="B95" s="1"/>
      <c r="C95" s="107"/>
      <c r="D95" s="107"/>
      <c r="E95" s="107"/>
      <c r="F95" s="107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>
      <c r="A96" s="1"/>
      <c r="B96" s="1"/>
      <c r="C96" s="107"/>
      <c r="D96" s="107"/>
      <c r="E96" s="107"/>
      <c r="F96" s="107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>
      <c r="A97" s="1"/>
      <c r="B97" s="1"/>
      <c r="C97" s="107"/>
      <c r="D97" s="107"/>
      <c r="E97" s="107"/>
      <c r="F97" s="107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>
      <c r="A98" s="1"/>
      <c r="B98" s="1"/>
      <c r="C98" s="107"/>
      <c r="D98" s="107"/>
      <c r="E98" s="107"/>
      <c r="F98" s="107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>
      <c r="A99" s="1"/>
      <c r="B99" s="1"/>
      <c r="C99" s="107"/>
      <c r="D99" s="107"/>
      <c r="E99" s="107"/>
      <c r="F99" s="107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>
      <c r="A100" s="1"/>
      <c r="B100" s="1"/>
      <c r="C100" s="107"/>
      <c r="D100" s="107"/>
      <c r="E100" s="107"/>
      <c r="F100" s="107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>
      <c r="A101" s="1"/>
      <c r="B101" s="1"/>
      <c r="C101" s="107"/>
      <c r="D101" s="107"/>
      <c r="E101" s="107"/>
      <c r="F101" s="107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>
      <c r="A102" s="1"/>
      <c r="B102" s="1"/>
      <c r="C102" s="107"/>
      <c r="D102" s="107"/>
      <c r="E102" s="107"/>
      <c r="F102" s="107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>
      <c r="A103" s="1"/>
      <c r="B103" s="1"/>
      <c r="C103" s="107"/>
      <c r="D103" s="107"/>
      <c r="E103" s="107"/>
      <c r="F103" s="107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>
      <c r="A104" s="1"/>
      <c r="B104" s="1"/>
      <c r="C104" s="107"/>
      <c r="D104" s="107"/>
      <c r="E104" s="107"/>
      <c r="F104" s="107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>
      <c r="A105" s="1"/>
      <c r="B105" s="1"/>
      <c r="C105" s="107"/>
      <c r="D105" s="107"/>
      <c r="E105" s="107"/>
      <c r="F105" s="107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>
      <c r="A106" s="1"/>
      <c r="B106" s="1"/>
      <c r="C106" s="107"/>
      <c r="D106" s="107"/>
      <c r="E106" s="107"/>
      <c r="F106" s="107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>
      <c r="A107" s="1"/>
      <c r="B107" s="1"/>
      <c r="C107" s="107"/>
      <c r="D107" s="107"/>
      <c r="E107" s="107"/>
      <c r="F107" s="107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>
      <c r="A108" s="1"/>
      <c r="B108" s="1"/>
      <c r="C108" s="107"/>
      <c r="D108" s="107"/>
      <c r="E108" s="107"/>
      <c r="F108" s="107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>
      <c r="A109" s="1"/>
      <c r="B109" s="1"/>
      <c r="C109" s="107"/>
      <c r="D109" s="107"/>
      <c r="E109" s="107"/>
      <c r="F109" s="107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>
      <c r="A110" s="1"/>
      <c r="B110" s="1"/>
      <c r="C110" s="107"/>
      <c r="D110" s="107"/>
      <c r="E110" s="107"/>
      <c r="F110" s="107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>
      <c r="A111" s="1"/>
      <c r="B111" s="1"/>
      <c r="C111" s="107"/>
      <c r="D111" s="107"/>
      <c r="E111" s="107"/>
      <c r="F111" s="107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>
      <c r="A112" s="1"/>
      <c r="B112" s="1"/>
      <c r="C112" s="107"/>
      <c r="D112" s="107"/>
      <c r="E112" s="107"/>
      <c r="F112" s="107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>
      <c r="A113" s="1"/>
      <c r="B113" s="1"/>
      <c r="C113" s="107"/>
      <c r="D113" s="107"/>
      <c r="E113" s="107"/>
      <c r="F113" s="107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>
      <c r="A114" s="1"/>
      <c r="B114" s="1"/>
      <c r="C114" s="107"/>
      <c r="D114" s="107"/>
      <c r="E114" s="107"/>
      <c r="F114" s="107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>
      <c r="A115" s="1"/>
      <c r="B115" s="1"/>
      <c r="C115" s="107"/>
      <c r="D115" s="107"/>
      <c r="E115" s="107"/>
      <c r="F115" s="107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>
      <c r="A116" s="1"/>
      <c r="B116" s="1"/>
      <c r="C116" s="107"/>
      <c r="D116" s="107"/>
      <c r="E116" s="107"/>
      <c r="F116" s="107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>
      <c r="A117" s="1"/>
      <c r="B117" s="1"/>
      <c r="C117" s="107"/>
      <c r="D117" s="107"/>
      <c r="E117" s="107"/>
      <c r="F117" s="107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>
      <c r="A118" s="1"/>
      <c r="B118" s="1"/>
      <c r="C118" s="107"/>
      <c r="D118" s="107"/>
      <c r="E118" s="107"/>
      <c r="F118" s="107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>
      <c r="A119" s="1"/>
      <c r="B119" s="1"/>
      <c r="C119" s="107"/>
      <c r="D119" s="107"/>
      <c r="E119" s="107"/>
      <c r="F119" s="107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>
      <c r="A120" s="1"/>
      <c r="B120" s="1"/>
      <c r="C120" s="107"/>
      <c r="D120" s="107"/>
      <c r="E120" s="107"/>
      <c r="F120" s="107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>
      <c r="A121" s="1"/>
      <c r="B121" s="1"/>
      <c r="C121" s="107"/>
      <c r="D121" s="107"/>
      <c r="E121" s="107"/>
      <c r="F121" s="107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>
      <c r="A122" s="1"/>
      <c r="B122" s="1"/>
      <c r="C122" s="107"/>
      <c r="D122" s="107"/>
      <c r="E122" s="107"/>
      <c r="F122" s="107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>
      <c r="A123" s="1"/>
      <c r="B123" s="1"/>
      <c r="C123" s="107"/>
      <c r="D123" s="107"/>
      <c r="E123" s="107"/>
      <c r="F123" s="107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>
      <c r="A124" s="1"/>
      <c r="B124" s="1"/>
      <c r="C124" s="107"/>
      <c r="D124" s="107"/>
      <c r="E124" s="107"/>
      <c r="F124" s="107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>
      <c r="A125" s="1"/>
      <c r="B125" s="1"/>
      <c r="C125" s="107"/>
      <c r="D125" s="107"/>
      <c r="E125" s="107"/>
      <c r="F125" s="107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>
      <c r="A126" s="1"/>
      <c r="B126" s="1"/>
      <c r="C126" s="107"/>
      <c r="D126" s="107"/>
      <c r="E126" s="107"/>
      <c r="F126" s="107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>
      <c r="A127" s="1"/>
      <c r="B127" s="1"/>
      <c r="C127" s="107"/>
      <c r="D127" s="107"/>
      <c r="E127" s="107"/>
      <c r="F127" s="107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>
      <c r="A128" s="1"/>
      <c r="B128" s="1"/>
      <c r="C128" s="107"/>
      <c r="D128" s="107"/>
      <c r="E128" s="107"/>
      <c r="F128" s="107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>
      <c r="A129" s="1"/>
      <c r="B129" s="1"/>
      <c r="C129" s="107"/>
      <c r="D129" s="107"/>
      <c r="E129" s="107"/>
      <c r="F129" s="107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>
      <c r="A130" s="1"/>
      <c r="B130" s="1"/>
      <c r="C130" s="107"/>
      <c r="D130" s="107"/>
      <c r="E130" s="107"/>
      <c r="F130" s="107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>
      <c r="A131" s="1"/>
      <c r="B131" s="1"/>
      <c r="C131" s="107"/>
      <c r="D131" s="107"/>
      <c r="E131" s="107"/>
      <c r="F131" s="107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>
      <c r="A132" s="1"/>
      <c r="B132" s="1"/>
      <c r="C132" s="107"/>
      <c r="D132" s="107"/>
      <c r="E132" s="107"/>
      <c r="F132" s="107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>
      <c r="A133" s="1"/>
      <c r="B133" s="1"/>
      <c r="C133" s="107"/>
      <c r="D133" s="107"/>
      <c r="E133" s="107"/>
      <c r="F133" s="107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>
      <c r="A134" s="1"/>
      <c r="B134" s="1"/>
      <c r="C134" s="107"/>
      <c r="D134" s="107"/>
      <c r="E134" s="107"/>
      <c r="F134" s="107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>
      <c r="A135" s="1"/>
      <c r="B135" s="1"/>
      <c r="C135" s="107"/>
      <c r="D135" s="107"/>
      <c r="E135" s="107"/>
      <c r="F135" s="107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>
      <c r="A136" s="1"/>
      <c r="B136" s="1"/>
      <c r="C136" s="107"/>
      <c r="D136" s="107"/>
      <c r="E136" s="107"/>
      <c r="F136" s="107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>
      <c r="A137" s="1"/>
      <c r="B137" s="1"/>
      <c r="C137" s="107"/>
      <c r="D137" s="107"/>
      <c r="E137" s="107"/>
      <c r="F137" s="107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>
      <c r="A138" s="1"/>
      <c r="B138" s="1"/>
      <c r="C138" s="107"/>
      <c r="D138" s="107"/>
      <c r="E138" s="107"/>
      <c r="F138" s="107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>
      <c r="A139" s="1"/>
      <c r="B139" s="1"/>
      <c r="C139" s="107"/>
      <c r="D139" s="107"/>
      <c r="E139" s="107"/>
      <c r="F139" s="107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>
      <c r="A140" s="1"/>
      <c r="B140" s="1"/>
      <c r="C140" s="107"/>
      <c r="D140" s="107"/>
      <c r="E140" s="107"/>
      <c r="F140" s="107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>
      <c r="A141" s="1"/>
      <c r="B141" s="1"/>
      <c r="C141" s="107"/>
      <c r="D141" s="107"/>
      <c r="E141" s="107"/>
      <c r="F141" s="107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>
      <c r="A142" s="1"/>
      <c r="B142" s="1"/>
      <c r="C142" s="107"/>
      <c r="D142" s="107"/>
      <c r="E142" s="107"/>
      <c r="F142" s="107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>
      <c r="A143" s="1"/>
      <c r="B143" s="1"/>
      <c r="C143" s="107"/>
      <c r="D143" s="107"/>
      <c r="E143" s="107"/>
      <c r="F143" s="107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>
      <c r="A144" s="1"/>
      <c r="B144" s="1"/>
      <c r="C144" s="107"/>
      <c r="D144" s="107"/>
      <c r="E144" s="107"/>
      <c r="F144" s="107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>
      <c r="A145" s="1"/>
      <c r="B145" s="1"/>
      <c r="C145" s="107"/>
      <c r="D145" s="107"/>
      <c r="E145" s="107"/>
      <c r="F145" s="107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>
      <c r="A146" s="1"/>
      <c r="B146" s="1"/>
      <c r="C146" s="107"/>
      <c r="D146" s="107"/>
      <c r="E146" s="107"/>
      <c r="F146" s="107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>
      <c r="A147" s="1"/>
      <c r="B147" s="1"/>
      <c r="C147" s="107"/>
      <c r="D147" s="107"/>
      <c r="E147" s="107"/>
      <c r="F147" s="107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>
      <c r="A148" s="1"/>
      <c r="B148" s="1"/>
      <c r="C148" s="107"/>
      <c r="D148" s="107"/>
      <c r="E148" s="107"/>
      <c r="F148" s="107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>
      <c r="A149" s="1"/>
      <c r="B149" s="1"/>
      <c r="C149" s="107"/>
      <c r="D149" s="107"/>
      <c r="E149" s="107"/>
      <c r="F149" s="107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>
      <c r="A150" s="1"/>
      <c r="B150" s="1"/>
      <c r="C150" s="107"/>
      <c r="D150" s="107"/>
      <c r="E150" s="107"/>
      <c r="F150" s="107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>
      <c r="A151" s="1"/>
      <c r="B151" s="1"/>
      <c r="C151" s="107"/>
      <c r="D151" s="107"/>
      <c r="E151" s="107"/>
      <c r="F151" s="107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>
      <c r="A152" s="1"/>
      <c r="B152" s="1"/>
      <c r="C152" s="107"/>
      <c r="D152" s="107"/>
      <c r="E152" s="107"/>
      <c r="F152" s="107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>
      <c r="A153" s="1"/>
      <c r="B153" s="1"/>
      <c r="C153" s="107"/>
      <c r="D153" s="107"/>
      <c r="E153" s="107"/>
      <c r="F153" s="107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>
      <c r="A154" s="1"/>
      <c r="B154" s="1"/>
      <c r="C154" s="107"/>
      <c r="D154" s="107"/>
      <c r="E154" s="107"/>
      <c r="F154" s="107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>
      <c r="A155" s="1"/>
      <c r="B155" s="1"/>
      <c r="C155" s="107"/>
      <c r="D155" s="107"/>
      <c r="E155" s="107"/>
      <c r="F155" s="107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>
      <c r="A156" s="1"/>
      <c r="B156" s="1"/>
      <c r="C156" s="107"/>
      <c r="D156" s="107"/>
      <c r="E156" s="107"/>
      <c r="F156" s="107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>
      <c r="A157" s="1"/>
      <c r="B157" s="1"/>
      <c r="C157" s="107"/>
      <c r="D157" s="107"/>
      <c r="E157" s="107"/>
      <c r="F157" s="107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>
      <c r="A158" s="1"/>
      <c r="B158" s="1"/>
      <c r="C158" s="107"/>
      <c r="D158" s="107"/>
      <c r="E158" s="107"/>
      <c r="F158" s="107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>
      <c r="A159" s="1"/>
      <c r="B159" s="1"/>
      <c r="C159" s="107"/>
      <c r="D159" s="107"/>
      <c r="E159" s="107"/>
      <c r="F159" s="107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>
      <c r="A160" s="1"/>
      <c r="B160" s="1"/>
      <c r="C160" s="107"/>
      <c r="D160" s="107"/>
      <c r="E160" s="107"/>
      <c r="F160" s="107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>
      <c r="A161" s="1"/>
      <c r="B161" s="1"/>
      <c r="C161" s="107"/>
      <c r="D161" s="107"/>
      <c r="E161" s="107"/>
      <c r="F161" s="107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>
      <c r="A162" s="1"/>
      <c r="B162" s="1"/>
      <c r="C162" s="107"/>
      <c r="D162" s="107"/>
      <c r="E162" s="107"/>
      <c r="F162" s="107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>
      <c r="A163" s="1"/>
      <c r="B163" s="1"/>
      <c r="C163" s="107"/>
      <c r="D163" s="107"/>
      <c r="E163" s="107"/>
      <c r="F163" s="107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>
      <c r="A164" s="1"/>
      <c r="B164" s="1"/>
      <c r="C164" s="107"/>
      <c r="D164" s="107"/>
      <c r="E164" s="107"/>
      <c r="F164" s="107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>
      <c r="A165" s="1"/>
      <c r="B165" s="1"/>
      <c r="C165" s="107"/>
      <c r="D165" s="107"/>
      <c r="E165" s="107"/>
      <c r="F165" s="107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>
      <c r="A166" s="1"/>
      <c r="B166" s="1"/>
      <c r="C166" s="107"/>
      <c r="D166" s="107"/>
      <c r="E166" s="107"/>
      <c r="F166" s="107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>
      <c r="A167" s="1"/>
      <c r="B167" s="1"/>
      <c r="C167" s="107"/>
      <c r="D167" s="107"/>
      <c r="E167" s="107"/>
      <c r="F167" s="107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>
      <c r="A168" s="1"/>
      <c r="B168" s="1"/>
      <c r="C168" s="107"/>
      <c r="D168" s="107"/>
      <c r="E168" s="107"/>
      <c r="F168" s="107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>
      <c r="A169" s="1"/>
      <c r="B169" s="1"/>
      <c r="C169" s="107"/>
      <c r="D169" s="107"/>
      <c r="E169" s="107"/>
      <c r="F169" s="107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>
      <c r="A170" s="1"/>
      <c r="B170" s="1"/>
      <c r="C170" s="107"/>
      <c r="D170" s="107"/>
      <c r="E170" s="107"/>
      <c r="F170" s="107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>
      <c r="A171" s="1"/>
      <c r="B171" s="1"/>
      <c r="C171" s="107"/>
      <c r="D171" s="107"/>
      <c r="E171" s="107"/>
      <c r="F171" s="107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>
      <c r="A172" s="1"/>
      <c r="B172" s="1"/>
      <c r="C172" s="107"/>
      <c r="D172" s="107"/>
      <c r="E172" s="107"/>
      <c r="F172" s="107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>
      <c r="A173" s="1"/>
      <c r="B173" s="1"/>
      <c r="C173" s="107"/>
      <c r="D173" s="107"/>
      <c r="E173" s="107"/>
      <c r="F173" s="107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>
      <c r="A174" s="1"/>
      <c r="B174" s="1"/>
      <c r="C174" s="107"/>
      <c r="D174" s="107"/>
      <c r="E174" s="107"/>
      <c r="F174" s="107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>
      <c r="A175" s="1"/>
      <c r="B175" s="1"/>
      <c r="C175" s="107"/>
      <c r="D175" s="107"/>
      <c r="E175" s="107"/>
      <c r="F175" s="107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>
      <c r="A176" s="1"/>
      <c r="B176" s="1"/>
      <c r="C176" s="107"/>
      <c r="D176" s="107"/>
      <c r="E176" s="107"/>
      <c r="F176" s="107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>
      <c r="A177" s="1"/>
      <c r="B177" s="1"/>
      <c r="C177" s="107"/>
      <c r="D177" s="107"/>
      <c r="E177" s="107"/>
      <c r="F177" s="107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>
      <c r="A178" s="1"/>
      <c r="B178" s="1"/>
      <c r="C178" s="107"/>
      <c r="D178" s="107"/>
      <c r="E178" s="107"/>
      <c r="F178" s="107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>
      <c r="A179" s="1"/>
      <c r="B179" s="1"/>
      <c r="C179" s="107"/>
      <c r="D179" s="107"/>
      <c r="E179" s="107"/>
      <c r="F179" s="107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>
      <c r="A180" s="1"/>
      <c r="B180" s="1"/>
      <c r="C180" s="107"/>
      <c r="D180" s="107"/>
      <c r="E180" s="107"/>
      <c r="F180" s="107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>
      <c r="A181" s="1"/>
      <c r="B181" s="1"/>
      <c r="C181" s="107"/>
      <c r="D181" s="107"/>
      <c r="E181" s="107"/>
      <c r="F181" s="107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>
      <c r="A182" s="1"/>
      <c r="B182" s="1"/>
      <c r="C182" s="107"/>
      <c r="D182" s="107"/>
      <c r="E182" s="107"/>
      <c r="F182" s="107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>
      <c r="A183" s="1"/>
      <c r="B183" s="1"/>
      <c r="C183" s="107"/>
      <c r="D183" s="107"/>
      <c r="E183" s="107"/>
      <c r="F183" s="107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>
      <c r="A184" s="1"/>
      <c r="B184" s="1"/>
      <c r="C184" s="107"/>
      <c r="D184" s="107"/>
      <c r="E184" s="107"/>
      <c r="F184" s="107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>
      <c r="A185" s="1"/>
      <c r="B185" s="1"/>
      <c r="C185" s="107"/>
      <c r="D185" s="107"/>
      <c r="E185" s="107"/>
      <c r="F185" s="107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>
      <c r="A186" s="1"/>
      <c r="B186" s="1"/>
      <c r="C186" s="107"/>
      <c r="D186" s="107"/>
      <c r="E186" s="107"/>
      <c r="F186" s="107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>
      <c r="A187" s="1"/>
      <c r="B187" s="1"/>
      <c r="C187" s="107"/>
      <c r="D187" s="107"/>
      <c r="E187" s="107"/>
      <c r="F187" s="107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>
      <c r="A188" s="1"/>
      <c r="B188" s="1"/>
      <c r="C188" s="107"/>
      <c r="D188" s="107"/>
      <c r="E188" s="107"/>
      <c r="F188" s="107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>
      <c r="A189" s="1"/>
      <c r="B189" s="1"/>
      <c r="C189" s="107"/>
      <c r="D189" s="107"/>
      <c r="E189" s="107"/>
      <c r="F189" s="107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>
      <c r="A190" s="1"/>
      <c r="B190" s="1"/>
      <c r="C190" s="107"/>
      <c r="D190" s="107"/>
      <c r="E190" s="107"/>
      <c r="F190" s="107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>
      <c r="A191" s="1"/>
      <c r="B191" s="1"/>
      <c r="C191" s="107"/>
      <c r="D191" s="107"/>
      <c r="E191" s="107"/>
      <c r="F191" s="107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>
      <c r="A192" s="1"/>
      <c r="B192" s="1"/>
      <c r="C192" s="107"/>
      <c r="D192" s="107"/>
      <c r="E192" s="107"/>
      <c r="F192" s="107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>
      <c r="A193" s="1"/>
      <c r="B193" s="1"/>
      <c r="C193" s="107"/>
      <c r="D193" s="107"/>
      <c r="E193" s="107"/>
      <c r="F193" s="107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>
      <c r="A194" s="1"/>
      <c r="B194" s="1"/>
      <c r="C194" s="107"/>
      <c r="D194" s="107"/>
      <c r="E194" s="107"/>
      <c r="F194" s="107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>
      <c r="A195" s="1"/>
      <c r="B195" s="1"/>
      <c r="C195" s="107"/>
      <c r="D195" s="107"/>
      <c r="E195" s="107"/>
      <c r="F195" s="107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>
      <c r="A196" s="1"/>
      <c r="B196" s="1"/>
      <c r="C196" s="107"/>
      <c r="D196" s="107"/>
      <c r="E196" s="107"/>
      <c r="F196" s="107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>
      <c r="A197" s="1"/>
      <c r="B197" s="1"/>
      <c r="C197" s="107"/>
      <c r="D197" s="107"/>
      <c r="E197" s="107"/>
      <c r="F197" s="107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>
      <c r="A198" s="1"/>
      <c r="B198" s="1"/>
      <c r="C198" s="107"/>
      <c r="D198" s="107"/>
      <c r="E198" s="107"/>
      <c r="F198" s="107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>
      <c r="A199" s="1"/>
      <c r="B199" s="1"/>
      <c r="C199" s="107"/>
      <c r="D199" s="107"/>
      <c r="E199" s="107"/>
      <c r="F199" s="107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>
      <c r="A200" s="1"/>
      <c r="B200" s="1"/>
      <c r="C200" s="107"/>
      <c r="D200" s="107"/>
      <c r="E200" s="107"/>
      <c r="F200" s="107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>
      <c r="A201" s="1"/>
      <c r="B201" s="1"/>
      <c r="C201" s="107"/>
      <c r="D201" s="107"/>
      <c r="E201" s="107"/>
      <c r="F201" s="107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>
      <c r="A202" s="1"/>
      <c r="B202" s="1"/>
      <c r="C202" s="107"/>
      <c r="D202" s="107"/>
      <c r="E202" s="107"/>
      <c r="F202" s="107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>
      <c r="A203" s="1"/>
      <c r="B203" s="1"/>
      <c r="C203" s="107"/>
      <c r="D203" s="107"/>
      <c r="E203" s="107"/>
      <c r="F203" s="107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>
      <c r="A204" s="1"/>
      <c r="B204" s="1"/>
      <c r="C204" s="107"/>
      <c r="D204" s="107"/>
      <c r="E204" s="107"/>
      <c r="F204" s="107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>
      <c r="A205" s="1"/>
      <c r="B205" s="1"/>
      <c r="C205" s="107"/>
      <c r="D205" s="107"/>
      <c r="E205" s="107"/>
      <c r="F205" s="107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>
      <c r="A206" s="1"/>
      <c r="B206" s="1"/>
      <c r="C206" s="107"/>
      <c r="D206" s="107"/>
      <c r="E206" s="107"/>
      <c r="F206" s="107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>
      <c r="A207" s="1"/>
      <c r="B207" s="1"/>
      <c r="C207" s="107"/>
      <c r="D207" s="107"/>
      <c r="E207" s="107"/>
      <c r="F207" s="107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>
      <c r="A208" s="1"/>
      <c r="B208" s="1"/>
      <c r="C208" s="107"/>
      <c r="D208" s="107"/>
      <c r="E208" s="107"/>
      <c r="F208" s="107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>
      <c r="A209" s="1"/>
      <c r="B209" s="1"/>
      <c r="C209" s="107"/>
      <c r="D209" s="107"/>
      <c r="E209" s="107"/>
      <c r="F209" s="107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>
      <c r="A210" s="1"/>
      <c r="B210" s="1"/>
      <c r="C210" s="107"/>
      <c r="D210" s="107"/>
      <c r="E210" s="107"/>
      <c r="F210" s="107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>
      <c r="A211" s="1"/>
      <c r="B211" s="1"/>
      <c r="C211" s="107"/>
      <c r="D211" s="107"/>
      <c r="E211" s="107"/>
      <c r="F211" s="107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>
      <c r="A212" s="1"/>
      <c r="B212" s="1"/>
      <c r="C212" s="107"/>
      <c r="D212" s="107"/>
      <c r="E212" s="107"/>
      <c r="F212" s="107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>
      <c r="A213" s="1"/>
      <c r="B213" s="1"/>
      <c r="C213" s="107"/>
      <c r="D213" s="107"/>
      <c r="E213" s="107"/>
      <c r="F213" s="107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>
      <c r="A214" s="1"/>
      <c r="B214" s="1"/>
      <c r="C214" s="107"/>
      <c r="D214" s="107"/>
      <c r="E214" s="107"/>
      <c r="F214" s="107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>
      <c r="A215" s="1"/>
      <c r="B215" s="1"/>
      <c r="C215" s="107"/>
      <c r="D215" s="107"/>
      <c r="E215" s="107"/>
      <c r="F215" s="107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>
      <c r="A216" s="1"/>
      <c r="B216" s="1"/>
      <c r="C216" s="107"/>
      <c r="D216" s="107"/>
      <c r="E216" s="107"/>
      <c r="F216" s="107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>
      <c r="A217" s="1"/>
      <c r="B217" s="1"/>
      <c r="C217" s="107"/>
      <c r="D217" s="107"/>
      <c r="E217" s="107"/>
      <c r="F217" s="107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>
      <c r="A218" s="1"/>
      <c r="B218" s="1"/>
      <c r="C218" s="107"/>
      <c r="D218" s="107"/>
      <c r="E218" s="107"/>
      <c r="F218" s="107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>
      <c r="A219" s="1"/>
      <c r="B219" s="1"/>
      <c r="C219" s="107"/>
      <c r="D219" s="107"/>
      <c r="E219" s="107"/>
      <c r="F219" s="107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>
      <c r="A220" s="1"/>
      <c r="B220" s="1"/>
      <c r="C220" s="107"/>
      <c r="D220" s="107"/>
      <c r="E220" s="107"/>
      <c r="F220" s="107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>
      <c r="A221" s="1"/>
      <c r="B221" s="1"/>
      <c r="C221" s="107"/>
      <c r="D221" s="107"/>
      <c r="E221" s="107"/>
      <c r="F221" s="107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>
      <c r="A222" s="1"/>
      <c r="B222" s="1"/>
      <c r="C222" s="107"/>
      <c r="D222" s="107"/>
      <c r="E222" s="107"/>
      <c r="F222" s="107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>
      <c r="A223" s="1"/>
      <c r="B223" s="1"/>
      <c r="C223" s="107"/>
      <c r="D223" s="107"/>
      <c r="E223" s="107"/>
      <c r="F223" s="107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>
      <c r="A224" s="1"/>
      <c r="B224" s="1"/>
      <c r="C224" s="107"/>
      <c r="D224" s="107"/>
      <c r="E224" s="107"/>
      <c r="F224" s="107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>
      <c r="A225" s="1"/>
      <c r="B225" s="1"/>
      <c r="C225" s="107"/>
      <c r="D225" s="107"/>
      <c r="E225" s="107"/>
      <c r="F225" s="107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>
      <c r="A226" s="1"/>
      <c r="B226" s="1"/>
      <c r="C226" s="107"/>
      <c r="D226" s="107"/>
      <c r="E226" s="107"/>
      <c r="F226" s="107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>
      <c r="A227" s="1"/>
      <c r="B227" s="1"/>
      <c r="C227" s="107"/>
      <c r="D227" s="107"/>
      <c r="E227" s="107"/>
      <c r="F227" s="107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>
      <c r="A228" s="1"/>
      <c r="B228" s="1"/>
      <c r="C228" s="107"/>
      <c r="D228" s="107"/>
      <c r="E228" s="107"/>
      <c r="F228" s="107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>
      <c r="A229" s="1"/>
      <c r="B229" s="1"/>
      <c r="C229" s="107"/>
      <c r="D229" s="107"/>
      <c r="E229" s="107"/>
      <c r="F229" s="107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>
      <c r="A230" s="1"/>
      <c r="B230" s="1"/>
      <c r="C230" s="107"/>
      <c r="D230" s="107"/>
      <c r="E230" s="107"/>
      <c r="F230" s="107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>
      <c r="A231" s="1"/>
      <c r="B231" s="1"/>
      <c r="C231" s="107"/>
      <c r="D231" s="107"/>
      <c r="E231" s="107"/>
      <c r="F231" s="107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>
      <c r="A232" s="1"/>
      <c r="B232" s="1"/>
      <c r="C232" s="107"/>
      <c r="D232" s="107"/>
      <c r="E232" s="107"/>
      <c r="F232" s="107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>
      <c r="A233" s="1"/>
      <c r="B233" s="1"/>
      <c r="C233" s="107"/>
      <c r="D233" s="107"/>
      <c r="E233" s="107"/>
      <c r="F233" s="107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>
      <c r="A234" s="1"/>
      <c r="B234" s="1"/>
      <c r="C234" s="107"/>
      <c r="D234" s="107"/>
      <c r="E234" s="107"/>
      <c r="F234" s="107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>
      <c r="A235" s="1"/>
      <c r="B235" s="1"/>
      <c r="C235" s="107"/>
      <c r="D235" s="107"/>
      <c r="E235" s="107"/>
      <c r="F235" s="107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>
      <c r="A236" s="1"/>
      <c r="B236" s="1"/>
      <c r="C236" s="107"/>
      <c r="D236" s="107"/>
      <c r="E236" s="107"/>
      <c r="F236" s="107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>
      <c r="A237" s="1"/>
      <c r="B237" s="1"/>
      <c r="C237" s="107"/>
      <c r="D237" s="107"/>
      <c r="E237" s="107"/>
      <c r="F237" s="107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>
      <c r="A238" s="1"/>
      <c r="B238" s="1"/>
      <c r="C238" s="107"/>
      <c r="D238" s="107"/>
      <c r="E238" s="107"/>
      <c r="F238" s="107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>
      <c r="A239" s="1"/>
      <c r="B239" s="1"/>
      <c r="C239" s="107"/>
      <c r="D239" s="107"/>
      <c r="E239" s="107"/>
      <c r="F239" s="107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>
      <c r="A240" s="1"/>
      <c r="B240" s="1"/>
      <c r="C240" s="107"/>
      <c r="D240" s="107"/>
      <c r="E240" s="107"/>
      <c r="F240" s="107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>
      <c r="A241" s="1"/>
      <c r="B241" s="1"/>
      <c r="C241" s="107"/>
      <c r="D241" s="107"/>
      <c r="E241" s="107"/>
      <c r="F241" s="107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>
      <c r="A242" s="1"/>
      <c r="B242" s="1"/>
      <c r="C242" s="107"/>
      <c r="D242" s="107"/>
      <c r="E242" s="107"/>
      <c r="F242" s="107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>
      <c r="A243" s="1"/>
      <c r="B243" s="1"/>
      <c r="C243" s="107"/>
      <c r="D243" s="107"/>
      <c r="E243" s="107"/>
      <c r="F243" s="107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>
      <c r="A244" s="1"/>
      <c r="B244" s="1"/>
      <c r="C244" s="107"/>
      <c r="D244" s="107"/>
      <c r="E244" s="107"/>
      <c r="F244" s="107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>
      <c r="A245" s="1"/>
      <c r="B245" s="1"/>
      <c r="C245" s="107"/>
      <c r="D245" s="107"/>
      <c r="E245" s="107"/>
      <c r="F245" s="107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>
      <c r="A246" s="1"/>
      <c r="B246" s="1"/>
      <c r="C246" s="107"/>
      <c r="D246" s="107"/>
      <c r="E246" s="107"/>
      <c r="F246" s="107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>
      <c r="A247" s="1"/>
      <c r="B247" s="1"/>
      <c r="C247" s="107"/>
      <c r="D247" s="107"/>
      <c r="E247" s="107"/>
      <c r="F247" s="107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>
      <c r="A248" s="1"/>
      <c r="B248" s="1"/>
      <c r="C248" s="107"/>
      <c r="D248" s="107"/>
      <c r="E248" s="107"/>
      <c r="F248" s="107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>
      <c r="A249" s="1"/>
      <c r="B249" s="1"/>
      <c r="C249" s="107"/>
      <c r="D249" s="107"/>
      <c r="E249" s="107"/>
      <c r="F249" s="107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>
      <c r="A250" s="1"/>
      <c r="B250" s="1"/>
      <c r="C250" s="107"/>
      <c r="D250" s="107"/>
      <c r="E250" s="107"/>
      <c r="F250" s="107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>
      <c r="A251" s="1"/>
      <c r="B251" s="1"/>
      <c r="C251" s="107"/>
      <c r="D251" s="107"/>
      <c r="E251" s="107"/>
      <c r="F251" s="107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>
      <c r="A252" s="1"/>
      <c r="B252" s="1"/>
      <c r="C252" s="107"/>
      <c r="D252" s="107"/>
      <c r="E252" s="107"/>
      <c r="F252" s="107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>
      <c r="A253" s="1"/>
      <c r="B253" s="1"/>
      <c r="C253" s="107"/>
      <c r="D253" s="107"/>
      <c r="E253" s="107"/>
      <c r="F253" s="107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>
      <c r="A254" s="1"/>
      <c r="B254" s="1"/>
      <c r="C254" s="107"/>
      <c r="D254" s="107"/>
      <c r="E254" s="107"/>
      <c r="F254" s="107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>
      <c r="A255" s="1"/>
      <c r="B255" s="1"/>
      <c r="C255" s="107"/>
      <c r="D255" s="107"/>
      <c r="E255" s="107"/>
      <c r="F255" s="107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>
      <c r="A256" s="1"/>
      <c r="B256" s="1"/>
      <c r="C256" s="107"/>
      <c r="D256" s="107"/>
      <c r="E256" s="107"/>
      <c r="F256" s="107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>
      <c r="A257" s="1"/>
      <c r="B257" s="1"/>
      <c r="C257" s="107"/>
      <c r="D257" s="107"/>
      <c r="E257" s="107"/>
      <c r="F257" s="107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>
      <c r="A258" s="1"/>
      <c r="B258" s="1"/>
      <c r="C258" s="107"/>
      <c r="D258" s="107"/>
      <c r="E258" s="107"/>
      <c r="F258" s="107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>
      <c r="A259" s="1"/>
      <c r="B259" s="1"/>
      <c r="C259" s="107"/>
      <c r="D259" s="107"/>
      <c r="E259" s="107"/>
      <c r="F259" s="107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>
      <c r="A260" s="1"/>
      <c r="B260" s="1"/>
      <c r="C260" s="107"/>
      <c r="D260" s="107"/>
      <c r="E260" s="107"/>
      <c r="F260" s="107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>
      <c r="A261" s="1"/>
      <c r="B261" s="1"/>
      <c r="C261" s="107"/>
      <c r="D261" s="107"/>
      <c r="E261" s="107"/>
      <c r="F261" s="107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>
      <c r="A262" s="1"/>
      <c r="B262" s="1"/>
      <c r="C262" s="107"/>
      <c r="D262" s="107"/>
      <c r="E262" s="107"/>
      <c r="F262" s="107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>
      <c r="A263" s="1"/>
      <c r="B263" s="1"/>
      <c r="C263" s="107"/>
      <c r="D263" s="107"/>
      <c r="E263" s="107"/>
      <c r="F263" s="107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>
      <c r="A264" s="1"/>
      <c r="B264" s="1"/>
      <c r="C264" s="107"/>
      <c r="D264" s="107"/>
      <c r="E264" s="107"/>
      <c r="F264" s="107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>
      <c r="A265" s="1"/>
      <c r="B265" s="1"/>
      <c r="C265" s="107"/>
      <c r="D265" s="107"/>
      <c r="E265" s="107"/>
      <c r="F265" s="107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>
      <c r="A266" s="1"/>
      <c r="B266" s="1"/>
      <c r="C266" s="107"/>
      <c r="D266" s="107"/>
      <c r="E266" s="107"/>
      <c r="F266" s="107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>
      <c r="A267" s="1"/>
      <c r="B267" s="1"/>
      <c r="C267" s="107"/>
      <c r="D267" s="107"/>
      <c r="E267" s="107"/>
      <c r="F267" s="107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>
      <c r="A268" s="1"/>
      <c r="B268" s="1"/>
      <c r="C268" s="107"/>
      <c r="D268" s="107"/>
      <c r="E268" s="107"/>
      <c r="F268" s="107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>
      <c r="A269" s="1"/>
      <c r="B269" s="1"/>
      <c r="C269" s="107"/>
      <c r="D269" s="107"/>
      <c r="E269" s="107"/>
      <c r="F269" s="107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>
      <c r="A270" s="1"/>
      <c r="B270" s="1"/>
      <c r="C270" s="107"/>
      <c r="D270" s="107"/>
      <c r="E270" s="107"/>
      <c r="F270" s="107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>
      <c r="A271" s="1"/>
      <c r="B271" s="1"/>
      <c r="C271" s="107"/>
      <c r="D271" s="107"/>
      <c r="E271" s="107"/>
      <c r="F271" s="107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>
      <c r="A272" s="1"/>
      <c r="B272" s="1"/>
      <c r="C272" s="107"/>
      <c r="D272" s="107"/>
      <c r="E272" s="107"/>
      <c r="F272" s="107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>
      <c r="A273" s="1"/>
      <c r="B273" s="1"/>
      <c r="C273" s="107"/>
      <c r="D273" s="107"/>
      <c r="E273" s="107"/>
      <c r="F273" s="107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>
      <c r="A274" s="1"/>
      <c r="B274" s="1"/>
      <c r="C274" s="107"/>
      <c r="D274" s="107"/>
      <c r="E274" s="107"/>
      <c r="F274" s="107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>
      <c r="A275" s="1"/>
      <c r="B275" s="1"/>
      <c r="C275" s="107"/>
      <c r="D275" s="107"/>
      <c r="E275" s="107"/>
      <c r="F275" s="107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>
      <c r="A276" s="1"/>
      <c r="B276" s="1"/>
      <c r="C276" s="107"/>
      <c r="D276" s="107"/>
      <c r="E276" s="107"/>
      <c r="F276" s="107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>
      <c r="A277" s="1"/>
      <c r="B277" s="1"/>
      <c r="C277" s="107"/>
      <c r="D277" s="107"/>
      <c r="E277" s="107"/>
      <c r="F277" s="107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>
      <c r="A278" s="1"/>
      <c r="B278" s="1"/>
      <c r="C278" s="107"/>
      <c r="D278" s="107"/>
      <c r="E278" s="107"/>
      <c r="F278" s="107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>
      <c r="A279" s="1"/>
      <c r="B279" s="1"/>
      <c r="C279" s="107"/>
      <c r="D279" s="107"/>
      <c r="E279" s="107"/>
      <c r="F279" s="107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>
      <c r="A280" s="1"/>
      <c r="B280" s="1"/>
      <c r="C280" s="107"/>
      <c r="D280" s="107"/>
      <c r="E280" s="107"/>
      <c r="F280" s="107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>
      <c r="A281" s="1"/>
      <c r="B281" s="1"/>
      <c r="C281" s="107"/>
      <c r="D281" s="107"/>
      <c r="E281" s="107"/>
      <c r="F281" s="107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>
      <c r="A282" s="1"/>
      <c r="B282" s="1"/>
      <c r="C282" s="107"/>
      <c r="D282" s="107"/>
      <c r="E282" s="107"/>
      <c r="F282" s="107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>
      <c r="A283" s="1"/>
      <c r="B283" s="1"/>
      <c r="C283" s="107"/>
      <c r="D283" s="107"/>
      <c r="E283" s="107"/>
      <c r="F283" s="107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>
      <c r="A284" s="1"/>
      <c r="B284" s="1"/>
      <c r="C284" s="107"/>
      <c r="D284" s="107"/>
      <c r="E284" s="107"/>
      <c r="F284" s="107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>
      <c r="A285" s="1"/>
      <c r="B285" s="1"/>
      <c r="C285" s="107"/>
      <c r="D285" s="107"/>
      <c r="E285" s="107"/>
      <c r="F285" s="107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>
      <c r="A286" s="1"/>
      <c r="B286" s="1"/>
      <c r="C286" s="107"/>
      <c r="D286" s="107"/>
      <c r="E286" s="107"/>
      <c r="F286" s="107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>
      <c r="A287" s="1"/>
      <c r="B287" s="1"/>
      <c r="C287" s="107"/>
      <c r="D287" s="107"/>
      <c r="E287" s="107"/>
      <c r="F287" s="107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>
      <c r="A288" s="1"/>
      <c r="B288" s="1"/>
      <c r="C288" s="107"/>
      <c r="D288" s="107"/>
      <c r="E288" s="107"/>
      <c r="F288" s="107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>
      <c r="A289" s="1"/>
      <c r="B289" s="1"/>
      <c r="C289" s="107"/>
      <c r="D289" s="107"/>
      <c r="E289" s="107"/>
      <c r="F289" s="107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>
      <c r="A290" s="1"/>
      <c r="B290" s="1"/>
      <c r="C290" s="107"/>
      <c r="D290" s="107"/>
      <c r="E290" s="107"/>
      <c r="F290" s="107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>
      <c r="A291" s="1"/>
      <c r="B291" s="1"/>
      <c r="C291" s="107"/>
      <c r="D291" s="107"/>
      <c r="E291" s="107"/>
      <c r="F291" s="107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>
      <c r="A292" s="1"/>
      <c r="B292" s="1"/>
      <c r="C292" s="107"/>
      <c r="D292" s="107"/>
      <c r="E292" s="107"/>
      <c r="F292" s="107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>
      <c r="A293" s="1"/>
      <c r="B293" s="1"/>
      <c r="C293" s="107"/>
      <c r="D293" s="107"/>
      <c r="E293" s="107"/>
      <c r="F293" s="107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>
      <c r="A294" s="1"/>
      <c r="B294" s="1"/>
      <c r="C294" s="107"/>
      <c r="D294" s="107"/>
      <c r="E294" s="107"/>
      <c r="F294" s="107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>
      <c r="A295" s="1"/>
      <c r="B295" s="1"/>
      <c r="C295" s="107"/>
      <c r="D295" s="107"/>
      <c r="E295" s="107"/>
      <c r="F295" s="107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>
      <c r="A296" s="1"/>
      <c r="B296" s="1"/>
      <c r="C296" s="107"/>
      <c r="D296" s="107"/>
      <c r="E296" s="107"/>
      <c r="F296" s="107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>
      <c r="A297" s="1"/>
      <c r="B297" s="1"/>
      <c r="C297" s="107"/>
      <c r="D297" s="107"/>
      <c r="E297" s="107"/>
      <c r="F297" s="107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>
      <c r="A298" s="1"/>
      <c r="B298" s="1"/>
      <c r="C298" s="107"/>
      <c r="D298" s="107"/>
      <c r="E298" s="107"/>
      <c r="F298" s="107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>
      <c r="A299" s="1"/>
      <c r="B299" s="1"/>
      <c r="C299" s="107"/>
      <c r="D299" s="107"/>
      <c r="E299" s="107"/>
      <c r="F299" s="107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>
      <c r="A300" s="1"/>
      <c r="B300" s="1"/>
      <c r="C300" s="107"/>
      <c r="D300" s="107"/>
      <c r="E300" s="107"/>
      <c r="F300" s="107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>
      <c r="A301" s="1"/>
      <c r="B301" s="1"/>
      <c r="C301" s="107"/>
      <c r="D301" s="107"/>
      <c r="E301" s="107"/>
      <c r="F301" s="107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>
      <c r="A302" s="1"/>
      <c r="B302" s="1"/>
      <c r="C302" s="107"/>
      <c r="D302" s="107"/>
      <c r="E302" s="107"/>
      <c r="F302" s="107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>
      <c r="A303" s="1"/>
      <c r="B303" s="1"/>
      <c r="C303" s="107"/>
      <c r="D303" s="107"/>
      <c r="E303" s="107"/>
      <c r="F303" s="107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>
      <c r="A304" s="1"/>
      <c r="B304" s="1"/>
      <c r="C304" s="107"/>
      <c r="D304" s="107"/>
      <c r="E304" s="107"/>
      <c r="F304" s="107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>
      <c r="A305" s="1"/>
      <c r="B305" s="1"/>
      <c r="C305" s="107"/>
      <c r="D305" s="107"/>
      <c r="E305" s="107"/>
      <c r="F305" s="107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>
      <c r="A306" s="1"/>
      <c r="B306" s="1"/>
      <c r="C306" s="107"/>
      <c r="D306" s="107"/>
      <c r="E306" s="107"/>
      <c r="F306" s="107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>
      <c r="A307" s="1"/>
      <c r="B307" s="1"/>
      <c r="C307" s="107"/>
      <c r="D307" s="107"/>
      <c r="E307" s="107"/>
      <c r="F307" s="107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>
      <c r="A308" s="1"/>
      <c r="B308" s="1"/>
      <c r="C308" s="107"/>
      <c r="D308" s="107"/>
      <c r="E308" s="107"/>
      <c r="F308" s="107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>
      <c r="A309" s="1"/>
      <c r="B309" s="1"/>
      <c r="C309" s="107"/>
      <c r="D309" s="107"/>
      <c r="E309" s="107"/>
      <c r="F309" s="107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>
      <c r="A310" s="1"/>
      <c r="B310" s="1"/>
      <c r="C310" s="107"/>
      <c r="D310" s="107"/>
      <c r="E310" s="107"/>
      <c r="F310" s="107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>
      <c r="A311" s="1"/>
      <c r="B311" s="1"/>
      <c r="C311" s="107"/>
      <c r="D311" s="107"/>
      <c r="E311" s="107"/>
      <c r="F311" s="107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>
      <c r="A312" s="1"/>
      <c r="B312" s="1"/>
      <c r="C312" s="107"/>
      <c r="D312" s="107"/>
      <c r="E312" s="107"/>
      <c r="F312" s="107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>
      <c r="A313" s="1"/>
      <c r="B313" s="1"/>
      <c r="C313" s="107"/>
      <c r="D313" s="107"/>
      <c r="E313" s="107"/>
      <c r="F313" s="107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>
      <c r="A314" s="1"/>
      <c r="B314" s="1"/>
      <c r="C314" s="107"/>
      <c r="D314" s="107"/>
      <c r="E314" s="107"/>
      <c r="F314" s="107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>
      <c r="A315" s="1"/>
      <c r="B315" s="1"/>
      <c r="C315" s="107"/>
      <c r="D315" s="107"/>
      <c r="E315" s="107"/>
      <c r="F315" s="107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>
      <c r="A316" s="1"/>
      <c r="B316" s="1"/>
      <c r="C316" s="107"/>
      <c r="D316" s="107"/>
      <c r="E316" s="107"/>
      <c r="F316" s="107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>
      <c r="A317" s="1"/>
      <c r="B317" s="1"/>
      <c r="C317" s="107"/>
      <c r="D317" s="107"/>
      <c r="E317" s="107"/>
      <c r="F317" s="107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>
      <c r="A318" s="1"/>
      <c r="B318" s="1"/>
      <c r="C318" s="107"/>
      <c r="D318" s="107"/>
      <c r="E318" s="107"/>
      <c r="F318" s="107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>
      <c r="A319" s="1"/>
      <c r="B319" s="1"/>
      <c r="C319" s="107"/>
      <c r="D319" s="107"/>
      <c r="E319" s="107"/>
      <c r="F319" s="107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>
      <c r="A320" s="1"/>
      <c r="B320" s="1"/>
      <c r="C320" s="107"/>
      <c r="D320" s="107"/>
      <c r="E320" s="107"/>
      <c r="F320" s="107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>
      <c r="A321" s="1"/>
      <c r="B321" s="1"/>
      <c r="C321" s="107"/>
      <c r="D321" s="107"/>
      <c r="E321" s="107"/>
      <c r="F321" s="107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>
      <c r="A322" s="1"/>
      <c r="B322" s="1"/>
      <c r="C322" s="107"/>
      <c r="D322" s="107"/>
      <c r="E322" s="107"/>
      <c r="F322" s="107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>
      <c r="A323" s="1"/>
      <c r="B323" s="1"/>
      <c r="C323" s="107"/>
      <c r="D323" s="107"/>
      <c r="E323" s="107"/>
      <c r="F323" s="107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>
      <c r="A324" s="1"/>
      <c r="B324" s="1"/>
      <c r="C324" s="107"/>
      <c r="D324" s="107"/>
      <c r="E324" s="107"/>
      <c r="F324" s="107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>
      <c r="A325" s="1"/>
      <c r="B325" s="1"/>
      <c r="C325" s="107"/>
      <c r="D325" s="107"/>
      <c r="E325" s="107"/>
      <c r="F325" s="107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>
      <c r="A326" s="1"/>
      <c r="B326" s="1"/>
      <c r="C326" s="107"/>
      <c r="D326" s="107"/>
      <c r="E326" s="107"/>
      <c r="F326" s="107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>
      <c r="A327" s="1"/>
      <c r="B327" s="1"/>
      <c r="C327" s="107"/>
      <c r="D327" s="107"/>
      <c r="E327" s="107"/>
      <c r="F327" s="107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>
      <c r="A328" s="1"/>
      <c r="B328" s="1"/>
      <c r="C328" s="107"/>
      <c r="D328" s="107"/>
      <c r="E328" s="107"/>
      <c r="F328" s="107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>
      <c r="A329" s="1"/>
      <c r="B329" s="1"/>
      <c r="C329" s="107"/>
      <c r="D329" s="107"/>
      <c r="E329" s="107"/>
      <c r="F329" s="107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>
      <c r="A330" s="1"/>
      <c r="B330" s="1"/>
      <c r="C330" s="107"/>
      <c r="D330" s="107"/>
      <c r="E330" s="107"/>
      <c r="F330" s="107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>
      <c r="A331" s="1"/>
      <c r="B331" s="1"/>
      <c r="C331" s="107"/>
      <c r="D331" s="107"/>
      <c r="E331" s="107"/>
      <c r="F331" s="107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>
      <c r="A332" s="1"/>
      <c r="B332" s="1"/>
      <c r="C332" s="107"/>
      <c r="D332" s="107"/>
      <c r="E332" s="107"/>
      <c r="F332" s="107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>
      <c r="A333" s="1"/>
      <c r="B333" s="1"/>
      <c r="C333" s="107"/>
      <c r="D333" s="107"/>
      <c r="E333" s="107"/>
      <c r="F333" s="107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>
      <c r="A334" s="1"/>
      <c r="B334" s="1"/>
      <c r="C334" s="107"/>
      <c r="D334" s="107"/>
      <c r="E334" s="107"/>
      <c r="F334" s="107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>
      <c r="A335" s="1"/>
      <c r="B335" s="1"/>
      <c r="C335" s="107"/>
      <c r="D335" s="107"/>
      <c r="E335" s="107"/>
      <c r="F335" s="107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>
      <c r="A336" s="1"/>
      <c r="B336" s="1"/>
      <c r="C336" s="107"/>
      <c r="D336" s="107"/>
      <c r="E336" s="107"/>
      <c r="F336" s="107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>
      <c r="A337" s="1"/>
      <c r="B337" s="1"/>
      <c r="C337" s="107"/>
      <c r="D337" s="107"/>
      <c r="E337" s="107"/>
      <c r="F337" s="107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>
      <c r="A338" s="1"/>
      <c r="B338" s="1"/>
      <c r="C338" s="107"/>
      <c r="D338" s="107"/>
      <c r="E338" s="107"/>
      <c r="F338" s="107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>
      <c r="A339" s="1"/>
      <c r="B339" s="1"/>
      <c r="C339" s="107"/>
      <c r="D339" s="107"/>
      <c r="E339" s="107"/>
      <c r="F339" s="107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>
      <c r="A340" s="1"/>
      <c r="B340" s="1"/>
      <c r="C340" s="107"/>
      <c r="D340" s="107"/>
      <c r="E340" s="107"/>
      <c r="F340" s="107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>
      <c r="A341" s="1"/>
      <c r="B341" s="1"/>
      <c r="C341" s="107"/>
      <c r="D341" s="107"/>
      <c r="E341" s="107"/>
      <c r="F341" s="107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>
      <c r="A342" s="1"/>
      <c r="B342" s="1"/>
      <c r="C342" s="107"/>
      <c r="D342" s="107"/>
      <c r="E342" s="107"/>
      <c r="F342" s="107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>
      <c r="A343" s="1"/>
      <c r="B343" s="1"/>
      <c r="C343" s="107"/>
      <c r="D343" s="107"/>
      <c r="E343" s="107"/>
      <c r="F343" s="107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>
      <c r="A344" s="1"/>
      <c r="B344" s="1"/>
      <c r="C344" s="107"/>
      <c r="D344" s="107"/>
      <c r="E344" s="107"/>
      <c r="F344" s="107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>
      <c r="A345" s="1"/>
      <c r="B345" s="1"/>
      <c r="C345" s="107"/>
      <c r="D345" s="107"/>
      <c r="E345" s="107"/>
      <c r="F345" s="107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>
      <c r="A346" s="1"/>
      <c r="B346" s="1"/>
      <c r="C346" s="107"/>
      <c r="D346" s="107"/>
      <c r="E346" s="107"/>
      <c r="F346" s="107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>
      <c r="A347" s="1"/>
      <c r="B347" s="1"/>
      <c r="C347" s="107"/>
      <c r="D347" s="107"/>
      <c r="E347" s="107"/>
      <c r="F347" s="107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>
      <c r="A348" s="1"/>
      <c r="B348" s="1"/>
      <c r="C348" s="107"/>
      <c r="D348" s="107"/>
      <c r="E348" s="107"/>
      <c r="F348" s="107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>
      <c r="A349" s="1"/>
      <c r="B349" s="1"/>
      <c r="C349" s="107"/>
      <c r="D349" s="107"/>
      <c r="E349" s="107"/>
      <c r="F349" s="107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>
      <c r="A350" s="1"/>
      <c r="B350" s="1"/>
      <c r="C350" s="107"/>
      <c r="D350" s="107"/>
      <c r="E350" s="107"/>
      <c r="F350" s="107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>
      <c r="A351" s="1"/>
      <c r="B351" s="1"/>
      <c r="C351" s="107"/>
      <c r="D351" s="107"/>
      <c r="E351" s="107"/>
      <c r="F351" s="107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>
      <c r="A352" s="1"/>
      <c r="B352" s="1"/>
      <c r="C352" s="107"/>
      <c r="D352" s="107"/>
      <c r="E352" s="107"/>
      <c r="F352" s="107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>
      <c r="A353" s="1"/>
      <c r="B353" s="1"/>
      <c r="C353" s="107"/>
      <c r="D353" s="107"/>
      <c r="E353" s="107"/>
      <c r="F353" s="107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>
      <c r="A354" s="1"/>
      <c r="B354" s="1"/>
      <c r="C354" s="107"/>
      <c r="D354" s="107"/>
      <c r="E354" s="107"/>
      <c r="F354" s="107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>
      <c r="A355" s="1"/>
      <c r="B355" s="1"/>
      <c r="C355" s="107"/>
      <c r="D355" s="107"/>
      <c r="E355" s="107"/>
      <c r="F355" s="107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>
      <c r="A356" s="1"/>
      <c r="B356" s="1"/>
      <c r="C356" s="107"/>
      <c r="D356" s="107"/>
      <c r="E356" s="107"/>
      <c r="F356" s="107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>
      <c r="A357" s="1"/>
      <c r="B357" s="1"/>
      <c r="C357" s="107"/>
      <c r="D357" s="107"/>
      <c r="E357" s="107"/>
      <c r="F357" s="107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>
      <c r="A358" s="1"/>
      <c r="B358" s="1"/>
      <c r="C358" s="107"/>
      <c r="D358" s="107"/>
      <c r="E358" s="107"/>
      <c r="F358" s="107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>
      <c r="A359" s="1"/>
      <c r="B359" s="1"/>
      <c r="C359" s="107"/>
      <c r="D359" s="107"/>
      <c r="E359" s="107"/>
      <c r="F359" s="107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>
      <c r="A360" s="1"/>
      <c r="B360" s="1"/>
      <c r="C360" s="107"/>
      <c r="D360" s="107"/>
      <c r="E360" s="107"/>
      <c r="F360" s="107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>
      <c r="A361" s="1"/>
      <c r="B361" s="1"/>
      <c r="C361" s="107"/>
      <c r="D361" s="107"/>
      <c r="E361" s="107"/>
      <c r="F361" s="107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>
      <c r="A362" s="1"/>
      <c r="B362" s="1"/>
      <c r="C362" s="107"/>
      <c r="D362" s="107"/>
      <c r="E362" s="107"/>
      <c r="F362" s="107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>
      <c r="A363" s="1"/>
      <c r="B363" s="1"/>
      <c r="C363" s="107"/>
      <c r="D363" s="107"/>
      <c r="E363" s="107"/>
      <c r="F363" s="107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>
      <c r="A364" s="1"/>
      <c r="B364" s="1"/>
      <c r="C364" s="107"/>
      <c r="D364" s="107"/>
      <c r="E364" s="107"/>
      <c r="F364" s="107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>
      <c r="A365" s="1"/>
      <c r="B365" s="1"/>
      <c r="C365" s="107"/>
      <c r="D365" s="107"/>
      <c r="E365" s="107"/>
      <c r="F365" s="107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>
      <c r="A366" s="1"/>
      <c r="B366" s="1"/>
      <c r="C366" s="107"/>
      <c r="D366" s="107"/>
      <c r="E366" s="107"/>
      <c r="F366" s="107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>
      <c r="A367" s="1"/>
      <c r="B367" s="1"/>
      <c r="C367" s="107"/>
      <c r="D367" s="107"/>
      <c r="E367" s="107"/>
      <c r="F367" s="107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>
      <c r="A368" s="1"/>
      <c r="B368" s="1"/>
      <c r="C368" s="107"/>
      <c r="D368" s="107"/>
      <c r="E368" s="107"/>
      <c r="F368" s="107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>
      <c r="A369" s="1"/>
      <c r="B369" s="1"/>
      <c r="C369" s="107"/>
      <c r="D369" s="107"/>
      <c r="E369" s="107"/>
      <c r="F369" s="107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>
      <c r="A370" s="1"/>
      <c r="B370" s="1"/>
      <c r="C370" s="107"/>
      <c r="D370" s="107"/>
      <c r="E370" s="107"/>
      <c r="F370" s="107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>
      <c r="A371" s="1"/>
      <c r="B371" s="1"/>
      <c r="C371" s="107"/>
      <c r="D371" s="107"/>
      <c r="E371" s="107"/>
      <c r="F371" s="107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>
      <c r="A372" s="1"/>
      <c r="B372" s="1"/>
      <c r="C372" s="107"/>
      <c r="D372" s="107"/>
      <c r="E372" s="107"/>
      <c r="F372" s="107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>
      <c r="A373" s="1"/>
      <c r="B373" s="1"/>
      <c r="C373" s="107"/>
      <c r="D373" s="107"/>
      <c r="E373" s="107"/>
      <c r="F373" s="107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>
      <c r="A374" s="1"/>
      <c r="B374" s="1"/>
      <c r="C374" s="107"/>
      <c r="D374" s="107"/>
      <c r="E374" s="107"/>
      <c r="F374" s="107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>
      <c r="A375" s="1"/>
      <c r="B375" s="1"/>
      <c r="C375" s="107"/>
      <c r="D375" s="107"/>
      <c r="E375" s="107"/>
      <c r="F375" s="107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>
      <c r="A376" s="1"/>
      <c r="B376" s="1"/>
      <c r="C376" s="107"/>
      <c r="D376" s="107"/>
      <c r="E376" s="107"/>
      <c r="F376" s="107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>
      <c r="A377" s="1"/>
      <c r="B377" s="1"/>
      <c r="C377" s="107"/>
      <c r="D377" s="107"/>
      <c r="E377" s="107"/>
      <c r="F377" s="107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>
      <c r="A378" s="1"/>
      <c r="B378" s="1"/>
      <c r="C378" s="107"/>
      <c r="D378" s="107"/>
      <c r="E378" s="107"/>
      <c r="F378" s="107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>
      <c r="A379" s="1"/>
      <c r="B379" s="1"/>
      <c r="C379" s="107"/>
      <c r="D379" s="107"/>
      <c r="E379" s="107"/>
      <c r="F379" s="107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>
      <c r="A380" s="1"/>
      <c r="B380" s="1"/>
      <c r="C380" s="107"/>
      <c r="D380" s="107"/>
      <c r="E380" s="107"/>
      <c r="F380" s="107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>
      <c r="A381" s="1"/>
      <c r="B381" s="1"/>
      <c r="C381" s="107"/>
      <c r="D381" s="107"/>
      <c r="E381" s="107"/>
      <c r="F381" s="107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>
      <c r="A382" s="1"/>
      <c r="B382" s="1"/>
      <c r="C382" s="107"/>
      <c r="D382" s="107"/>
      <c r="E382" s="107"/>
      <c r="F382" s="107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>
      <c r="A383" s="1"/>
      <c r="B383" s="1"/>
      <c r="C383" s="107"/>
      <c r="D383" s="107"/>
      <c r="E383" s="107"/>
      <c r="F383" s="107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>
      <c r="A384" s="1"/>
      <c r="B384" s="1"/>
      <c r="C384" s="107"/>
      <c r="D384" s="107"/>
      <c r="E384" s="107"/>
      <c r="F384" s="107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>
      <c r="A385" s="1"/>
      <c r="B385" s="1"/>
      <c r="C385" s="107"/>
      <c r="D385" s="107"/>
      <c r="E385" s="107"/>
      <c r="F385" s="107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>
      <c r="A386" s="1"/>
      <c r="B386" s="1"/>
      <c r="C386" s="107"/>
      <c r="D386" s="107"/>
      <c r="E386" s="107"/>
      <c r="F386" s="107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>
      <c r="A387" s="1"/>
      <c r="B387" s="1"/>
      <c r="C387" s="107"/>
      <c r="D387" s="107"/>
      <c r="E387" s="107"/>
      <c r="F387" s="107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>
      <c r="A388" s="1"/>
      <c r="B388" s="1"/>
      <c r="C388" s="107"/>
      <c r="D388" s="107"/>
      <c r="E388" s="107"/>
      <c r="F388" s="107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>
      <c r="A389" s="1"/>
      <c r="B389" s="1"/>
      <c r="C389" s="107"/>
      <c r="D389" s="107"/>
      <c r="E389" s="107"/>
      <c r="F389" s="107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>
      <c r="A390" s="1"/>
      <c r="B390" s="1"/>
      <c r="C390" s="107"/>
      <c r="D390" s="107"/>
      <c r="E390" s="107"/>
      <c r="F390" s="107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>
      <c r="A391" s="1"/>
      <c r="B391" s="1"/>
      <c r="C391" s="107"/>
      <c r="D391" s="107"/>
      <c r="E391" s="107"/>
      <c r="F391" s="107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>
      <c r="A392" s="1"/>
      <c r="B392" s="1"/>
      <c r="C392" s="107"/>
      <c r="D392" s="107"/>
      <c r="E392" s="107"/>
      <c r="F392" s="107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>
      <c r="A393" s="1"/>
      <c r="B393" s="1"/>
      <c r="C393" s="107"/>
      <c r="D393" s="107"/>
      <c r="E393" s="107"/>
      <c r="F393" s="107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>
      <c r="A394" s="1"/>
      <c r="B394" s="1"/>
      <c r="C394" s="107"/>
      <c r="D394" s="107"/>
      <c r="E394" s="107"/>
      <c r="F394" s="107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>
      <c r="A395" s="1"/>
      <c r="B395" s="1"/>
      <c r="C395" s="107"/>
      <c r="D395" s="107"/>
      <c r="E395" s="107"/>
      <c r="F395" s="107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>
      <c r="A396" s="1"/>
      <c r="B396" s="1"/>
      <c r="C396" s="107"/>
      <c r="D396" s="107"/>
      <c r="E396" s="107"/>
      <c r="F396" s="107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>
      <c r="A397" s="1"/>
      <c r="B397" s="1"/>
      <c r="C397" s="107"/>
      <c r="D397" s="107"/>
      <c r="E397" s="107"/>
      <c r="F397" s="107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>
      <c r="A398" s="1"/>
      <c r="B398" s="1"/>
      <c r="C398" s="107"/>
      <c r="D398" s="107"/>
      <c r="E398" s="107"/>
      <c r="F398" s="107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>
      <c r="A399" s="1"/>
      <c r="B399" s="1"/>
      <c r="C399" s="107"/>
      <c r="D399" s="107"/>
      <c r="E399" s="107"/>
      <c r="F399" s="107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>
      <c r="A400" s="1"/>
      <c r="B400" s="1"/>
      <c r="C400" s="107"/>
      <c r="D400" s="107"/>
      <c r="E400" s="107"/>
      <c r="F400" s="107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>
      <c r="A401" s="1"/>
      <c r="B401" s="1"/>
      <c r="C401" s="107"/>
      <c r="D401" s="107"/>
      <c r="E401" s="107"/>
      <c r="F401" s="107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>
      <c r="A402" s="1"/>
      <c r="B402" s="1"/>
      <c r="C402" s="107"/>
      <c r="D402" s="107"/>
      <c r="E402" s="107"/>
      <c r="F402" s="107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>
      <c r="A403" s="1"/>
      <c r="B403" s="1"/>
      <c r="C403" s="107"/>
      <c r="D403" s="107"/>
      <c r="E403" s="107"/>
      <c r="F403" s="107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>
      <c r="A404" s="1"/>
      <c r="B404" s="1"/>
      <c r="C404" s="107"/>
      <c r="D404" s="107"/>
      <c r="E404" s="107"/>
      <c r="F404" s="107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>
      <c r="A405" s="1"/>
      <c r="B405" s="1"/>
      <c r="C405" s="107"/>
      <c r="D405" s="107"/>
      <c r="E405" s="107"/>
      <c r="F405" s="107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>
      <c r="A406" s="1"/>
      <c r="B406" s="1"/>
      <c r="C406" s="107"/>
      <c r="D406" s="107"/>
      <c r="E406" s="107"/>
      <c r="F406" s="107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>
      <c r="A407" s="1"/>
      <c r="B407" s="1"/>
      <c r="C407" s="107"/>
      <c r="D407" s="107"/>
      <c r="E407" s="107"/>
      <c r="F407" s="107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>
      <c r="A408" s="1"/>
      <c r="B408" s="1"/>
      <c r="C408" s="107"/>
      <c r="D408" s="107"/>
      <c r="E408" s="107"/>
      <c r="F408" s="107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>
      <c r="A409" s="1"/>
      <c r="B409" s="1"/>
      <c r="C409" s="107"/>
      <c r="D409" s="107"/>
      <c r="E409" s="107"/>
      <c r="F409" s="107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>
      <c r="A410" s="1"/>
      <c r="B410" s="1"/>
      <c r="C410" s="107"/>
      <c r="D410" s="107"/>
      <c r="E410" s="107"/>
      <c r="F410" s="107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>
      <c r="A411" s="1"/>
      <c r="B411" s="1"/>
      <c r="C411" s="107"/>
      <c r="D411" s="107"/>
      <c r="E411" s="107"/>
      <c r="F411" s="107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>
      <c r="A412" s="1"/>
      <c r="B412" s="1"/>
      <c r="C412" s="107"/>
      <c r="D412" s="107"/>
      <c r="E412" s="107"/>
      <c r="F412" s="107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>
      <c r="A413" s="1"/>
      <c r="B413" s="1"/>
      <c r="C413" s="107"/>
      <c r="D413" s="107"/>
      <c r="E413" s="107"/>
      <c r="F413" s="107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>
      <c r="A414" s="1"/>
      <c r="B414" s="1"/>
      <c r="C414" s="107"/>
      <c r="D414" s="107"/>
      <c r="E414" s="107"/>
      <c r="F414" s="107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>
      <c r="A415" s="1"/>
      <c r="B415" s="1"/>
      <c r="C415" s="107"/>
      <c r="D415" s="107"/>
      <c r="E415" s="107"/>
      <c r="F415" s="107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>
      <c r="A416" s="1"/>
      <c r="B416" s="1"/>
      <c r="C416" s="107"/>
      <c r="D416" s="107"/>
      <c r="E416" s="107"/>
      <c r="F416" s="107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>
      <c r="A417" s="1"/>
      <c r="B417" s="1"/>
      <c r="C417" s="107"/>
      <c r="D417" s="107"/>
      <c r="E417" s="107"/>
      <c r="F417" s="107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>
      <c r="A418" s="1"/>
      <c r="B418" s="1"/>
      <c r="C418" s="107"/>
      <c r="D418" s="107"/>
      <c r="E418" s="107"/>
      <c r="F418" s="107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>
      <c r="A419" s="1"/>
      <c r="B419" s="1"/>
      <c r="C419" s="107"/>
      <c r="D419" s="107"/>
      <c r="E419" s="107"/>
      <c r="F419" s="107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>
      <c r="A420" s="1"/>
      <c r="B420" s="1"/>
      <c r="C420" s="107"/>
      <c r="D420" s="107"/>
      <c r="E420" s="107"/>
      <c r="F420" s="107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>
      <c r="A421" s="1"/>
      <c r="B421" s="1"/>
      <c r="C421" s="107"/>
      <c r="D421" s="107"/>
      <c r="E421" s="107"/>
      <c r="F421" s="107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>
      <c r="A422" s="1"/>
      <c r="B422" s="1"/>
      <c r="C422" s="107"/>
      <c r="D422" s="107"/>
      <c r="E422" s="107"/>
      <c r="F422" s="107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>
      <c r="A423" s="1"/>
      <c r="B423" s="1"/>
      <c r="C423" s="107"/>
      <c r="D423" s="107"/>
      <c r="E423" s="107"/>
      <c r="F423" s="107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>
      <c r="A424" s="1"/>
      <c r="B424" s="1"/>
      <c r="C424" s="107"/>
      <c r="D424" s="107"/>
      <c r="E424" s="107"/>
      <c r="F424" s="107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>
      <c r="A425" s="1"/>
      <c r="B425" s="1"/>
      <c r="C425" s="107"/>
      <c r="D425" s="107"/>
      <c r="E425" s="107"/>
      <c r="F425" s="107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>
      <c r="A426" s="1"/>
      <c r="B426" s="1"/>
      <c r="C426" s="107"/>
      <c r="D426" s="107"/>
      <c r="E426" s="107"/>
      <c r="F426" s="107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>
      <c r="A427" s="1"/>
      <c r="B427" s="1"/>
      <c r="C427" s="107"/>
      <c r="D427" s="107"/>
      <c r="E427" s="107"/>
      <c r="F427" s="107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>
      <c r="A428" s="1"/>
      <c r="B428" s="1"/>
      <c r="C428" s="107"/>
      <c r="D428" s="107"/>
      <c r="E428" s="107"/>
      <c r="F428" s="107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>
      <c r="A429" s="1"/>
      <c r="B429" s="1"/>
      <c r="C429" s="107"/>
      <c r="D429" s="107"/>
      <c r="E429" s="107"/>
      <c r="F429" s="107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>
      <c r="A430" s="1"/>
      <c r="B430" s="1"/>
      <c r="C430" s="107"/>
      <c r="D430" s="107"/>
      <c r="E430" s="107"/>
      <c r="F430" s="107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>
      <c r="A431" s="1"/>
      <c r="B431" s="1"/>
      <c r="C431" s="107"/>
      <c r="D431" s="107"/>
      <c r="E431" s="107"/>
      <c r="F431" s="107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>
      <c r="A432" s="1"/>
      <c r="B432" s="1"/>
      <c r="C432" s="107"/>
      <c r="D432" s="107"/>
      <c r="E432" s="107"/>
      <c r="F432" s="107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>
      <c r="A433" s="1"/>
      <c r="B433" s="1"/>
      <c r="C433" s="107"/>
      <c r="D433" s="107"/>
      <c r="E433" s="107"/>
      <c r="F433" s="107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>
      <c r="A434" s="1"/>
      <c r="B434" s="1"/>
      <c r="C434" s="107"/>
      <c r="D434" s="107"/>
      <c r="E434" s="107"/>
      <c r="F434" s="107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>
      <c r="A435" s="1"/>
      <c r="B435" s="1"/>
      <c r="C435" s="107"/>
      <c r="D435" s="107"/>
      <c r="E435" s="107"/>
      <c r="F435" s="107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>
      <c r="A436" s="1"/>
      <c r="B436" s="1"/>
      <c r="C436" s="107"/>
      <c r="D436" s="107"/>
      <c r="E436" s="107"/>
      <c r="F436" s="107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>
      <c r="A437" s="1"/>
      <c r="B437" s="1"/>
      <c r="C437" s="107"/>
      <c r="D437" s="107"/>
      <c r="E437" s="107"/>
      <c r="F437" s="107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>
      <c r="A438" s="1"/>
      <c r="B438" s="1"/>
      <c r="C438" s="107"/>
      <c r="D438" s="107"/>
      <c r="E438" s="107"/>
      <c r="F438" s="107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>
      <c r="A439" s="1"/>
      <c r="B439" s="1"/>
      <c r="C439" s="107"/>
      <c r="D439" s="107"/>
      <c r="E439" s="107"/>
      <c r="F439" s="107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>
      <c r="A440" s="1"/>
      <c r="B440" s="1"/>
      <c r="C440" s="107"/>
      <c r="D440" s="107"/>
      <c r="E440" s="107"/>
      <c r="F440" s="107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>
      <c r="A441" s="1"/>
      <c r="B441" s="1"/>
      <c r="C441" s="107"/>
      <c r="D441" s="107"/>
      <c r="E441" s="107"/>
      <c r="F441" s="107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>
      <c r="A442" s="1"/>
      <c r="B442" s="1"/>
      <c r="C442" s="107"/>
      <c r="D442" s="107"/>
      <c r="E442" s="107"/>
      <c r="F442" s="107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>
      <c r="A443" s="1"/>
      <c r="B443" s="1"/>
      <c r="C443" s="107"/>
      <c r="D443" s="107"/>
      <c r="E443" s="107"/>
      <c r="F443" s="107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>
      <c r="A444" s="1"/>
      <c r="B444" s="1"/>
      <c r="C444" s="107"/>
      <c r="D444" s="107"/>
      <c r="E444" s="107"/>
      <c r="F444" s="107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>
      <c r="A445" s="1"/>
      <c r="B445" s="1"/>
      <c r="C445" s="107"/>
      <c r="D445" s="107"/>
      <c r="E445" s="107"/>
      <c r="F445" s="107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>
      <c r="A446" s="1"/>
      <c r="B446" s="1"/>
      <c r="C446" s="107"/>
      <c r="D446" s="107"/>
      <c r="E446" s="107"/>
      <c r="F446" s="107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>
      <c r="A447" s="1"/>
      <c r="B447" s="1"/>
      <c r="C447" s="107"/>
      <c r="D447" s="107"/>
      <c r="E447" s="107"/>
      <c r="F447" s="107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>
      <c r="A448" s="1"/>
      <c r="B448" s="1"/>
      <c r="C448" s="107"/>
      <c r="D448" s="107"/>
      <c r="E448" s="107"/>
      <c r="F448" s="107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>
      <c r="A449" s="1"/>
      <c r="B449" s="1"/>
      <c r="C449" s="107"/>
      <c r="D449" s="107"/>
      <c r="E449" s="107"/>
      <c r="F449" s="107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>
      <c r="A450" s="1"/>
      <c r="B450" s="1"/>
      <c r="C450" s="107"/>
      <c r="D450" s="107"/>
      <c r="E450" s="107"/>
      <c r="F450" s="107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>
      <c r="A451" s="1"/>
      <c r="B451" s="1"/>
      <c r="C451" s="107"/>
      <c r="D451" s="107"/>
      <c r="E451" s="107"/>
      <c r="F451" s="107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>
      <c r="A452" s="1"/>
      <c r="B452" s="1"/>
      <c r="C452" s="107"/>
      <c r="D452" s="107"/>
      <c r="E452" s="107"/>
      <c r="F452" s="107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>
      <c r="A453" s="1"/>
      <c r="B453" s="1"/>
      <c r="C453" s="107"/>
      <c r="D453" s="107"/>
      <c r="E453" s="107"/>
      <c r="F453" s="107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>
      <c r="A454" s="1"/>
      <c r="B454" s="1"/>
      <c r="C454" s="107"/>
      <c r="D454" s="107"/>
      <c r="E454" s="107"/>
      <c r="F454" s="107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>
      <c r="A455" s="1"/>
      <c r="B455" s="1"/>
      <c r="C455" s="107"/>
      <c r="D455" s="107"/>
      <c r="E455" s="107"/>
      <c r="F455" s="107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>
      <c r="A456" s="1"/>
      <c r="B456" s="1"/>
      <c r="C456" s="107"/>
      <c r="D456" s="107"/>
      <c r="E456" s="107"/>
      <c r="F456" s="107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>
      <c r="A457" s="1"/>
      <c r="B457" s="1"/>
      <c r="C457" s="107"/>
      <c r="D457" s="107"/>
      <c r="E457" s="107"/>
      <c r="F457" s="107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>
      <c r="A458" s="1"/>
      <c r="B458" s="1"/>
      <c r="C458" s="107"/>
      <c r="D458" s="107"/>
      <c r="E458" s="107"/>
      <c r="F458" s="107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>
      <c r="A459" s="1"/>
      <c r="B459" s="1"/>
      <c r="C459" s="107"/>
      <c r="D459" s="107"/>
      <c r="E459" s="107"/>
      <c r="F459" s="107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>
      <c r="A460" s="1"/>
      <c r="B460" s="1"/>
      <c r="C460" s="107"/>
      <c r="D460" s="107"/>
      <c r="E460" s="107"/>
      <c r="F460" s="107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>
      <c r="A461" s="1"/>
      <c r="B461" s="1"/>
      <c r="C461" s="107"/>
      <c r="D461" s="107"/>
      <c r="E461" s="107"/>
      <c r="F461" s="107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>
      <c r="A462" s="1"/>
      <c r="B462" s="1"/>
      <c r="C462" s="107"/>
      <c r="D462" s="107"/>
      <c r="E462" s="107"/>
      <c r="F462" s="107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>
      <c r="A463" s="1"/>
      <c r="B463" s="1"/>
      <c r="C463" s="107"/>
      <c r="D463" s="107"/>
      <c r="E463" s="107"/>
      <c r="F463" s="107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>
      <c r="A464" s="1"/>
      <c r="B464" s="1"/>
      <c r="C464" s="107"/>
      <c r="D464" s="107"/>
      <c r="E464" s="107"/>
      <c r="F464" s="107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>
      <c r="A465" s="1"/>
      <c r="B465" s="1"/>
      <c r="C465" s="107"/>
      <c r="D465" s="107"/>
      <c r="E465" s="107"/>
      <c r="F465" s="107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>
      <c r="A466" s="1"/>
      <c r="B466" s="1"/>
      <c r="C466" s="107"/>
      <c r="D466" s="107"/>
      <c r="E466" s="107"/>
      <c r="F466" s="107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>
      <c r="A467" s="1"/>
      <c r="B467" s="1"/>
      <c r="C467" s="107"/>
      <c r="D467" s="107"/>
      <c r="E467" s="107"/>
      <c r="F467" s="107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>
      <c r="A468" s="1"/>
      <c r="B468" s="1"/>
      <c r="C468" s="107"/>
      <c r="D468" s="107"/>
      <c r="E468" s="107"/>
      <c r="F468" s="107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>
      <c r="A469" s="1"/>
      <c r="B469" s="1"/>
      <c r="C469" s="107"/>
      <c r="D469" s="107"/>
      <c r="E469" s="107"/>
      <c r="F469" s="107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>
      <c r="A470" s="1"/>
      <c r="B470" s="1"/>
      <c r="C470" s="107"/>
      <c r="D470" s="107"/>
      <c r="E470" s="107"/>
      <c r="F470" s="107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>
      <c r="A471" s="1"/>
      <c r="B471" s="1"/>
      <c r="C471" s="107"/>
      <c r="D471" s="107"/>
      <c r="E471" s="107"/>
      <c r="F471" s="107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>
      <c r="A472" s="1"/>
      <c r="B472" s="1"/>
      <c r="C472" s="107"/>
      <c r="D472" s="107"/>
      <c r="E472" s="107"/>
      <c r="F472" s="107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>
      <c r="A473" s="1"/>
      <c r="B473" s="1"/>
      <c r="C473" s="107"/>
      <c r="D473" s="107"/>
      <c r="E473" s="107"/>
      <c r="F473" s="107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>
      <c r="A474" s="1"/>
      <c r="B474" s="1"/>
      <c r="C474" s="107"/>
      <c r="D474" s="107"/>
      <c r="E474" s="107"/>
      <c r="F474" s="107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>
      <c r="A475" s="1"/>
      <c r="B475" s="1"/>
      <c r="C475" s="107"/>
      <c r="D475" s="107"/>
      <c r="E475" s="107"/>
      <c r="F475" s="107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>
      <c r="A476" s="1"/>
      <c r="B476" s="1"/>
      <c r="C476" s="107"/>
      <c r="D476" s="107"/>
      <c r="E476" s="107"/>
      <c r="F476" s="107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>
      <c r="A477" s="1"/>
      <c r="B477" s="1"/>
      <c r="C477" s="107"/>
      <c r="D477" s="107"/>
      <c r="E477" s="107"/>
      <c r="F477" s="107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>
      <c r="A478" s="1"/>
      <c r="B478" s="1"/>
      <c r="C478" s="107"/>
      <c r="D478" s="107"/>
      <c r="E478" s="107"/>
      <c r="F478" s="107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>
      <c r="A479" s="1"/>
      <c r="B479" s="1"/>
      <c r="C479" s="107"/>
      <c r="D479" s="107"/>
      <c r="E479" s="107"/>
      <c r="F479" s="107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>
      <c r="A480" s="1"/>
      <c r="B480" s="1"/>
      <c r="C480" s="107"/>
      <c r="D480" s="107"/>
      <c r="E480" s="107"/>
      <c r="F480" s="107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>
      <c r="A481" s="1"/>
      <c r="B481" s="1"/>
      <c r="C481" s="107"/>
      <c r="D481" s="107"/>
      <c r="E481" s="107"/>
      <c r="F481" s="107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>
      <c r="A482" s="1"/>
      <c r="B482" s="1"/>
      <c r="C482" s="107"/>
      <c r="D482" s="107"/>
      <c r="E482" s="107"/>
      <c r="F482" s="107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>
      <c r="A483" s="1"/>
      <c r="B483" s="1"/>
      <c r="C483" s="107"/>
      <c r="D483" s="107"/>
      <c r="E483" s="107"/>
      <c r="F483" s="107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>
      <c r="A484" s="1"/>
      <c r="B484" s="1"/>
      <c r="C484" s="107"/>
      <c r="D484" s="107"/>
      <c r="E484" s="107"/>
      <c r="F484" s="107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>
      <c r="A485" s="1"/>
      <c r="B485" s="1"/>
      <c r="C485" s="107"/>
      <c r="D485" s="107"/>
      <c r="E485" s="107"/>
      <c r="F485" s="107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>
      <c r="A486" s="1"/>
      <c r="B486" s="1"/>
      <c r="C486" s="107"/>
      <c r="D486" s="107"/>
      <c r="E486" s="107"/>
      <c r="F486" s="107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>
      <c r="A487" s="1"/>
      <c r="B487" s="1"/>
      <c r="C487" s="107"/>
      <c r="D487" s="107"/>
      <c r="E487" s="107"/>
      <c r="F487" s="107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>
      <c r="A488" s="1"/>
      <c r="B488" s="1"/>
      <c r="C488" s="107"/>
      <c r="D488" s="107"/>
      <c r="E488" s="107"/>
      <c r="F488" s="107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>
      <c r="A489" s="1"/>
      <c r="B489" s="1"/>
      <c r="C489" s="107"/>
      <c r="D489" s="107"/>
      <c r="E489" s="107"/>
      <c r="F489" s="107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>
      <c r="A490" s="1"/>
      <c r="B490" s="1"/>
      <c r="C490" s="107"/>
      <c r="D490" s="107"/>
      <c r="E490" s="107"/>
      <c r="F490" s="107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>
      <c r="A491" s="1"/>
      <c r="B491" s="1"/>
      <c r="C491" s="107"/>
      <c r="D491" s="107"/>
      <c r="E491" s="107"/>
      <c r="F491" s="107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>
      <c r="A492" s="1"/>
      <c r="B492" s="1"/>
      <c r="C492" s="107"/>
      <c r="D492" s="107"/>
      <c r="E492" s="107"/>
      <c r="F492" s="107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>
      <c r="A493" s="1"/>
      <c r="B493" s="1"/>
      <c r="C493" s="107"/>
      <c r="D493" s="107"/>
      <c r="E493" s="107"/>
      <c r="F493" s="107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>
      <c r="A494" s="1"/>
      <c r="B494" s="1"/>
      <c r="C494" s="107"/>
      <c r="D494" s="107"/>
      <c r="E494" s="107"/>
      <c r="F494" s="107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>
      <c r="A495" s="1"/>
      <c r="B495" s="1"/>
      <c r="C495" s="107"/>
      <c r="D495" s="107"/>
      <c r="E495" s="107"/>
      <c r="F495" s="107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>
      <c r="A496" s="1"/>
      <c r="B496" s="1"/>
      <c r="C496" s="107"/>
      <c r="D496" s="107"/>
      <c r="E496" s="107"/>
      <c r="F496" s="107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>
      <c r="A497" s="1"/>
      <c r="B497" s="1"/>
      <c r="C497" s="107"/>
      <c r="D497" s="107"/>
      <c r="E497" s="107"/>
      <c r="F497" s="107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>
      <c r="A498" s="1"/>
      <c r="B498" s="1"/>
      <c r="C498" s="107"/>
      <c r="D498" s="107"/>
      <c r="E498" s="107"/>
      <c r="F498" s="107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>
      <c r="A499" s="1"/>
      <c r="B499" s="1"/>
      <c r="C499" s="107"/>
      <c r="D499" s="107"/>
      <c r="E499" s="107"/>
      <c r="F499" s="107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>
      <c r="A500" s="1"/>
      <c r="B500" s="1"/>
      <c r="C500" s="107"/>
      <c r="D500" s="107"/>
      <c r="E500" s="107"/>
      <c r="F500" s="107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>
      <c r="A501" s="1"/>
      <c r="B501" s="1"/>
      <c r="C501" s="107"/>
      <c r="D501" s="107"/>
      <c r="E501" s="107"/>
      <c r="F501" s="107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>
      <c r="A502" s="1"/>
      <c r="B502" s="1"/>
      <c r="C502" s="107"/>
      <c r="D502" s="107"/>
      <c r="E502" s="107"/>
      <c r="F502" s="107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>
      <c r="A503" s="1"/>
      <c r="B503" s="1"/>
      <c r="C503" s="107"/>
      <c r="D503" s="107"/>
      <c r="E503" s="107"/>
      <c r="F503" s="107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>
      <c r="A504" s="1"/>
      <c r="B504" s="1"/>
      <c r="C504" s="107"/>
      <c r="D504" s="107"/>
      <c r="E504" s="107"/>
      <c r="F504" s="107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>
      <c r="A505" s="1"/>
      <c r="B505" s="1"/>
      <c r="C505" s="107"/>
      <c r="D505" s="107"/>
      <c r="E505" s="107"/>
      <c r="F505" s="107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>
      <c r="A506" s="1"/>
      <c r="B506" s="1"/>
      <c r="C506" s="107"/>
      <c r="D506" s="107"/>
      <c r="E506" s="107"/>
      <c r="F506" s="107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>
      <c r="A507" s="1"/>
      <c r="B507" s="1"/>
      <c r="C507" s="107"/>
      <c r="D507" s="107"/>
      <c r="E507" s="107"/>
      <c r="F507" s="107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>
      <c r="A508" s="1"/>
      <c r="B508" s="1"/>
      <c r="C508" s="107"/>
      <c r="D508" s="107"/>
      <c r="E508" s="107"/>
      <c r="F508" s="107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>
      <c r="A509" s="1"/>
      <c r="B509" s="1"/>
      <c r="C509" s="107"/>
      <c r="D509" s="107"/>
      <c r="E509" s="107"/>
      <c r="F509" s="107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>
      <c r="A510" s="1"/>
      <c r="B510" s="1"/>
      <c r="C510" s="107"/>
      <c r="D510" s="107"/>
      <c r="E510" s="107"/>
      <c r="F510" s="107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>
      <c r="A511" s="1"/>
      <c r="B511" s="1"/>
      <c r="C511" s="107"/>
      <c r="D511" s="107"/>
      <c r="E511" s="107"/>
      <c r="F511" s="107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>
      <c r="A512" s="1"/>
      <c r="B512" s="1"/>
      <c r="C512" s="107"/>
      <c r="D512" s="107"/>
      <c r="E512" s="107"/>
      <c r="F512" s="107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>
      <c r="A513" s="1"/>
      <c r="B513" s="1"/>
      <c r="C513" s="107"/>
      <c r="D513" s="107"/>
      <c r="E513" s="107"/>
      <c r="F513" s="107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>
      <c r="A514" s="1"/>
      <c r="B514" s="1"/>
      <c r="C514" s="107"/>
      <c r="D514" s="107"/>
      <c r="E514" s="107"/>
      <c r="F514" s="107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>
      <c r="A515" s="1"/>
      <c r="B515" s="1"/>
      <c r="C515" s="107"/>
      <c r="D515" s="107"/>
      <c r="E515" s="107"/>
      <c r="F515" s="107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>
      <c r="A516" s="1"/>
      <c r="B516" s="1"/>
      <c r="C516" s="107"/>
      <c r="D516" s="107"/>
      <c r="E516" s="107"/>
      <c r="F516" s="107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>
      <c r="A517" s="1"/>
      <c r="B517" s="1"/>
      <c r="C517" s="107"/>
      <c r="D517" s="107"/>
      <c r="E517" s="107"/>
      <c r="F517" s="107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>
      <c r="A518" s="1"/>
      <c r="B518" s="1"/>
      <c r="C518" s="107"/>
      <c r="D518" s="107"/>
      <c r="E518" s="107"/>
      <c r="F518" s="107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>
      <c r="A519" s="1"/>
      <c r="B519" s="1"/>
      <c r="C519" s="107"/>
      <c r="D519" s="107"/>
      <c r="E519" s="107"/>
      <c r="F519" s="107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>
      <c r="A520" s="1"/>
      <c r="B520" s="1"/>
      <c r="C520" s="107"/>
      <c r="D520" s="107"/>
      <c r="E520" s="107"/>
      <c r="F520" s="107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>
      <c r="A521" s="1"/>
      <c r="B521" s="1"/>
      <c r="C521" s="107"/>
      <c r="D521" s="107"/>
      <c r="E521" s="107"/>
      <c r="F521" s="107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>
      <c r="A522" s="1"/>
      <c r="B522" s="1"/>
      <c r="C522" s="107"/>
      <c r="D522" s="107"/>
      <c r="E522" s="107"/>
      <c r="F522" s="107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>
      <c r="A523" s="1"/>
      <c r="B523" s="1"/>
      <c r="C523" s="107"/>
      <c r="D523" s="107"/>
      <c r="E523" s="107"/>
      <c r="F523" s="107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>
      <c r="A524" s="1"/>
      <c r="B524" s="1"/>
      <c r="C524" s="107"/>
      <c r="D524" s="107"/>
      <c r="E524" s="107"/>
      <c r="F524" s="107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>
      <c r="A525" s="1"/>
      <c r="B525" s="1"/>
      <c r="C525" s="107"/>
      <c r="D525" s="107"/>
      <c r="E525" s="107"/>
      <c r="F525" s="107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>
      <c r="A526" s="1"/>
      <c r="B526" s="1"/>
      <c r="C526" s="107"/>
      <c r="D526" s="107"/>
      <c r="E526" s="107"/>
      <c r="F526" s="107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>
      <c r="A527" s="1"/>
      <c r="B527" s="1"/>
      <c r="C527" s="107"/>
      <c r="D527" s="107"/>
      <c r="E527" s="107"/>
      <c r="F527" s="107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>
      <c r="A528" s="1"/>
      <c r="B528" s="1"/>
      <c r="C528" s="107"/>
      <c r="D528" s="107"/>
      <c r="E528" s="107"/>
      <c r="F528" s="107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>
      <c r="A529" s="1"/>
      <c r="B529" s="1"/>
      <c r="C529" s="107"/>
      <c r="D529" s="107"/>
      <c r="E529" s="107"/>
      <c r="F529" s="107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>
      <c r="A530" s="1"/>
      <c r="B530" s="1"/>
      <c r="C530" s="107"/>
      <c r="D530" s="107"/>
      <c r="E530" s="107"/>
      <c r="F530" s="107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>
      <c r="A531" s="1"/>
      <c r="B531" s="1"/>
      <c r="C531" s="107"/>
      <c r="D531" s="107"/>
      <c r="E531" s="107"/>
      <c r="F531" s="107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>
      <c r="A532" s="1"/>
      <c r="B532" s="1"/>
      <c r="C532" s="107"/>
      <c r="D532" s="107"/>
      <c r="E532" s="107"/>
      <c r="F532" s="107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>
      <c r="A533" s="1"/>
      <c r="B533" s="1"/>
      <c r="C533" s="107"/>
      <c r="D533" s="107"/>
      <c r="E533" s="107"/>
      <c r="F533" s="107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>
      <c r="A534" s="1"/>
      <c r="B534" s="1"/>
      <c r="C534" s="107"/>
      <c r="D534" s="107"/>
      <c r="E534" s="107"/>
      <c r="F534" s="107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>
      <c r="A535" s="1"/>
      <c r="B535" s="1"/>
      <c r="C535" s="107"/>
      <c r="D535" s="107"/>
      <c r="E535" s="107"/>
      <c r="F535" s="107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>
      <c r="A536" s="1"/>
      <c r="B536" s="1"/>
      <c r="C536" s="107"/>
      <c r="D536" s="107"/>
      <c r="E536" s="107"/>
      <c r="F536" s="107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>
      <c r="A537" s="1"/>
      <c r="B537" s="1"/>
      <c r="C537" s="107"/>
      <c r="D537" s="107"/>
      <c r="E537" s="107"/>
      <c r="F537" s="107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>
      <c r="A538" s="1"/>
      <c r="B538" s="1"/>
      <c r="C538" s="107"/>
      <c r="D538" s="107"/>
      <c r="E538" s="107"/>
      <c r="F538" s="107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>
      <c r="A539" s="1"/>
      <c r="B539" s="1"/>
      <c r="C539" s="107"/>
      <c r="D539" s="107"/>
      <c r="E539" s="107"/>
      <c r="F539" s="107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>
      <c r="A540" s="1"/>
      <c r="B540" s="1"/>
      <c r="C540" s="107"/>
      <c r="D540" s="107"/>
      <c r="E540" s="107"/>
      <c r="F540" s="107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>
      <c r="A541" s="1"/>
      <c r="B541" s="1"/>
      <c r="C541" s="107"/>
      <c r="D541" s="107"/>
      <c r="E541" s="107"/>
      <c r="F541" s="107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>
      <c r="A542" s="1"/>
      <c r="B542" s="1"/>
      <c r="C542" s="107"/>
      <c r="D542" s="107"/>
      <c r="E542" s="107"/>
      <c r="F542" s="107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>
      <c r="A543" s="1"/>
      <c r="B543" s="1"/>
      <c r="C543" s="107"/>
      <c r="D543" s="107"/>
      <c r="E543" s="107"/>
      <c r="F543" s="107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>
      <c r="A544" s="1"/>
      <c r="B544" s="1"/>
      <c r="C544" s="107"/>
      <c r="D544" s="107"/>
      <c r="E544" s="107"/>
      <c r="F544" s="107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>
      <c r="A545" s="1"/>
      <c r="B545" s="1"/>
      <c r="C545" s="107"/>
      <c r="D545" s="107"/>
      <c r="E545" s="107"/>
      <c r="F545" s="107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>
      <c r="A546" s="1"/>
      <c r="B546" s="1"/>
      <c r="C546" s="107"/>
      <c r="D546" s="107"/>
      <c r="E546" s="107"/>
      <c r="F546" s="107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>
      <c r="A547" s="1"/>
      <c r="B547" s="1"/>
      <c r="C547" s="107"/>
      <c r="D547" s="107"/>
      <c r="E547" s="107"/>
      <c r="F547" s="107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>
      <c r="A548" s="1"/>
      <c r="B548" s="1"/>
      <c r="C548" s="107"/>
      <c r="D548" s="107"/>
      <c r="E548" s="107"/>
      <c r="F548" s="107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>
      <c r="A549" s="1"/>
      <c r="B549" s="1"/>
      <c r="C549" s="107"/>
      <c r="D549" s="107"/>
      <c r="E549" s="107"/>
      <c r="F549" s="107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>
      <c r="A550" s="1"/>
      <c r="B550" s="1"/>
      <c r="C550" s="107"/>
      <c r="D550" s="107"/>
      <c r="E550" s="107"/>
      <c r="F550" s="107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>
      <c r="A551" s="1"/>
      <c r="B551" s="1"/>
      <c r="C551" s="107"/>
      <c r="D551" s="107"/>
      <c r="E551" s="107"/>
      <c r="F551" s="107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>
      <c r="A552" s="1"/>
      <c r="B552" s="1"/>
      <c r="C552" s="107"/>
      <c r="D552" s="107"/>
      <c r="E552" s="107"/>
      <c r="F552" s="107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>
      <c r="A553" s="1"/>
      <c r="B553" s="1"/>
      <c r="C553" s="107"/>
      <c r="D553" s="107"/>
      <c r="E553" s="107"/>
      <c r="F553" s="107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>
      <c r="A554" s="1"/>
      <c r="B554" s="1"/>
      <c r="C554" s="107"/>
      <c r="D554" s="107"/>
      <c r="E554" s="107"/>
      <c r="F554" s="107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>
      <c r="A555" s="1"/>
      <c r="B555" s="1"/>
      <c r="C555" s="107"/>
      <c r="D555" s="107"/>
      <c r="E555" s="107"/>
      <c r="F555" s="107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>
      <c r="A556" s="1"/>
      <c r="B556" s="1"/>
      <c r="C556" s="107"/>
      <c r="D556" s="107"/>
      <c r="E556" s="107"/>
      <c r="F556" s="107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>
      <c r="A557" s="1"/>
      <c r="B557" s="1"/>
      <c r="C557" s="107"/>
      <c r="D557" s="107"/>
      <c r="E557" s="107"/>
      <c r="F557" s="107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>
      <c r="A558" s="1"/>
      <c r="B558" s="1"/>
      <c r="C558" s="107"/>
      <c r="D558" s="107"/>
      <c r="E558" s="107"/>
      <c r="F558" s="107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>
      <c r="A559" s="1"/>
      <c r="B559" s="1"/>
      <c r="C559" s="107"/>
      <c r="D559" s="107"/>
      <c r="E559" s="107"/>
      <c r="F559" s="107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>
      <c r="A560" s="1"/>
      <c r="B560" s="1"/>
      <c r="C560" s="107"/>
      <c r="D560" s="107"/>
      <c r="E560" s="107"/>
      <c r="F560" s="107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>
      <c r="A561" s="1"/>
      <c r="B561" s="1"/>
      <c r="C561" s="107"/>
      <c r="D561" s="107"/>
      <c r="E561" s="107"/>
      <c r="F561" s="107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>
      <c r="A562" s="1"/>
      <c r="B562" s="1"/>
      <c r="C562" s="107"/>
      <c r="D562" s="107"/>
      <c r="E562" s="107"/>
      <c r="F562" s="107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>
      <c r="A563" s="1"/>
      <c r="B563" s="1"/>
      <c r="C563" s="107"/>
      <c r="D563" s="107"/>
      <c r="E563" s="107"/>
      <c r="F563" s="107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>
      <c r="A564" s="1"/>
      <c r="B564" s="1"/>
      <c r="C564" s="107"/>
      <c r="D564" s="107"/>
      <c r="E564" s="107"/>
      <c r="F564" s="107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>
      <c r="A565" s="1"/>
      <c r="B565" s="1"/>
      <c r="C565" s="107"/>
      <c r="D565" s="107"/>
      <c r="E565" s="107"/>
      <c r="F565" s="107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>
      <c r="A566" s="1"/>
      <c r="B566" s="1"/>
      <c r="C566" s="107"/>
      <c r="D566" s="107"/>
      <c r="E566" s="107"/>
      <c r="F566" s="107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>
      <c r="A567" s="1"/>
      <c r="B567" s="1"/>
      <c r="C567" s="107"/>
      <c r="D567" s="107"/>
      <c r="E567" s="107"/>
      <c r="F567" s="107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>
      <c r="A568" s="1"/>
      <c r="B568" s="1"/>
      <c r="C568" s="107"/>
      <c r="D568" s="107"/>
      <c r="E568" s="107"/>
      <c r="F568" s="107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>
      <c r="A569" s="1"/>
      <c r="B569" s="1"/>
      <c r="C569" s="107"/>
      <c r="D569" s="107"/>
      <c r="E569" s="107"/>
      <c r="F569" s="107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>
      <c r="A570" s="1"/>
      <c r="B570" s="1"/>
      <c r="C570" s="107"/>
      <c r="D570" s="107"/>
      <c r="E570" s="107"/>
      <c r="F570" s="107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>
      <c r="A571" s="1"/>
      <c r="B571" s="1"/>
      <c r="C571" s="107"/>
      <c r="D571" s="107"/>
      <c r="E571" s="107"/>
      <c r="F571" s="107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>
      <c r="A572" s="1"/>
      <c r="B572" s="1"/>
      <c r="C572" s="107"/>
      <c r="D572" s="107"/>
      <c r="E572" s="107"/>
      <c r="F572" s="107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>
      <c r="A573" s="1"/>
      <c r="B573" s="1"/>
      <c r="C573" s="107"/>
      <c r="D573" s="107"/>
      <c r="E573" s="107"/>
      <c r="F573" s="107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>
      <c r="A574" s="1"/>
      <c r="B574" s="1"/>
      <c r="C574" s="107"/>
      <c r="D574" s="107"/>
      <c r="E574" s="107"/>
      <c r="F574" s="107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>
      <c r="A575" s="1"/>
      <c r="B575" s="1"/>
      <c r="C575" s="107"/>
      <c r="D575" s="107"/>
      <c r="E575" s="107"/>
      <c r="F575" s="107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>
      <c r="A576" s="1"/>
      <c r="B576" s="1"/>
      <c r="C576" s="107"/>
      <c r="D576" s="107"/>
      <c r="E576" s="107"/>
      <c r="F576" s="107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>
      <c r="A577" s="1"/>
      <c r="B577" s="1"/>
      <c r="C577" s="107"/>
      <c r="D577" s="107"/>
      <c r="E577" s="107"/>
      <c r="F577" s="107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>
      <c r="A578" s="1"/>
      <c r="B578" s="1"/>
      <c r="C578" s="107"/>
      <c r="D578" s="107"/>
      <c r="E578" s="107"/>
      <c r="F578" s="107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>
      <c r="A579" s="1"/>
      <c r="B579" s="1"/>
      <c r="C579" s="107"/>
      <c r="D579" s="107"/>
      <c r="E579" s="107"/>
      <c r="F579" s="107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>
      <c r="A580" s="1"/>
      <c r="B580" s="1"/>
      <c r="C580" s="107"/>
      <c r="D580" s="107"/>
      <c r="E580" s="107"/>
      <c r="F580" s="107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>
      <c r="A581" s="1"/>
      <c r="B581" s="1"/>
      <c r="C581" s="107"/>
      <c r="D581" s="107"/>
      <c r="E581" s="107"/>
      <c r="F581" s="107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>
      <c r="A582" s="1"/>
      <c r="B582" s="1"/>
      <c r="C582" s="107"/>
      <c r="D582" s="107"/>
      <c r="E582" s="107"/>
      <c r="F582" s="107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>
      <c r="A583" s="1"/>
      <c r="B583" s="1"/>
      <c r="C583" s="107"/>
      <c r="D583" s="107"/>
      <c r="E583" s="107"/>
      <c r="F583" s="107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>
      <c r="A584" s="1"/>
      <c r="B584" s="1"/>
      <c r="C584" s="107"/>
      <c r="D584" s="107"/>
      <c r="E584" s="107"/>
      <c r="F584" s="107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>
      <c r="A585" s="1"/>
      <c r="B585" s="1"/>
      <c r="C585" s="107"/>
      <c r="D585" s="107"/>
      <c r="E585" s="107"/>
      <c r="F585" s="107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>
      <c r="A586" s="1"/>
      <c r="B586" s="1"/>
      <c r="C586" s="107"/>
      <c r="D586" s="107"/>
      <c r="E586" s="107"/>
      <c r="F586" s="107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>
      <c r="A587" s="1"/>
      <c r="B587" s="1"/>
      <c r="C587" s="107"/>
      <c r="D587" s="107"/>
      <c r="E587" s="107"/>
      <c r="F587" s="107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>
      <c r="A588" s="1"/>
      <c r="B588" s="1"/>
      <c r="C588" s="107"/>
      <c r="D588" s="107"/>
      <c r="E588" s="107"/>
      <c r="F588" s="107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>
      <c r="A589" s="1"/>
      <c r="B589" s="1"/>
      <c r="C589" s="107"/>
      <c r="D589" s="107"/>
      <c r="E589" s="107"/>
      <c r="F589" s="107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>
      <c r="A590" s="1"/>
      <c r="B590" s="1"/>
      <c r="C590" s="107"/>
      <c r="D590" s="107"/>
      <c r="E590" s="107"/>
      <c r="F590" s="107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>
      <c r="A591" s="1"/>
      <c r="B591" s="1"/>
      <c r="C591" s="107"/>
      <c r="D591" s="107"/>
      <c r="E591" s="107"/>
      <c r="F591" s="107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>
      <c r="A592" s="1"/>
      <c r="B592" s="1"/>
      <c r="C592" s="107"/>
      <c r="D592" s="107"/>
      <c r="E592" s="107"/>
      <c r="F592" s="107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>
      <c r="A593" s="1"/>
      <c r="B593" s="1"/>
      <c r="C593" s="107"/>
      <c r="D593" s="107"/>
      <c r="E593" s="107"/>
      <c r="F593" s="107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>
      <c r="A594" s="1"/>
      <c r="B594" s="1"/>
      <c r="C594" s="107"/>
      <c r="D594" s="107"/>
      <c r="E594" s="107"/>
      <c r="F594" s="107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>
      <c r="A595" s="1"/>
      <c r="B595" s="1"/>
      <c r="C595" s="107"/>
      <c r="D595" s="107"/>
      <c r="E595" s="107"/>
      <c r="F595" s="107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>
      <c r="A596" s="1"/>
      <c r="B596" s="1"/>
      <c r="C596" s="107"/>
      <c r="D596" s="107"/>
      <c r="E596" s="107"/>
      <c r="F596" s="107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>
      <c r="A597" s="1"/>
      <c r="B597" s="1"/>
      <c r="C597" s="107"/>
      <c r="D597" s="107"/>
      <c r="E597" s="107"/>
      <c r="F597" s="107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>
      <c r="A598" s="1"/>
      <c r="B598" s="1"/>
      <c r="C598" s="107"/>
      <c r="D598" s="107"/>
      <c r="E598" s="107"/>
      <c r="F598" s="107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>
      <c r="A599" s="1"/>
      <c r="B599" s="1"/>
      <c r="C599" s="107"/>
      <c r="D599" s="107"/>
      <c r="E599" s="107"/>
      <c r="F599" s="107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>
      <c r="A600" s="1"/>
      <c r="B600" s="1"/>
      <c r="C600" s="107"/>
      <c r="D600" s="107"/>
      <c r="E600" s="107"/>
      <c r="F600" s="107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>
      <c r="A601" s="1"/>
      <c r="B601" s="1"/>
      <c r="C601" s="107"/>
      <c r="D601" s="107"/>
      <c r="E601" s="107"/>
      <c r="F601" s="107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>
      <c r="A602" s="1"/>
      <c r="B602" s="1"/>
      <c r="C602" s="107"/>
      <c r="D602" s="107"/>
      <c r="E602" s="107"/>
      <c r="F602" s="107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>
      <c r="A603" s="1"/>
      <c r="B603" s="1"/>
      <c r="C603" s="107"/>
      <c r="D603" s="107"/>
      <c r="E603" s="107"/>
      <c r="F603" s="107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>
      <c r="A604" s="1"/>
      <c r="B604" s="1"/>
      <c r="C604" s="107"/>
      <c r="D604" s="107"/>
      <c r="E604" s="107"/>
      <c r="F604" s="107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>
      <c r="A605" s="1"/>
      <c r="B605" s="1"/>
      <c r="C605" s="107"/>
      <c r="D605" s="107"/>
      <c r="E605" s="107"/>
      <c r="F605" s="107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>
      <c r="A606" s="1"/>
      <c r="B606" s="1"/>
      <c r="C606" s="107"/>
      <c r="D606" s="107"/>
      <c r="E606" s="107"/>
      <c r="F606" s="107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>
      <c r="A607" s="1"/>
      <c r="B607" s="1"/>
      <c r="C607" s="107"/>
      <c r="D607" s="107"/>
      <c r="E607" s="107"/>
      <c r="F607" s="107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>
      <c r="A608" s="1"/>
      <c r="B608" s="1"/>
      <c r="C608" s="107"/>
      <c r="D608" s="107"/>
      <c r="E608" s="107"/>
      <c r="F608" s="107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>
      <c r="A609" s="1"/>
      <c r="B609" s="1"/>
      <c r="C609" s="107"/>
      <c r="D609" s="107"/>
      <c r="E609" s="107"/>
      <c r="F609" s="107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>
      <c r="A610" s="1"/>
      <c r="B610" s="1"/>
      <c r="C610" s="107"/>
      <c r="D610" s="107"/>
      <c r="E610" s="107"/>
      <c r="F610" s="107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>
      <c r="A611" s="1"/>
      <c r="B611" s="1"/>
      <c r="C611" s="107"/>
      <c r="D611" s="107"/>
      <c r="E611" s="107"/>
      <c r="F611" s="107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>
      <c r="A612" s="1"/>
      <c r="B612" s="1"/>
      <c r="C612" s="107"/>
      <c r="D612" s="107"/>
      <c r="E612" s="107"/>
      <c r="F612" s="107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>
      <c r="A613" s="1"/>
      <c r="B613" s="1"/>
      <c r="C613" s="107"/>
      <c r="D613" s="107"/>
      <c r="E613" s="107"/>
      <c r="F613" s="107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>
      <c r="A614" s="1"/>
      <c r="B614" s="1"/>
      <c r="C614" s="107"/>
      <c r="D614" s="107"/>
      <c r="E614" s="107"/>
      <c r="F614" s="107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>
      <c r="A615" s="1"/>
      <c r="B615" s="1"/>
      <c r="C615" s="107"/>
      <c r="D615" s="107"/>
      <c r="E615" s="107"/>
      <c r="F615" s="107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>
      <c r="A616" s="1"/>
      <c r="B616" s="1"/>
      <c r="C616" s="107"/>
      <c r="D616" s="107"/>
      <c r="E616" s="107"/>
      <c r="F616" s="107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>
      <c r="A617" s="1"/>
      <c r="B617" s="1"/>
      <c r="C617" s="107"/>
      <c r="D617" s="107"/>
      <c r="E617" s="107"/>
      <c r="F617" s="107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>
      <c r="A618" s="1"/>
      <c r="B618" s="1"/>
      <c r="C618" s="107"/>
      <c r="D618" s="107"/>
      <c r="E618" s="107"/>
      <c r="F618" s="107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>
      <c r="A619" s="1"/>
      <c r="B619" s="1"/>
      <c r="C619" s="107"/>
      <c r="D619" s="107"/>
      <c r="E619" s="107"/>
      <c r="F619" s="107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>
      <c r="A620" s="1"/>
      <c r="B620" s="1"/>
      <c r="C620" s="107"/>
      <c r="D620" s="107"/>
      <c r="E620" s="107"/>
      <c r="F620" s="107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>
      <c r="A621" s="1"/>
      <c r="B621" s="1"/>
      <c r="C621" s="107"/>
      <c r="D621" s="107"/>
      <c r="E621" s="107"/>
      <c r="F621" s="107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>
      <c r="A622" s="1"/>
      <c r="B622" s="1"/>
      <c r="C622" s="107"/>
      <c r="D622" s="107"/>
      <c r="E622" s="107"/>
      <c r="F622" s="107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>
      <c r="A623" s="1"/>
      <c r="B623" s="1"/>
      <c r="C623" s="107"/>
      <c r="D623" s="107"/>
      <c r="E623" s="107"/>
      <c r="F623" s="107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>
      <c r="A624" s="1"/>
      <c r="B624" s="1"/>
      <c r="C624" s="107"/>
      <c r="D624" s="107"/>
      <c r="E624" s="107"/>
      <c r="F624" s="107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>
      <c r="A625" s="1"/>
      <c r="B625" s="1"/>
      <c r="C625" s="107"/>
      <c r="D625" s="107"/>
      <c r="E625" s="107"/>
      <c r="F625" s="107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>
      <c r="A626" s="1"/>
      <c r="B626" s="1"/>
      <c r="C626" s="107"/>
      <c r="D626" s="107"/>
      <c r="E626" s="107"/>
      <c r="F626" s="107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>
      <c r="A627" s="1"/>
      <c r="B627" s="1"/>
      <c r="C627" s="107"/>
      <c r="D627" s="107"/>
      <c r="E627" s="107"/>
      <c r="F627" s="107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>
      <c r="A628" s="1"/>
      <c r="B628" s="1"/>
      <c r="C628" s="107"/>
      <c r="D628" s="107"/>
      <c r="E628" s="107"/>
      <c r="F628" s="107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>
      <c r="A629" s="1"/>
      <c r="B629" s="1"/>
      <c r="C629" s="107"/>
      <c r="D629" s="107"/>
      <c r="E629" s="107"/>
      <c r="F629" s="107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>
      <c r="A630" s="1"/>
      <c r="B630" s="1"/>
      <c r="C630" s="107"/>
      <c r="D630" s="107"/>
      <c r="E630" s="107"/>
      <c r="F630" s="107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>
      <c r="A631" s="1"/>
      <c r="B631" s="1"/>
      <c r="C631" s="107"/>
      <c r="D631" s="107"/>
      <c r="E631" s="107"/>
      <c r="F631" s="107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>
      <c r="A632" s="1"/>
      <c r="B632" s="1"/>
      <c r="C632" s="107"/>
      <c r="D632" s="107"/>
      <c r="E632" s="107"/>
      <c r="F632" s="107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>
      <c r="A633" s="1"/>
      <c r="B633" s="1"/>
      <c r="C633" s="107"/>
      <c r="D633" s="107"/>
      <c r="E633" s="107"/>
      <c r="F633" s="107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>
      <c r="A634" s="1"/>
      <c r="B634" s="1"/>
      <c r="C634" s="107"/>
      <c r="D634" s="107"/>
      <c r="E634" s="107"/>
      <c r="F634" s="107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>
      <c r="A635" s="1"/>
      <c r="B635" s="1"/>
      <c r="C635" s="107"/>
      <c r="D635" s="107"/>
      <c r="E635" s="107"/>
      <c r="F635" s="107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>
      <c r="A636" s="1"/>
      <c r="B636" s="1"/>
      <c r="C636" s="107"/>
      <c r="D636" s="107"/>
      <c r="E636" s="107"/>
      <c r="F636" s="107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>
      <c r="A637" s="1"/>
      <c r="B637" s="1"/>
      <c r="C637" s="107"/>
      <c r="D637" s="107"/>
      <c r="E637" s="107"/>
      <c r="F637" s="107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>
      <c r="A638" s="1"/>
      <c r="B638" s="1"/>
      <c r="C638" s="107"/>
      <c r="D638" s="107"/>
      <c r="E638" s="107"/>
      <c r="F638" s="107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>
      <c r="A639" s="1"/>
      <c r="B639" s="1"/>
      <c r="C639" s="107"/>
      <c r="D639" s="107"/>
      <c r="E639" s="107"/>
      <c r="F639" s="107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>
      <c r="A640" s="1"/>
      <c r="B640" s="1"/>
      <c r="C640" s="107"/>
      <c r="D640" s="107"/>
      <c r="E640" s="107"/>
      <c r="F640" s="107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>
      <c r="A641" s="1"/>
      <c r="B641" s="1"/>
      <c r="C641" s="107"/>
      <c r="D641" s="107"/>
      <c r="E641" s="107"/>
      <c r="F641" s="107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>
      <c r="A642" s="1"/>
      <c r="B642" s="1"/>
      <c r="C642" s="107"/>
      <c r="D642" s="107"/>
      <c r="E642" s="107"/>
      <c r="F642" s="107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>
      <c r="A643" s="1"/>
      <c r="B643" s="1"/>
      <c r="C643" s="107"/>
      <c r="D643" s="107"/>
      <c r="E643" s="107"/>
      <c r="F643" s="107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>
      <c r="A644" s="1"/>
      <c r="B644" s="1"/>
      <c r="C644" s="107"/>
      <c r="D644" s="107"/>
      <c r="E644" s="107"/>
      <c r="F644" s="107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>
      <c r="A645" s="1"/>
      <c r="B645" s="1"/>
      <c r="C645" s="107"/>
      <c r="D645" s="107"/>
      <c r="E645" s="107"/>
      <c r="F645" s="107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>
      <c r="A646" s="1"/>
      <c r="B646" s="1"/>
      <c r="C646" s="107"/>
      <c r="D646" s="107"/>
      <c r="E646" s="107"/>
      <c r="F646" s="107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>
      <c r="A647" s="1"/>
      <c r="B647" s="1"/>
      <c r="C647" s="107"/>
      <c r="D647" s="107"/>
      <c r="E647" s="107"/>
      <c r="F647" s="107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>
      <c r="A648" s="1"/>
      <c r="B648" s="1"/>
      <c r="C648" s="107"/>
      <c r="D648" s="107"/>
      <c r="E648" s="107"/>
      <c r="F648" s="107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>
      <c r="A649" s="1"/>
      <c r="B649" s="1"/>
      <c r="C649" s="107"/>
      <c r="D649" s="107"/>
      <c r="E649" s="107"/>
      <c r="F649" s="107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>
      <c r="A650" s="1"/>
      <c r="B650" s="1"/>
      <c r="C650" s="107"/>
      <c r="D650" s="107"/>
      <c r="E650" s="107"/>
      <c r="F650" s="107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>
      <c r="A651" s="1"/>
      <c r="B651" s="1"/>
      <c r="C651" s="107"/>
      <c r="D651" s="107"/>
      <c r="E651" s="107"/>
      <c r="F651" s="107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>
      <c r="A652" s="1"/>
      <c r="B652" s="1"/>
      <c r="C652" s="107"/>
      <c r="D652" s="107"/>
      <c r="E652" s="107"/>
      <c r="F652" s="107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>
      <c r="A653" s="1"/>
      <c r="B653" s="1"/>
      <c r="C653" s="107"/>
      <c r="D653" s="107"/>
      <c r="E653" s="107"/>
      <c r="F653" s="107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>
      <c r="A654" s="1"/>
      <c r="B654" s="1"/>
      <c r="C654" s="107"/>
      <c r="D654" s="107"/>
      <c r="E654" s="107"/>
      <c r="F654" s="107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>
      <c r="A655" s="1"/>
      <c r="B655" s="1"/>
      <c r="C655" s="107"/>
      <c r="D655" s="107"/>
      <c r="E655" s="107"/>
      <c r="F655" s="107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>
      <c r="A656" s="1"/>
      <c r="B656" s="1"/>
      <c r="C656" s="107"/>
      <c r="D656" s="107"/>
      <c r="E656" s="107"/>
      <c r="F656" s="107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>
      <c r="A657" s="1"/>
      <c r="B657" s="1"/>
      <c r="C657" s="107"/>
      <c r="D657" s="107"/>
      <c r="E657" s="107"/>
      <c r="F657" s="107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>
      <c r="A658" s="1"/>
      <c r="B658" s="1"/>
      <c r="C658" s="107"/>
      <c r="D658" s="107"/>
      <c r="E658" s="107"/>
      <c r="F658" s="107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>
      <c r="A659" s="1"/>
      <c r="B659" s="1"/>
      <c r="C659" s="107"/>
      <c r="D659" s="107"/>
      <c r="E659" s="107"/>
      <c r="F659" s="107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>
      <c r="A660" s="1"/>
      <c r="B660" s="1"/>
      <c r="C660" s="107"/>
      <c r="D660" s="107"/>
      <c r="E660" s="107"/>
      <c r="F660" s="107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>
      <c r="A661" s="1"/>
      <c r="B661" s="1"/>
      <c r="C661" s="107"/>
      <c r="D661" s="107"/>
      <c r="E661" s="107"/>
      <c r="F661" s="107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>
      <c r="A662" s="1"/>
      <c r="B662" s="1"/>
      <c r="C662" s="107"/>
      <c r="D662" s="107"/>
      <c r="E662" s="107"/>
      <c r="F662" s="107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>
      <c r="A663" s="1"/>
      <c r="B663" s="1"/>
      <c r="C663" s="107"/>
      <c r="D663" s="107"/>
      <c r="E663" s="107"/>
      <c r="F663" s="107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>
      <c r="A664" s="1"/>
      <c r="B664" s="1"/>
      <c r="C664" s="107"/>
      <c r="D664" s="107"/>
      <c r="E664" s="107"/>
      <c r="F664" s="107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>
      <c r="A665" s="1"/>
      <c r="B665" s="1"/>
      <c r="C665" s="107"/>
      <c r="D665" s="107"/>
      <c r="E665" s="107"/>
      <c r="F665" s="107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>
      <c r="A666" s="1"/>
      <c r="B666" s="1"/>
      <c r="C666" s="107"/>
      <c r="D666" s="107"/>
      <c r="E666" s="107"/>
      <c r="F666" s="107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>
      <c r="A667" s="1"/>
      <c r="B667" s="1"/>
      <c r="C667" s="107"/>
      <c r="D667" s="107"/>
      <c r="E667" s="107"/>
      <c r="F667" s="107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>
      <c r="A668" s="1"/>
      <c r="B668" s="1"/>
      <c r="C668" s="107"/>
      <c r="D668" s="107"/>
      <c r="E668" s="107"/>
      <c r="F668" s="107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>
      <c r="A669" s="1"/>
      <c r="B669" s="1"/>
      <c r="C669" s="107"/>
      <c r="D669" s="107"/>
      <c r="E669" s="107"/>
      <c r="F669" s="107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>
      <c r="A670" s="1"/>
      <c r="B670" s="1"/>
      <c r="C670" s="107"/>
      <c r="D670" s="107"/>
      <c r="E670" s="107"/>
      <c r="F670" s="107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>
      <c r="A671" s="1"/>
      <c r="B671" s="1"/>
      <c r="C671" s="107"/>
      <c r="D671" s="107"/>
      <c r="E671" s="107"/>
      <c r="F671" s="107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>
      <c r="A672" s="1"/>
      <c r="B672" s="1"/>
      <c r="C672" s="107"/>
      <c r="D672" s="107"/>
      <c r="E672" s="107"/>
      <c r="F672" s="107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>
      <c r="A673" s="1"/>
      <c r="B673" s="1"/>
      <c r="C673" s="107"/>
      <c r="D673" s="107"/>
      <c r="E673" s="107"/>
      <c r="F673" s="107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>
      <c r="A674" s="1"/>
      <c r="B674" s="1"/>
      <c r="C674" s="107"/>
      <c r="D674" s="107"/>
      <c r="E674" s="107"/>
      <c r="F674" s="107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>
      <c r="A675" s="1"/>
      <c r="B675" s="1"/>
      <c r="C675" s="107"/>
      <c r="D675" s="107"/>
      <c r="E675" s="107"/>
      <c r="F675" s="107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>
      <c r="A676" s="1"/>
      <c r="B676" s="1"/>
      <c r="C676" s="107"/>
      <c r="D676" s="107"/>
      <c r="E676" s="107"/>
      <c r="F676" s="107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>
      <c r="A677" s="1"/>
      <c r="B677" s="1"/>
      <c r="C677" s="107"/>
      <c r="D677" s="107"/>
      <c r="E677" s="107"/>
      <c r="F677" s="107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>
      <c r="A678" s="1"/>
      <c r="B678" s="1"/>
      <c r="C678" s="107"/>
      <c r="D678" s="107"/>
      <c r="E678" s="107"/>
      <c r="F678" s="107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>
      <c r="A679" s="1"/>
      <c r="B679" s="1"/>
      <c r="C679" s="107"/>
      <c r="D679" s="107"/>
      <c r="E679" s="107"/>
      <c r="F679" s="107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>
      <c r="A680" s="1"/>
      <c r="B680" s="1"/>
      <c r="C680" s="107"/>
      <c r="D680" s="107"/>
      <c r="E680" s="107"/>
      <c r="F680" s="107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>
      <c r="A681" s="1"/>
      <c r="B681" s="1"/>
      <c r="C681" s="107"/>
      <c r="D681" s="107"/>
      <c r="E681" s="107"/>
      <c r="F681" s="107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>
      <c r="A682" s="1"/>
      <c r="B682" s="1"/>
      <c r="C682" s="107"/>
      <c r="D682" s="107"/>
      <c r="E682" s="107"/>
      <c r="F682" s="107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>
      <c r="A683" s="1"/>
      <c r="B683" s="1"/>
      <c r="C683" s="107"/>
      <c r="D683" s="107"/>
      <c r="E683" s="107"/>
      <c r="F683" s="107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>
      <c r="A684" s="1"/>
      <c r="B684" s="1"/>
      <c r="C684" s="107"/>
      <c r="D684" s="107"/>
      <c r="E684" s="107"/>
      <c r="F684" s="107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>
      <c r="A685" s="1"/>
      <c r="B685" s="1"/>
      <c r="C685" s="107"/>
      <c r="D685" s="107"/>
      <c r="E685" s="107"/>
      <c r="F685" s="107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>
      <c r="A686" s="1"/>
      <c r="B686" s="1"/>
      <c r="C686" s="107"/>
      <c r="D686" s="107"/>
      <c r="E686" s="107"/>
      <c r="F686" s="107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>
      <c r="A687" s="1"/>
      <c r="B687" s="1"/>
      <c r="C687" s="107"/>
      <c r="D687" s="107"/>
      <c r="E687" s="107"/>
      <c r="F687" s="107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>
      <c r="A688" s="1"/>
      <c r="B688" s="1"/>
      <c r="C688" s="107"/>
      <c r="D688" s="107"/>
      <c r="E688" s="107"/>
      <c r="F688" s="107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>
      <c r="A689" s="1"/>
      <c r="B689" s="1"/>
      <c r="C689" s="107"/>
      <c r="D689" s="107"/>
      <c r="E689" s="107"/>
      <c r="F689" s="107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>
      <c r="A690" s="1"/>
      <c r="B690" s="1"/>
      <c r="C690" s="107"/>
      <c r="D690" s="107"/>
      <c r="E690" s="107"/>
      <c r="F690" s="107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>
      <c r="A691" s="1"/>
      <c r="B691" s="1"/>
      <c r="C691" s="107"/>
      <c r="D691" s="107"/>
      <c r="E691" s="107"/>
      <c r="F691" s="107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>
      <c r="A692" s="1"/>
      <c r="B692" s="1"/>
      <c r="C692" s="107"/>
      <c r="D692" s="107"/>
      <c r="E692" s="107"/>
      <c r="F692" s="107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>
      <c r="A693" s="1"/>
      <c r="B693" s="1"/>
      <c r="C693" s="107"/>
      <c r="D693" s="107"/>
      <c r="E693" s="107"/>
      <c r="F693" s="107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>
      <c r="A694" s="1"/>
      <c r="B694" s="1"/>
      <c r="C694" s="107"/>
      <c r="D694" s="107"/>
      <c r="E694" s="107"/>
      <c r="F694" s="107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>
      <c r="A695" s="1"/>
      <c r="B695" s="1"/>
      <c r="C695" s="107"/>
      <c r="D695" s="107"/>
      <c r="E695" s="107"/>
      <c r="F695" s="107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>
      <c r="A696" s="1"/>
      <c r="B696" s="1"/>
      <c r="C696" s="107"/>
      <c r="D696" s="107"/>
      <c r="E696" s="107"/>
      <c r="F696" s="107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>
      <c r="A697" s="1"/>
      <c r="B697" s="1"/>
      <c r="C697" s="107"/>
      <c r="D697" s="107"/>
      <c r="E697" s="107"/>
      <c r="F697" s="107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>
      <c r="A698" s="1"/>
      <c r="B698" s="1"/>
      <c r="C698" s="107"/>
      <c r="D698" s="107"/>
      <c r="E698" s="107"/>
      <c r="F698" s="107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>
      <c r="A699" s="1"/>
      <c r="B699" s="1"/>
      <c r="C699" s="107"/>
      <c r="D699" s="107"/>
      <c r="E699" s="107"/>
      <c r="F699" s="107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>
      <c r="A700" s="1"/>
      <c r="B700" s="1"/>
      <c r="C700" s="107"/>
      <c r="D700" s="107"/>
      <c r="E700" s="107"/>
      <c r="F700" s="107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>
      <c r="A701" s="1"/>
      <c r="B701" s="1"/>
      <c r="C701" s="107"/>
      <c r="D701" s="107"/>
      <c r="E701" s="107"/>
      <c r="F701" s="107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>
      <c r="A702" s="1"/>
      <c r="B702" s="1"/>
      <c r="C702" s="107"/>
      <c r="D702" s="107"/>
      <c r="E702" s="107"/>
      <c r="F702" s="107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>
      <c r="A703" s="1"/>
      <c r="B703" s="1"/>
      <c r="C703" s="107"/>
      <c r="D703" s="107"/>
      <c r="E703" s="107"/>
      <c r="F703" s="107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>
      <c r="A704" s="1"/>
      <c r="B704" s="1"/>
      <c r="C704" s="107"/>
      <c r="D704" s="107"/>
      <c r="E704" s="107"/>
      <c r="F704" s="107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>
      <c r="A705" s="1"/>
      <c r="B705" s="1"/>
      <c r="C705" s="107"/>
      <c r="D705" s="107"/>
      <c r="E705" s="107"/>
      <c r="F705" s="107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>
      <c r="A706" s="1"/>
      <c r="B706" s="1"/>
      <c r="C706" s="107"/>
      <c r="D706" s="107"/>
      <c r="E706" s="107"/>
      <c r="F706" s="107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>
      <c r="A707" s="1"/>
      <c r="B707" s="1"/>
      <c r="C707" s="107"/>
      <c r="D707" s="107"/>
      <c r="E707" s="107"/>
      <c r="F707" s="107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>
      <c r="A708" s="1"/>
      <c r="B708" s="1"/>
      <c r="C708" s="107"/>
      <c r="D708" s="107"/>
      <c r="E708" s="107"/>
      <c r="F708" s="107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>
      <c r="A709" s="1"/>
      <c r="B709" s="1"/>
      <c r="C709" s="107"/>
      <c r="D709" s="107"/>
      <c r="E709" s="107"/>
      <c r="F709" s="107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>
      <c r="A710" s="1"/>
      <c r="B710" s="1"/>
      <c r="C710" s="107"/>
      <c r="D710" s="107"/>
      <c r="E710" s="107"/>
      <c r="F710" s="107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>
      <c r="A711" s="1"/>
      <c r="B711" s="1"/>
      <c r="C711" s="107"/>
      <c r="D711" s="107"/>
      <c r="E711" s="107"/>
      <c r="F711" s="107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>
      <c r="A712" s="1"/>
      <c r="B712" s="1"/>
      <c r="C712" s="107"/>
      <c r="D712" s="107"/>
      <c r="E712" s="107"/>
      <c r="F712" s="107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>
      <c r="A713" s="1"/>
      <c r="B713" s="1"/>
      <c r="C713" s="107"/>
      <c r="D713" s="107"/>
      <c r="E713" s="107"/>
      <c r="F713" s="107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>
      <c r="A714" s="1"/>
      <c r="B714" s="1"/>
      <c r="C714" s="107"/>
      <c r="D714" s="107"/>
      <c r="E714" s="107"/>
      <c r="F714" s="107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>
      <c r="A715" s="1"/>
      <c r="B715" s="1"/>
      <c r="C715" s="107"/>
      <c r="D715" s="107"/>
      <c r="E715" s="107"/>
      <c r="F715" s="107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>
      <c r="A716" s="1"/>
      <c r="B716" s="1"/>
      <c r="C716" s="107"/>
      <c r="D716" s="107"/>
      <c r="E716" s="107"/>
      <c r="F716" s="107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>
      <c r="A717" s="1"/>
      <c r="B717" s="1"/>
      <c r="C717" s="107"/>
      <c r="D717" s="107"/>
      <c r="E717" s="107"/>
      <c r="F717" s="107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>
      <c r="A718" s="1"/>
      <c r="B718" s="1"/>
      <c r="C718" s="107"/>
      <c r="D718" s="107"/>
      <c r="E718" s="107"/>
      <c r="F718" s="107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>
      <c r="A719" s="1"/>
      <c r="B719" s="1"/>
      <c r="C719" s="107"/>
      <c r="D719" s="107"/>
      <c r="E719" s="107"/>
      <c r="F719" s="107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>
      <c r="A720" s="1"/>
      <c r="B720" s="1"/>
      <c r="C720" s="107"/>
      <c r="D720" s="107"/>
      <c r="E720" s="107"/>
      <c r="F720" s="107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>
      <c r="A721" s="1"/>
      <c r="B721" s="1"/>
      <c r="C721" s="107"/>
      <c r="D721" s="107"/>
      <c r="E721" s="107"/>
      <c r="F721" s="107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>
      <c r="A722" s="1"/>
      <c r="B722" s="1"/>
      <c r="C722" s="107"/>
      <c r="D722" s="107"/>
      <c r="E722" s="107"/>
      <c r="F722" s="107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>
      <c r="A723" s="1"/>
      <c r="B723" s="1"/>
      <c r="C723" s="107"/>
      <c r="D723" s="107"/>
      <c r="E723" s="107"/>
      <c r="F723" s="107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>
      <c r="A724" s="1"/>
      <c r="B724" s="1"/>
      <c r="C724" s="107"/>
      <c r="D724" s="107"/>
      <c r="E724" s="107"/>
      <c r="F724" s="107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>
      <c r="A725" s="1"/>
      <c r="B725" s="1"/>
      <c r="C725" s="107"/>
      <c r="D725" s="107"/>
      <c r="E725" s="107"/>
      <c r="F725" s="107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>
      <c r="A726" s="1"/>
      <c r="B726" s="1"/>
      <c r="C726" s="107"/>
      <c r="D726" s="107"/>
      <c r="E726" s="107"/>
      <c r="F726" s="107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>
      <c r="A727" s="1"/>
      <c r="B727" s="1"/>
      <c r="C727" s="107"/>
      <c r="D727" s="107"/>
      <c r="E727" s="107"/>
      <c r="F727" s="107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>
      <c r="A728" s="1"/>
      <c r="B728" s="1"/>
      <c r="C728" s="107"/>
      <c r="D728" s="107"/>
      <c r="E728" s="107"/>
      <c r="F728" s="107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>
      <c r="A729" s="1"/>
      <c r="B729" s="1"/>
      <c r="C729" s="107"/>
      <c r="D729" s="107"/>
      <c r="E729" s="107"/>
      <c r="F729" s="107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>
      <c r="A730" s="1"/>
      <c r="B730" s="1"/>
      <c r="C730" s="107"/>
      <c r="D730" s="107"/>
      <c r="E730" s="107"/>
      <c r="F730" s="107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>
      <c r="A731" s="1"/>
      <c r="B731" s="1"/>
      <c r="C731" s="107"/>
      <c r="D731" s="107"/>
      <c r="E731" s="107"/>
      <c r="F731" s="107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>
      <c r="A732" s="1"/>
      <c r="B732" s="1"/>
      <c r="C732" s="107"/>
      <c r="D732" s="107"/>
      <c r="E732" s="107"/>
      <c r="F732" s="107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>
      <c r="A733" s="1"/>
      <c r="B733" s="1"/>
      <c r="C733" s="107"/>
      <c r="D733" s="107"/>
      <c r="E733" s="107"/>
      <c r="F733" s="107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>
      <c r="A734" s="1"/>
      <c r="B734" s="1"/>
      <c r="C734" s="107"/>
      <c r="D734" s="107"/>
      <c r="E734" s="107"/>
      <c r="F734" s="107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>
      <c r="A735" s="1"/>
      <c r="B735" s="1"/>
      <c r="C735" s="107"/>
      <c r="D735" s="107"/>
      <c r="E735" s="107"/>
      <c r="F735" s="107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>
      <c r="A736" s="1"/>
      <c r="B736" s="1"/>
      <c r="C736" s="107"/>
      <c r="D736" s="107"/>
      <c r="E736" s="107"/>
      <c r="F736" s="107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>
      <c r="A737" s="1"/>
      <c r="B737" s="1"/>
      <c r="C737" s="107"/>
      <c r="D737" s="107"/>
      <c r="E737" s="107"/>
      <c r="F737" s="107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>
      <c r="A738" s="1"/>
      <c r="B738" s="1"/>
      <c r="C738" s="107"/>
      <c r="D738" s="107"/>
      <c r="E738" s="107"/>
      <c r="F738" s="107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>
      <c r="A739" s="1"/>
      <c r="B739" s="1"/>
      <c r="C739" s="107"/>
      <c r="D739" s="107"/>
      <c r="E739" s="107"/>
      <c r="F739" s="107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>
      <c r="A740" s="1"/>
      <c r="B740" s="1"/>
      <c r="C740" s="107"/>
      <c r="D740" s="107"/>
      <c r="E740" s="107"/>
      <c r="F740" s="107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>
      <c r="A741" s="1"/>
      <c r="B741" s="1"/>
      <c r="C741" s="107"/>
      <c r="D741" s="107"/>
      <c r="E741" s="107"/>
      <c r="F741" s="107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>
      <c r="A742" s="1"/>
      <c r="B742" s="1"/>
      <c r="C742" s="107"/>
      <c r="D742" s="107"/>
      <c r="E742" s="107"/>
      <c r="F742" s="107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>
      <c r="A743" s="1"/>
      <c r="B743" s="1"/>
      <c r="C743" s="107"/>
      <c r="D743" s="107"/>
      <c r="E743" s="107"/>
      <c r="F743" s="107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>
      <c r="A744" s="1"/>
      <c r="B744" s="1"/>
      <c r="C744" s="107"/>
      <c r="D744" s="107"/>
      <c r="E744" s="107"/>
      <c r="F744" s="107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>
      <c r="A745" s="1"/>
      <c r="B745" s="1"/>
      <c r="C745" s="107"/>
      <c r="D745" s="107"/>
      <c r="E745" s="107"/>
      <c r="F745" s="107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>
      <c r="A746" s="1"/>
      <c r="B746" s="1"/>
      <c r="C746" s="107"/>
      <c r="D746" s="107"/>
      <c r="E746" s="107"/>
      <c r="F746" s="107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>
      <c r="A747" s="1"/>
      <c r="B747" s="1"/>
      <c r="C747" s="107"/>
      <c r="D747" s="107"/>
      <c r="E747" s="107"/>
      <c r="F747" s="107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>
      <c r="A748" s="1"/>
      <c r="B748" s="1"/>
      <c r="C748" s="107"/>
      <c r="D748" s="107"/>
      <c r="E748" s="107"/>
      <c r="F748" s="107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>
      <c r="A749" s="1"/>
      <c r="B749" s="1"/>
      <c r="C749" s="107"/>
      <c r="D749" s="107"/>
      <c r="E749" s="107"/>
      <c r="F749" s="107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>
      <c r="A750" s="1"/>
      <c r="B750" s="1"/>
      <c r="C750" s="107"/>
      <c r="D750" s="107"/>
      <c r="E750" s="107"/>
      <c r="F750" s="107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>
      <c r="A751" s="1"/>
      <c r="B751" s="1"/>
      <c r="C751" s="107"/>
      <c r="D751" s="107"/>
      <c r="E751" s="107"/>
      <c r="F751" s="107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>
      <c r="A752" s="1"/>
      <c r="B752" s="1"/>
      <c r="C752" s="107"/>
      <c r="D752" s="107"/>
      <c r="E752" s="107"/>
      <c r="F752" s="107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>
      <c r="A753" s="1"/>
      <c r="B753" s="1"/>
      <c r="C753" s="107"/>
      <c r="D753" s="107"/>
      <c r="E753" s="107"/>
      <c r="F753" s="107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>
      <c r="A754" s="1"/>
      <c r="B754" s="1"/>
      <c r="C754" s="107"/>
      <c r="D754" s="107"/>
      <c r="E754" s="107"/>
      <c r="F754" s="107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>
      <c r="A755" s="1"/>
      <c r="B755" s="1"/>
      <c r="C755" s="107"/>
      <c r="D755" s="107"/>
      <c r="E755" s="107"/>
      <c r="F755" s="107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>
      <c r="A756" s="1"/>
      <c r="B756" s="1"/>
      <c r="C756" s="107"/>
      <c r="D756" s="107"/>
      <c r="E756" s="107"/>
      <c r="F756" s="107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>
      <c r="A757" s="1"/>
      <c r="B757" s="1"/>
      <c r="C757" s="107"/>
      <c r="D757" s="107"/>
      <c r="E757" s="107"/>
      <c r="F757" s="107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>
      <c r="A758" s="1"/>
      <c r="B758" s="1"/>
      <c r="C758" s="107"/>
      <c r="D758" s="107"/>
      <c r="E758" s="107"/>
      <c r="F758" s="107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>
      <c r="A759" s="1"/>
      <c r="B759" s="1"/>
      <c r="C759" s="107"/>
      <c r="D759" s="107"/>
      <c r="E759" s="107"/>
      <c r="F759" s="107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>
      <c r="A760" s="1"/>
      <c r="B760" s="1"/>
      <c r="C760" s="107"/>
      <c r="D760" s="107"/>
      <c r="E760" s="107"/>
      <c r="F760" s="107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>
      <c r="A761" s="1"/>
      <c r="B761" s="1"/>
      <c r="C761" s="107"/>
      <c r="D761" s="107"/>
      <c r="E761" s="107"/>
      <c r="F761" s="107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>
      <c r="A762" s="1"/>
      <c r="B762" s="1"/>
      <c r="C762" s="107"/>
      <c r="D762" s="107"/>
      <c r="E762" s="107"/>
      <c r="F762" s="107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>
      <c r="A763" s="1"/>
      <c r="B763" s="1"/>
      <c r="C763" s="107"/>
      <c r="D763" s="107"/>
      <c r="E763" s="107"/>
      <c r="F763" s="107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>
      <c r="A764" s="1"/>
      <c r="B764" s="1"/>
      <c r="C764" s="107"/>
      <c r="D764" s="107"/>
      <c r="E764" s="107"/>
      <c r="F764" s="107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>
      <c r="A765" s="1"/>
      <c r="B765" s="1"/>
      <c r="C765" s="107"/>
      <c r="D765" s="107"/>
      <c r="E765" s="107"/>
      <c r="F765" s="107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>
      <c r="A766" s="1"/>
      <c r="B766" s="1"/>
      <c r="C766" s="107"/>
      <c r="D766" s="107"/>
      <c r="E766" s="107"/>
      <c r="F766" s="107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>
      <c r="A767" s="1"/>
      <c r="B767" s="1"/>
      <c r="C767" s="107"/>
      <c r="D767" s="107"/>
      <c r="E767" s="107"/>
      <c r="F767" s="107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>
      <c r="A768" s="1"/>
      <c r="B768" s="1"/>
      <c r="C768" s="107"/>
      <c r="D768" s="107"/>
      <c r="E768" s="107"/>
      <c r="F768" s="107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>
      <c r="A769" s="1"/>
      <c r="B769" s="1"/>
      <c r="C769" s="107"/>
      <c r="D769" s="107"/>
      <c r="E769" s="107"/>
      <c r="F769" s="107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>
      <c r="A770" s="1"/>
      <c r="B770" s="1"/>
      <c r="C770" s="107"/>
      <c r="D770" s="107"/>
      <c r="E770" s="107"/>
      <c r="F770" s="107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>
      <c r="A771" s="1"/>
      <c r="B771" s="1"/>
      <c r="C771" s="107"/>
      <c r="D771" s="107"/>
      <c r="E771" s="107"/>
      <c r="F771" s="107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>
      <c r="A772" s="1"/>
      <c r="B772" s="1"/>
      <c r="C772" s="107"/>
      <c r="D772" s="107"/>
      <c r="E772" s="107"/>
      <c r="F772" s="107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>
      <c r="A773" s="1"/>
      <c r="B773" s="1"/>
      <c r="C773" s="107"/>
      <c r="D773" s="107"/>
      <c r="E773" s="107"/>
      <c r="F773" s="107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>
      <c r="A774" s="1"/>
      <c r="B774" s="1"/>
      <c r="C774" s="107"/>
      <c r="D774" s="107"/>
      <c r="E774" s="107"/>
      <c r="F774" s="107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>
      <c r="A775" s="1"/>
      <c r="B775" s="1"/>
      <c r="C775" s="107"/>
      <c r="D775" s="107"/>
      <c r="E775" s="107"/>
      <c r="F775" s="107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>
      <c r="A776" s="1"/>
      <c r="B776" s="1"/>
      <c r="C776" s="107"/>
      <c r="D776" s="107"/>
      <c r="E776" s="107"/>
      <c r="F776" s="107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>
      <c r="A777" s="1"/>
      <c r="B777" s="1"/>
      <c r="C777" s="107"/>
      <c r="D777" s="107"/>
      <c r="E777" s="107"/>
      <c r="F777" s="107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>
      <c r="A778" s="1"/>
      <c r="B778" s="1"/>
      <c r="C778" s="107"/>
      <c r="D778" s="107"/>
      <c r="E778" s="107"/>
      <c r="F778" s="107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>
      <c r="A779" s="1"/>
      <c r="B779" s="1"/>
      <c r="C779" s="107"/>
      <c r="D779" s="107"/>
      <c r="E779" s="107"/>
      <c r="F779" s="107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>
      <c r="A780" s="1"/>
      <c r="B780" s="1"/>
      <c r="C780" s="107"/>
      <c r="D780" s="107"/>
      <c r="E780" s="107"/>
      <c r="F780" s="107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>
      <c r="A781" s="1"/>
      <c r="B781" s="1"/>
      <c r="C781" s="107"/>
      <c r="D781" s="107"/>
      <c r="E781" s="107"/>
      <c r="F781" s="107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>
      <c r="A782" s="1"/>
      <c r="B782" s="1"/>
      <c r="C782" s="107"/>
      <c r="D782" s="107"/>
      <c r="E782" s="107"/>
      <c r="F782" s="107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>
      <c r="A783" s="1"/>
      <c r="B783" s="1"/>
      <c r="C783" s="107"/>
      <c r="D783" s="107"/>
      <c r="E783" s="107"/>
      <c r="F783" s="107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>
      <c r="A784" s="1"/>
      <c r="B784" s="1"/>
      <c r="C784" s="107"/>
      <c r="D784" s="107"/>
      <c r="E784" s="107"/>
      <c r="F784" s="107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>
      <c r="A785" s="1"/>
      <c r="B785" s="1"/>
      <c r="C785" s="107"/>
      <c r="D785" s="107"/>
      <c r="E785" s="107"/>
      <c r="F785" s="107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>
      <c r="A786" s="1"/>
      <c r="B786" s="1"/>
      <c r="C786" s="107"/>
      <c r="D786" s="107"/>
      <c r="E786" s="107"/>
      <c r="F786" s="107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>
      <c r="A787" s="1"/>
      <c r="B787" s="1"/>
      <c r="C787" s="107"/>
      <c r="D787" s="107"/>
      <c r="E787" s="107"/>
      <c r="F787" s="107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>
      <c r="A788" s="1"/>
      <c r="B788" s="1"/>
      <c r="C788" s="107"/>
      <c r="D788" s="107"/>
      <c r="E788" s="107"/>
      <c r="F788" s="107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>
      <c r="A789" s="1"/>
      <c r="B789" s="1"/>
      <c r="C789" s="107"/>
      <c r="D789" s="107"/>
      <c r="E789" s="107"/>
      <c r="F789" s="107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>
      <c r="A790" s="1"/>
      <c r="B790" s="1"/>
      <c r="C790" s="107"/>
      <c r="D790" s="107"/>
      <c r="E790" s="107"/>
      <c r="F790" s="107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>
      <c r="A791" s="1"/>
      <c r="B791" s="1"/>
      <c r="C791" s="107"/>
      <c r="D791" s="107"/>
      <c r="E791" s="107"/>
      <c r="F791" s="107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>
      <c r="A792" s="1"/>
      <c r="B792" s="1"/>
      <c r="C792" s="107"/>
      <c r="D792" s="107"/>
      <c r="E792" s="107"/>
      <c r="F792" s="107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>
      <c r="A793" s="1"/>
      <c r="B793" s="1"/>
      <c r="C793" s="107"/>
      <c r="D793" s="107"/>
      <c r="E793" s="107"/>
      <c r="F793" s="107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>
      <c r="A794" s="1"/>
      <c r="B794" s="1"/>
      <c r="C794" s="107"/>
      <c r="D794" s="107"/>
      <c r="E794" s="107"/>
      <c r="F794" s="107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>
      <c r="A795" s="1"/>
      <c r="B795" s="1"/>
      <c r="C795" s="107"/>
      <c r="D795" s="107"/>
      <c r="E795" s="107"/>
      <c r="F795" s="107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>
      <c r="A796" s="1"/>
      <c r="B796" s="1"/>
      <c r="C796" s="107"/>
      <c r="D796" s="107"/>
      <c r="E796" s="107"/>
      <c r="F796" s="107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>
      <c r="A797" s="1"/>
      <c r="B797" s="1"/>
      <c r="C797" s="107"/>
      <c r="D797" s="107"/>
      <c r="E797" s="107"/>
      <c r="F797" s="107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>
      <c r="A798" s="1"/>
      <c r="B798" s="1"/>
      <c r="C798" s="107"/>
      <c r="D798" s="107"/>
      <c r="E798" s="107"/>
      <c r="F798" s="107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>
      <c r="A799" s="1"/>
      <c r="B799" s="1"/>
      <c r="C799" s="107"/>
      <c r="D799" s="107"/>
      <c r="E799" s="107"/>
      <c r="F799" s="107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>
      <c r="A800" s="1"/>
      <c r="B800" s="1"/>
      <c r="C800" s="107"/>
      <c r="D800" s="107"/>
      <c r="E800" s="107"/>
      <c r="F800" s="107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>
      <c r="A801" s="1"/>
      <c r="B801" s="1"/>
      <c r="C801" s="107"/>
      <c r="D801" s="107"/>
      <c r="E801" s="107"/>
      <c r="F801" s="107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>
      <c r="A802" s="1"/>
      <c r="B802" s="1"/>
      <c r="C802" s="107"/>
      <c r="D802" s="107"/>
      <c r="E802" s="107"/>
      <c r="F802" s="107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>
      <c r="A803" s="1"/>
      <c r="B803" s="1"/>
      <c r="C803" s="107"/>
      <c r="D803" s="107"/>
      <c r="E803" s="107"/>
      <c r="F803" s="107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>
      <c r="A804" s="1"/>
      <c r="B804" s="1"/>
      <c r="C804" s="107"/>
      <c r="D804" s="107"/>
      <c r="E804" s="107"/>
      <c r="F804" s="107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>
      <c r="A805" s="1"/>
      <c r="B805" s="1"/>
      <c r="C805" s="107"/>
      <c r="D805" s="107"/>
      <c r="E805" s="107"/>
      <c r="F805" s="107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>
      <c r="A806" s="1"/>
      <c r="B806" s="1"/>
      <c r="C806" s="107"/>
      <c r="D806" s="107"/>
      <c r="E806" s="107"/>
      <c r="F806" s="107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>
      <c r="A807" s="1"/>
      <c r="B807" s="1"/>
      <c r="C807" s="107"/>
      <c r="D807" s="107"/>
      <c r="E807" s="107"/>
      <c r="F807" s="107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>
      <c r="A808" s="1"/>
      <c r="B808" s="1"/>
      <c r="C808" s="107"/>
      <c r="D808" s="107"/>
      <c r="E808" s="107"/>
      <c r="F808" s="107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>
      <c r="A809" s="1"/>
      <c r="B809" s="1"/>
      <c r="C809" s="107"/>
      <c r="D809" s="107"/>
      <c r="E809" s="107"/>
      <c r="F809" s="107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>
      <c r="A810" s="1"/>
      <c r="B810" s="1"/>
      <c r="C810" s="107"/>
      <c r="D810" s="107"/>
      <c r="E810" s="107"/>
      <c r="F810" s="107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>
      <c r="A811" s="1"/>
      <c r="B811" s="1"/>
      <c r="C811" s="107"/>
      <c r="D811" s="107"/>
      <c r="E811" s="107"/>
      <c r="F811" s="107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>
      <c r="A812" s="1"/>
      <c r="B812" s="1"/>
      <c r="C812" s="107"/>
      <c r="D812" s="107"/>
      <c r="E812" s="107"/>
      <c r="F812" s="107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>
      <c r="A813" s="1"/>
      <c r="B813" s="1"/>
      <c r="C813" s="107"/>
      <c r="D813" s="107"/>
      <c r="E813" s="107"/>
      <c r="F813" s="107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>
      <c r="A814" s="1"/>
      <c r="B814" s="1"/>
      <c r="C814" s="107"/>
      <c r="D814" s="107"/>
      <c r="E814" s="107"/>
      <c r="F814" s="107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>
      <c r="A815" s="1"/>
      <c r="B815" s="1"/>
      <c r="C815" s="107"/>
      <c r="D815" s="107"/>
      <c r="E815" s="107"/>
      <c r="F815" s="107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>
      <c r="A816" s="1"/>
      <c r="B816" s="1"/>
      <c r="C816" s="107"/>
      <c r="D816" s="107"/>
      <c r="E816" s="107"/>
      <c r="F816" s="107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>
      <c r="A817" s="1"/>
      <c r="B817" s="1"/>
      <c r="C817" s="107"/>
      <c r="D817" s="107"/>
      <c r="E817" s="107"/>
      <c r="F817" s="107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>
      <c r="A818" s="1"/>
      <c r="B818" s="1"/>
      <c r="C818" s="107"/>
      <c r="D818" s="107"/>
      <c r="E818" s="107"/>
      <c r="F818" s="107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>
      <c r="A819" s="1"/>
      <c r="B819" s="1"/>
      <c r="C819" s="107"/>
      <c r="D819" s="107"/>
      <c r="E819" s="107"/>
      <c r="F819" s="107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>
      <c r="A820" s="1"/>
      <c r="B820" s="1"/>
      <c r="C820" s="107"/>
      <c r="D820" s="107"/>
      <c r="E820" s="107"/>
      <c r="F820" s="107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>
      <c r="A821" s="1"/>
      <c r="B821" s="1"/>
      <c r="C821" s="107"/>
      <c r="D821" s="107"/>
      <c r="E821" s="107"/>
      <c r="F821" s="107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>
      <c r="A822" s="1"/>
      <c r="B822" s="1"/>
      <c r="C822" s="107"/>
      <c r="D822" s="107"/>
      <c r="E822" s="107"/>
      <c r="F822" s="107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>
      <c r="A823" s="1"/>
      <c r="B823" s="1"/>
      <c r="C823" s="107"/>
      <c r="D823" s="107"/>
      <c r="E823" s="107"/>
      <c r="F823" s="107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>
      <c r="A824" s="1"/>
      <c r="B824" s="1"/>
      <c r="C824" s="107"/>
      <c r="D824" s="107"/>
      <c r="E824" s="107"/>
      <c r="F824" s="107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>
      <c r="A825" s="1"/>
      <c r="B825" s="1"/>
      <c r="C825" s="107"/>
      <c r="D825" s="107"/>
      <c r="E825" s="107"/>
      <c r="F825" s="107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>
      <c r="A826" s="1"/>
      <c r="B826" s="1"/>
      <c r="C826" s="107"/>
      <c r="D826" s="107"/>
      <c r="E826" s="107"/>
      <c r="F826" s="107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>
      <c r="A827" s="1"/>
      <c r="B827" s="1"/>
      <c r="C827" s="107"/>
      <c r="D827" s="107"/>
      <c r="E827" s="107"/>
      <c r="F827" s="107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>
      <c r="A828" s="1"/>
      <c r="B828" s="1"/>
      <c r="C828" s="107"/>
      <c r="D828" s="107"/>
      <c r="E828" s="107"/>
      <c r="F828" s="107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>
      <c r="A829" s="1"/>
      <c r="B829" s="1"/>
      <c r="C829" s="107"/>
      <c r="D829" s="107"/>
      <c r="E829" s="107"/>
      <c r="F829" s="107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>
      <c r="A830" s="1"/>
      <c r="B830" s="1"/>
      <c r="C830" s="107"/>
      <c r="D830" s="107"/>
      <c r="E830" s="107"/>
      <c r="F830" s="107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>
      <c r="A831" s="1"/>
      <c r="B831" s="1"/>
      <c r="C831" s="107"/>
      <c r="D831" s="107"/>
      <c r="E831" s="107"/>
      <c r="F831" s="107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>
      <c r="A832" s="1"/>
      <c r="B832" s="1"/>
      <c r="C832" s="107"/>
      <c r="D832" s="107"/>
      <c r="E832" s="107"/>
      <c r="F832" s="107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>
      <c r="A833" s="1"/>
      <c r="B833" s="1"/>
      <c r="C833" s="107"/>
      <c r="D833" s="107"/>
      <c r="E833" s="107"/>
      <c r="F833" s="107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>
      <c r="A834" s="1"/>
      <c r="B834" s="1"/>
      <c r="C834" s="107"/>
      <c r="D834" s="107"/>
      <c r="E834" s="107"/>
      <c r="F834" s="107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>
      <c r="A835" s="1"/>
      <c r="B835" s="1"/>
      <c r="C835" s="107"/>
      <c r="D835" s="107"/>
      <c r="E835" s="107"/>
      <c r="F835" s="107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>
      <c r="A836" s="1"/>
      <c r="B836" s="1"/>
      <c r="C836" s="107"/>
      <c r="D836" s="107"/>
      <c r="E836" s="107"/>
      <c r="F836" s="107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>
      <c r="A837" s="1"/>
      <c r="B837" s="1"/>
      <c r="C837" s="107"/>
      <c r="D837" s="107"/>
      <c r="E837" s="107"/>
      <c r="F837" s="107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>
      <c r="A838" s="1"/>
      <c r="B838" s="1"/>
      <c r="C838" s="107"/>
      <c r="D838" s="107"/>
      <c r="E838" s="107"/>
      <c r="F838" s="107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>
      <c r="A839" s="1"/>
      <c r="B839" s="1"/>
      <c r="C839" s="107"/>
      <c r="D839" s="107"/>
      <c r="E839" s="107"/>
      <c r="F839" s="107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>
      <c r="A840" s="1"/>
      <c r="B840" s="1"/>
      <c r="C840" s="107"/>
      <c r="D840" s="107"/>
      <c r="E840" s="107"/>
      <c r="F840" s="107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>
      <c r="A841" s="1"/>
      <c r="B841" s="1"/>
      <c r="C841" s="107"/>
      <c r="D841" s="107"/>
      <c r="E841" s="107"/>
      <c r="F841" s="107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>
      <c r="A842" s="1"/>
      <c r="B842" s="1"/>
      <c r="C842" s="107"/>
      <c r="D842" s="107"/>
      <c r="E842" s="107"/>
      <c r="F842" s="107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>
      <c r="A843" s="1"/>
      <c r="B843" s="1"/>
      <c r="C843" s="107"/>
      <c r="D843" s="107"/>
      <c r="E843" s="107"/>
      <c r="F843" s="107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>
      <c r="A844" s="1"/>
      <c r="B844" s="1"/>
      <c r="C844" s="107"/>
      <c r="D844" s="107"/>
      <c r="E844" s="107"/>
      <c r="F844" s="107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>
      <c r="A845" s="1"/>
      <c r="B845" s="1"/>
      <c r="C845" s="107"/>
      <c r="D845" s="107"/>
      <c r="E845" s="107"/>
      <c r="F845" s="107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>
      <c r="A846" s="1"/>
      <c r="B846" s="1"/>
      <c r="C846" s="107"/>
      <c r="D846" s="107"/>
      <c r="E846" s="107"/>
      <c r="F846" s="107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>
      <c r="A847" s="1"/>
      <c r="B847" s="1"/>
      <c r="C847" s="107"/>
      <c r="D847" s="107"/>
      <c r="E847" s="107"/>
      <c r="F847" s="107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>
      <c r="A848" s="1"/>
      <c r="B848" s="1"/>
      <c r="C848" s="107"/>
      <c r="D848" s="107"/>
      <c r="E848" s="107"/>
      <c r="F848" s="107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>
      <c r="A849" s="1"/>
      <c r="B849" s="1"/>
      <c r="C849" s="107"/>
      <c r="D849" s="107"/>
      <c r="E849" s="107"/>
      <c r="F849" s="107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>
      <c r="A850" s="1"/>
      <c r="B850" s="1"/>
      <c r="C850" s="107"/>
      <c r="D850" s="107"/>
      <c r="E850" s="107"/>
      <c r="F850" s="107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>
      <c r="A851" s="1"/>
      <c r="B851" s="1"/>
      <c r="C851" s="107"/>
      <c r="D851" s="107"/>
      <c r="E851" s="107"/>
      <c r="F851" s="107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>
      <c r="A852" s="1"/>
      <c r="B852" s="1"/>
      <c r="C852" s="107"/>
      <c r="D852" s="107"/>
      <c r="E852" s="107"/>
      <c r="F852" s="107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>
      <c r="A853" s="1"/>
      <c r="B853" s="1"/>
      <c r="C853" s="107"/>
      <c r="D853" s="107"/>
      <c r="E853" s="107"/>
      <c r="F853" s="107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>
      <c r="A854" s="1"/>
      <c r="B854" s="1"/>
      <c r="C854" s="107"/>
      <c r="D854" s="107"/>
      <c r="E854" s="107"/>
      <c r="F854" s="107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>
      <c r="A855" s="1"/>
      <c r="B855" s="1"/>
      <c r="C855" s="107"/>
      <c r="D855" s="107"/>
      <c r="E855" s="107"/>
      <c r="F855" s="107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>
      <c r="A856" s="1"/>
      <c r="B856" s="1"/>
      <c r="C856" s="107"/>
      <c r="D856" s="107"/>
      <c r="E856" s="107"/>
      <c r="F856" s="107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>
      <c r="A857" s="1"/>
      <c r="B857" s="1"/>
      <c r="C857" s="107"/>
      <c r="D857" s="107"/>
      <c r="E857" s="107"/>
      <c r="F857" s="107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>
      <c r="A858" s="1"/>
      <c r="B858" s="1"/>
      <c r="C858" s="107"/>
      <c r="D858" s="107"/>
      <c r="E858" s="107"/>
      <c r="F858" s="107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>
      <c r="A859" s="1"/>
      <c r="B859" s="1"/>
      <c r="C859" s="107"/>
      <c r="D859" s="107"/>
      <c r="E859" s="107"/>
      <c r="F859" s="107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>
      <c r="A860" s="1"/>
      <c r="B860" s="1"/>
      <c r="C860" s="107"/>
      <c r="D860" s="107"/>
      <c r="E860" s="107"/>
      <c r="F860" s="107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>
      <c r="A861" s="1"/>
      <c r="B861" s="1"/>
      <c r="C861" s="107"/>
      <c r="D861" s="107"/>
      <c r="E861" s="107"/>
      <c r="F861" s="107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>
      <c r="A862" s="1"/>
      <c r="B862" s="1"/>
      <c r="C862" s="107"/>
      <c r="D862" s="107"/>
      <c r="E862" s="107"/>
      <c r="F862" s="107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>
      <c r="A863" s="1"/>
      <c r="B863" s="1"/>
      <c r="C863" s="107"/>
      <c r="D863" s="107"/>
      <c r="E863" s="107"/>
      <c r="F863" s="107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>
      <c r="A864" s="1"/>
      <c r="B864" s="1"/>
      <c r="C864" s="107"/>
      <c r="D864" s="107"/>
      <c r="E864" s="107"/>
      <c r="F864" s="107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>
      <c r="A865" s="1"/>
      <c r="B865" s="1"/>
      <c r="C865" s="107"/>
      <c r="D865" s="107"/>
      <c r="E865" s="107"/>
      <c r="F865" s="107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>
      <c r="A866" s="1"/>
      <c r="B866" s="1"/>
      <c r="C866" s="107"/>
      <c r="D866" s="107"/>
      <c r="E866" s="107"/>
      <c r="F866" s="107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>
      <c r="A867" s="1"/>
      <c r="B867" s="1"/>
      <c r="C867" s="107"/>
      <c r="D867" s="107"/>
      <c r="E867" s="107"/>
      <c r="F867" s="107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>
      <c r="A868" s="1"/>
      <c r="B868" s="1"/>
      <c r="C868" s="107"/>
      <c r="D868" s="107"/>
      <c r="E868" s="107"/>
      <c r="F868" s="107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>
      <c r="A869" s="1"/>
      <c r="B869" s="1"/>
      <c r="C869" s="107"/>
      <c r="D869" s="107"/>
      <c r="E869" s="107"/>
      <c r="F869" s="107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>
      <c r="A870" s="1"/>
      <c r="B870" s="1"/>
      <c r="C870" s="107"/>
      <c r="D870" s="107"/>
      <c r="E870" s="107"/>
      <c r="F870" s="107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>
      <c r="A871" s="1"/>
      <c r="B871" s="1"/>
      <c r="C871" s="107"/>
      <c r="D871" s="107"/>
      <c r="E871" s="107"/>
      <c r="F871" s="107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>
      <c r="A872" s="1"/>
      <c r="B872" s="1"/>
      <c r="C872" s="107"/>
      <c r="D872" s="107"/>
      <c r="E872" s="107"/>
      <c r="F872" s="107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>
      <c r="A873" s="1"/>
      <c r="B873" s="1"/>
      <c r="C873" s="107"/>
      <c r="D873" s="107"/>
      <c r="E873" s="107"/>
      <c r="F873" s="107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>
      <c r="A874" s="1"/>
      <c r="B874" s="1"/>
      <c r="C874" s="107"/>
      <c r="D874" s="107"/>
      <c r="E874" s="107"/>
      <c r="F874" s="107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>
      <c r="A875" s="1"/>
      <c r="B875" s="1"/>
      <c r="C875" s="107"/>
      <c r="D875" s="107"/>
      <c r="E875" s="107"/>
      <c r="F875" s="107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>
      <c r="A876" s="1"/>
      <c r="B876" s="1"/>
      <c r="C876" s="107"/>
      <c r="D876" s="107"/>
      <c r="E876" s="107"/>
      <c r="F876" s="107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>
      <c r="A877" s="1"/>
      <c r="B877" s="1"/>
      <c r="C877" s="107"/>
      <c r="D877" s="107"/>
      <c r="E877" s="107"/>
      <c r="F877" s="107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>
      <c r="A878" s="1"/>
      <c r="B878" s="1"/>
      <c r="C878" s="107"/>
      <c r="D878" s="107"/>
      <c r="E878" s="107"/>
      <c r="F878" s="107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>
      <c r="A879" s="1"/>
      <c r="B879" s="1"/>
      <c r="C879" s="107"/>
      <c r="D879" s="107"/>
      <c r="E879" s="107"/>
      <c r="F879" s="107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>
      <c r="A880" s="1"/>
      <c r="B880" s="1"/>
      <c r="C880" s="107"/>
      <c r="D880" s="107"/>
      <c r="E880" s="107"/>
      <c r="F880" s="107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>
      <c r="A881" s="1"/>
      <c r="B881" s="1"/>
      <c r="C881" s="107"/>
      <c r="D881" s="107"/>
      <c r="E881" s="107"/>
      <c r="F881" s="107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>
      <c r="A882" s="1"/>
      <c r="B882" s="1"/>
      <c r="C882" s="107"/>
      <c r="D882" s="107"/>
      <c r="E882" s="107"/>
      <c r="F882" s="107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>
      <c r="A883" s="1"/>
      <c r="B883" s="1"/>
      <c r="C883" s="107"/>
      <c r="D883" s="107"/>
      <c r="E883" s="107"/>
      <c r="F883" s="107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>
      <c r="A884" s="1"/>
      <c r="B884" s="1"/>
      <c r="C884" s="107"/>
      <c r="D884" s="107"/>
      <c r="E884" s="107"/>
      <c r="F884" s="107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>
      <c r="A885" s="1"/>
      <c r="B885" s="1"/>
      <c r="C885" s="107"/>
      <c r="D885" s="107"/>
      <c r="E885" s="107"/>
      <c r="F885" s="107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>
      <c r="A886" s="1"/>
      <c r="B886" s="1"/>
      <c r="C886" s="107"/>
      <c r="D886" s="107"/>
      <c r="E886" s="107"/>
      <c r="F886" s="107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>
      <c r="A887" s="1"/>
      <c r="B887" s="1"/>
      <c r="C887" s="107"/>
      <c r="D887" s="107"/>
      <c r="E887" s="107"/>
      <c r="F887" s="107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>
      <c r="A888" s="1"/>
      <c r="B888" s="1"/>
      <c r="C888" s="107"/>
      <c r="D888" s="107"/>
      <c r="E888" s="107"/>
      <c r="F888" s="107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>
      <c r="A889" s="1"/>
      <c r="B889" s="1"/>
      <c r="C889" s="107"/>
      <c r="D889" s="107"/>
      <c r="E889" s="107"/>
      <c r="F889" s="107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>
      <c r="A890" s="1"/>
      <c r="B890" s="1"/>
      <c r="C890" s="107"/>
      <c r="D890" s="107"/>
      <c r="E890" s="107"/>
      <c r="F890" s="107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>
      <c r="A891" s="1"/>
      <c r="B891" s="1"/>
      <c r="C891" s="107"/>
      <c r="D891" s="107"/>
      <c r="E891" s="107"/>
      <c r="F891" s="107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>
      <c r="A892" s="1"/>
      <c r="B892" s="1"/>
      <c r="C892" s="107"/>
      <c r="D892" s="107"/>
      <c r="E892" s="107"/>
      <c r="F892" s="107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>
      <c r="A893" s="1"/>
      <c r="B893" s="1"/>
      <c r="C893" s="107"/>
      <c r="D893" s="107"/>
      <c r="E893" s="107"/>
      <c r="F893" s="107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>
      <c r="A894" s="1"/>
      <c r="B894" s="1"/>
      <c r="C894" s="107"/>
      <c r="D894" s="107"/>
      <c r="E894" s="107"/>
      <c r="F894" s="107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>
      <c r="A895" s="1"/>
      <c r="B895" s="1"/>
      <c r="C895" s="107"/>
      <c r="D895" s="107"/>
      <c r="E895" s="107"/>
      <c r="F895" s="107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>
      <c r="A896" s="1"/>
      <c r="B896" s="1"/>
      <c r="C896" s="107"/>
      <c r="D896" s="107"/>
      <c r="E896" s="107"/>
      <c r="F896" s="107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>
      <c r="A897" s="1"/>
      <c r="B897" s="1"/>
      <c r="C897" s="107"/>
      <c r="D897" s="107"/>
      <c r="E897" s="107"/>
      <c r="F897" s="107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>
      <c r="A898" s="1"/>
      <c r="B898" s="1"/>
      <c r="C898" s="107"/>
      <c r="D898" s="107"/>
      <c r="E898" s="107"/>
      <c r="F898" s="107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>
      <c r="A899" s="1"/>
      <c r="B899" s="1"/>
      <c r="C899" s="107"/>
      <c r="D899" s="107"/>
      <c r="E899" s="107"/>
      <c r="F899" s="107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>
      <c r="A900" s="1"/>
      <c r="B900" s="1"/>
      <c r="C900" s="107"/>
      <c r="D900" s="107"/>
      <c r="E900" s="107"/>
      <c r="F900" s="107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>
      <c r="A901" s="1"/>
      <c r="B901" s="1"/>
      <c r="C901" s="107"/>
      <c r="D901" s="107"/>
      <c r="E901" s="107"/>
      <c r="F901" s="107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>
      <c r="A902" s="1"/>
      <c r="B902" s="1"/>
      <c r="C902" s="107"/>
      <c r="D902" s="107"/>
      <c r="E902" s="107"/>
      <c r="F902" s="107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>
      <c r="A903" s="1"/>
      <c r="B903" s="1"/>
      <c r="C903" s="107"/>
      <c r="D903" s="107"/>
      <c r="E903" s="107"/>
      <c r="F903" s="107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>
      <c r="A904" s="1"/>
      <c r="B904" s="1"/>
      <c r="C904" s="107"/>
      <c r="D904" s="107"/>
      <c r="E904" s="107"/>
      <c r="F904" s="107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>
      <c r="A905" s="1"/>
      <c r="B905" s="1"/>
      <c r="C905" s="107"/>
      <c r="D905" s="107"/>
      <c r="E905" s="107"/>
      <c r="F905" s="107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>
      <c r="A906" s="1"/>
      <c r="B906" s="1"/>
      <c r="C906" s="107"/>
      <c r="D906" s="107"/>
      <c r="E906" s="107"/>
      <c r="F906" s="107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>
      <c r="A907" s="1"/>
      <c r="B907" s="1"/>
      <c r="C907" s="107"/>
      <c r="D907" s="107"/>
      <c r="E907" s="107"/>
      <c r="F907" s="107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>
      <c r="A908" s="1"/>
      <c r="B908" s="1"/>
      <c r="C908" s="107"/>
      <c r="D908" s="107"/>
      <c r="E908" s="107"/>
      <c r="F908" s="107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>
      <c r="A909" s="1"/>
      <c r="B909" s="1"/>
      <c r="C909" s="107"/>
      <c r="D909" s="107"/>
      <c r="E909" s="107"/>
      <c r="F909" s="107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>
      <c r="A910" s="1"/>
      <c r="B910" s="1"/>
      <c r="C910" s="107"/>
      <c r="D910" s="107"/>
      <c r="E910" s="107"/>
      <c r="F910" s="107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>
      <c r="A911" s="1"/>
      <c r="B911" s="1"/>
      <c r="C911" s="107"/>
      <c r="D911" s="107"/>
      <c r="E911" s="107"/>
      <c r="F911" s="107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>
      <c r="A912" s="1"/>
      <c r="B912" s="1"/>
      <c r="C912" s="107"/>
      <c r="D912" s="107"/>
      <c r="E912" s="107"/>
      <c r="F912" s="107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>
      <c r="A913" s="1"/>
      <c r="B913" s="1"/>
      <c r="C913" s="107"/>
      <c r="D913" s="107"/>
      <c r="E913" s="107"/>
      <c r="F913" s="107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>
      <c r="A914" s="1"/>
      <c r="B914" s="1"/>
      <c r="C914" s="107"/>
      <c r="D914" s="107"/>
      <c r="E914" s="107"/>
      <c r="F914" s="107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>
      <c r="A915" s="1"/>
      <c r="B915" s="1"/>
      <c r="C915" s="107"/>
      <c r="D915" s="107"/>
      <c r="E915" s="107"/>
      <c r="F915" s="107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>
      <c r="A916" s="1"/>
      <c r="B916" s="1"/>
      <c r="C916" s="107"/>
      <c r="D916" s="107"/>
      <c r="E916" s="107"/>
      <c r="F916" s="107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>
      <c r="A917" s="1"/>
      <c r="B917" s="1"/>
      <c r="C917" s="107"/>
      <c r="D917" s="107"/>
      <c r="E917" s="107"/>
      <c r="F917" s="107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>
      <c r="A918" s="1"/>
      <c r="B918" s="1"/>
      <c r="C918" s="107"/>
      <c r="D918" s="107"/>
      <c r="E918" s="107"/>
      <c r="F918" s="107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>
      <c r="A919" s="1"/>
      <c r="B919" s="1"/>
      <c r="C919" s="107"/>
      <c r="D919" s="107"/>
      <c r="E919" s="107"/>
      <c r="F919" s="107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>
      <c r="A920" s="1"/>
      <c r="B920" s="1"/>
      <c r="C920" s="107"/>
      <c r="D920" s="107"/>
      <c r="E920" s="107"/>
      <c r="F920" s="107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>
      <c r="A921" s="1"/>
      <c r="B921" s="1"/>
      <c r="C921" s="107"/>
      <c r="D921" s="107"/>
      <c r="E921" s="107"/>
      <c r="F921" s="107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>
      <c r="A922" s="1"/>
      <c r="B922" s="1"/>
      <c r="C922" s="107"/>
      <c r="D922" s="107"/>
      <c r="E922" s="107"/>
      <c r="F922" s="107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>
      <c r="A923" s="1"/>
      <c r="B923" s="1"/>
      <c r="C923" s="107"/>
      <c r="D923" s="107"/>
      <c r="E923" s="107"/>
      <c r="F923" s="107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>
      <c r="A924" s="1"/>
      <c r="B924" s="1"/>
      <c r="C924" s="107"/>
      <c r="D924" s="107"/>
      <c r="E924" s="107"/>
      <c r="F924" s="107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>
      <c r="A925" s="1"/>
      <c r="B925" s="1"/>
      <c r="C925" s="107"/>
      <c r="D925" s="107"/>
      <c r="E925" s="107"/>
      <c r="F925" s="107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>
      <c r="A926" s="1"/>
      <c r="B926" s="1"/>
      <c r="C926" s="107"/>
      <c r="D926" s="107"/>
      <c r="E926" s="107"/>
      <c r="F926" s="107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>
      <c r="A927" s="1"/>
      <c r="B927" s="1"/>
      <c r="C927" s="107"/>
      <c r="D927" s="107"/>
      <c r="E927" s="107"/>
      <c r="F927" s="107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>
      <c r="A928" s="1"/>
      <c r="B928" s="1"/>
      <c r="C928" s="107"/>
      <c r="D928" s="107"/>
      <c r="E928" s="107"/>
      <c r="F928" s="107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>
      <c r="A929" s="1"/>
      <c r="B929" s="1"/>
      <c r="C929" s="107"/>
      <c r="D929" s="107"/>
      <c r="E929" s="107"/>
      <c r="F929" s="107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>
      <c r="A930" s="1"/>
      <c r="B930" s="1"/>
      <c r="C930" s="107"/>
      <c r="D930" s="107"/>
      <c r="E930" s="107"/>
      <c r="F930" s="107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>
      <c r="A931" s="1"/>
      <c r="B931" s="1"/>
      <c r="C931" s="107"/>
      <c r="D931" s="107"/>
      <c r="E931" s="107"/>
      <c r="F931" s="107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>
      <c r="A932" s="1"/>
      <c r="B932" s="1"/>
      <c r="C932" s="107"/>
      <c r="D932" s="107"/>
      <c r="E932" s="107"/>
      <c r="F932" s="107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>
      <c r="A933" s="1"/>
      <c r="B933" s="1"/>
      <c r="C933" s="107"/>
      <c r="D933" s="107"/>
      <c r="E933" s="107"/>
      <c r="F933" s="107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>
      <c r="A934" s="1"/>
      <c r="B934" s="1"/>
      <c r="C934" s="107"/>
      <c r="D934" s="107"/>
      <c r="E934" s="107"/>
      <c r="F934" s="107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>
      <c r="A935" s="1"/>
      <c r="B935" s="1"/>
      <c r="C935" s="107"/>
      <c r="D935" s="107"/>
      <c r="E935" s="107"/>
      <c r="F935" s="107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>
      <c r="A936" s="1"/>
      <c r="B936" s="1"/>
      <c r="C936" s="107"/>
      <c r="D936" s="107"/>
      <c r="E936" s="107"/>
      <c r="F936" s="107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>
      <c r="A937" s="1"/>
      <c r="B937" s="1"/>
      <c r="C937" s="107"/>
      <c r="D937" s="107"/>
      <c r="E937" s="107"/>
      <c r="F937" s="107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>
      <c r="A938" s="1"/>
      <c r="B938" s="1"/>
      <c r="C938" s="107"/>
      <c r="D938" s="107"/>
      <c r="E938" s="107"/>
      <c r="F938" s="107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>
      <c r="A939" s="1"/>
      <c r="B939" s="1"/>
      <c r="C939" s="107"/>
      <c r="D939" s="107"/>
      <c r="E939" s="107"/>
      <c r="F939" s="107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>
      <c r="A940" s="1"/>
      <c r="B940" s="1"/>
      <c r="C940" s="107"/>
      <c r="D940" s="107"/>
      <c r="E940" s="107"/>
      <c r="F940" s="107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>
      <c r="A941" s="1"/>
      <c r="B941" s="1"/>
      <c r="C941" s="107"/>
      <c r="D941" s="107"/>
      <c r="E941" s="107"/>
      <c r="F941" s="107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>
      <c r="A942" s="1"/>
      <c r="B942" s="1"/>
      <c r="C942" s="107"/>
      <c r="D942" s="107"/>
      <c r="E942" s="107"/>
      <c r="F942" s="107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>
      <c r="A943" s="1"/>
      <c r="B943" s="1"/>
      <c r="C943" s="107"/>
      <c r="D943" s="107"/>
      <c r="E943" s="107"/>
      <c r="F943" s="107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>
      <c r="A944" s="1"/>
      <c r="B944" s="1"/>
      <c r="C944" s="107"/>
      <c r="D944" s="107"/>
      <c r="E944" s="107"/>
      <c r="F944" s="107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>
      <c r="A945" s="1"/>
      <c r="B945" s="1"/>
      <c r="C945" s="107"/>
      <c r="D945" s="107"/>
      <c r="E945" s="107"/>
      <c r="F945" s="107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>
      <c r="A946" s="1"/>
      <c r="B946" s="1"/>
      <c r="C946" s="107"/>
      <c r="D946" s="107"/>
      <c r="E946" s="107"/>
      <c r="F946" s="107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>
      <c r="A947" s="1"/>
      <c r="B947" s="1"/>
      <c r="C947" s="107"/>
      <c r="D947" s="107"/>
      <c r="E947" s="107"/>
      <c r="F947" s="107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>
      <c r="A948" s="1"/>
      <c r="B948" s="1"/>
      <c r="C948" s="107"/>
      <c r="D948" s="107"/>
      <c r="E948" s="107"/>
      <c r="F948" s="107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>
      <c r="A949" s="1"/>
      <c r="B949" s="1"/>
      <c r="C949" s="107"/>
      <c r="D949" s="107"/>
      <c r="E949" s="107"/>
      <c r="F949" s="107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>
      <c r="A950" s="1"/>
      <c r="B950" s="1"/>
      <c r="C950" s="107"/>
      <c r="D950" s="107"/>
      <c r="E950" s="107"/>
      <c r="F950" s="107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>
      <c r="A951" s="1"/>
      <c r="B951" s="1"/>
      <c r="C951" s="107"/>
      <c r="D951" s="107"/>
      <c r="E951" s="107"/>
      <c r="F951" s="107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>
      <c r="A952" s="1"/>
      <c r="B952" s="1"/>
      <c r="C952" s="107"/>
      <c r="D952" s="107"/>
      <c r="E952" s="107"/>
      <c r="F952" s="107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>
      <c r="A953" s="1"/>
      <c r="B953" s="1"/>
      <c r="C953" s="107"/>
      <c r="D953" s="107"/>
      <c r="E953" s="107"/>
      <c r="F953" s="107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>
      <c r="A954" s="1"/>
      <c r="B954" s="1"/>
      <c r="C954" s="107"/>
      <c r="D954" s="107"/>
      <c r="E954" s="107"/>
      <c r="F954" s="107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>
      <c r="A955" s="1"/>
      <c r="B955" s="1"/>
      <c r="C955" s="107"/>
      <c r="D955" s="107"/>
      <c r="E955" s="107"/>
      <c r="F955" s="107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>
      <c r="A956" s="1"/>
      <c r="B956" s="1"/>
      <c r="C956" s="107"/>
      <c r="D956" s="107"/>
      <c r="E956" s="107"/>
      <c r="F956" s="107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>
      <c r="A957" s="1"/>
      <c r="B957" s="1"/>
      <c r="C957" s="107"/>
      <c r="D957" s="107"/>
      <c r="E957" s="107"/>
      <c r="F957" s="107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>
      <c r="A958" s="1"/>
      <c r="B958" s="1"/>
      <c r="C958" s="107"/>
      <c r="D958" s="107"/>
      <c r="E958" s="107"/>
      <c r="F958" s="107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>
      <c r="A959" s="1"/>
      <c r="B959" s="1"/>
      <c r="C959" s="107"/>
      <c r="D959" s="107"/>
      <c r="E959" s="107"/>
      <c r="F959" s="107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>
      <c r="A960" s="1"/>
      <c r="B960" s="1"/>
      <c r="C960" s="107"/>
      <c r="D960" s="107"/>
      <c r="E960" s="107"/>
      <c r="F960" s="107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>
      <c r="A961" s="1"/>
      <c r="B961" s="1"/>
      <c r="C961" s="107"/>
      <c r="D961" s="107"/>
      <c r="E961" s="107"/>
      <c r="F961" s="107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>
      <c r="A962" s="1"/>
      <c r="B962" s="1"/>
      <c r="C962" s="107"/>
      <c r="D962" s="107"/>
      <c r="E962" s="107"/>
      <c r="F962" s="107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>
      <c r="A963" s="1"/>
      <c r="B963" s="1"/>
      <c r="C963" s="107"/>
      <c r="D963" s="107"/>
      <c r="E963" s="107"/>
      <c r="F963" s="107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>
      <c r="A964" s="1"/>
      <c r="B964" s="1"/>
      <c r="C964" s="107"/>
      <c r="D964" s="107"/>
      <c r="E964" s="107"/>
      <c r="F964" s="107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>
      <c r="A965" s="1"/>
      <c r="B965" s="1"/>
      <c r="C965" s="107"/>
      <c r="D965" s="107"/>
      <c r="E965" s="107"/>
      <c r="F965" s="107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>
      <c r="A966" s="1"/>
      <c r="B966" s="1"/>
      <c r="C966" s="107"/>
      <c r="D966" s="107"/>
      <c r="E966" s="107"/>
      <c r="F966" s="107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>
      <c r="A967" s="1"/>
      <c r="B967" s="1"/>
      <c r="C967" s="107"/>
      <c r="D967" s="107"/>
      <c r="E967" s="107"/>
      <c r="F967" s="107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>
      <c r="A968" s="1"/>
      <c r="B968" s="1"/>
      <c r="C968" s="107"/>
      <c r="D968" s="107"/>
      <c r="E968" s="107"/>
      <c r="F968" s="107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>
      <c r="A969" s="1"/>
      <c r="B969" s="1"/>
      <c r="C969" s="107"/>
      <c r="D969" s="107"/>
      <c r="E969" s="107"/>
      <c r="F969" s="107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>
      <c r="A970" s="1"/>
      <c r="B970" s="1"/>
      <c r="C970" s="107"/>
      <c r="D970" s="107"/>
      <c r="E970" s="107"/>
      <c r="F970" s="107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>
      <c r="A971" s="1"/>
      <c r="B971" s="1"/>
      <c r="C971" s="107"/>
      <c r="D971" s="107"/>
      <c r="E971" s="107"/>
      <c r="F971" s="107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>
      <c r="A972" s="1"/>
      <c r="B972" s="1"/>
      <c r="C972" s="107"/>
      <c r="D972" s="107"/>
      <c r="E972" s="107"/>
      <c r="F972" s="107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>
      <c r="A973" s="1"/>
      <c r="B973" s="1"/>
      <c r="C973" s="107"/>
      <c r="D973" s="107"/>
      <c r="E973" s="107"/>
      <c r="F973" s="107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>
      <c r="A974" s="1"/>
      <c r="B974" s="1"/>
      <c r="C974" s="107"/>
      <c r="D974" s="107"/>
      <c r="E974" s="107"/>
      <c r="F974" s="107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>
      <c r="A975" s="1"/>
      <c r="B975" s="1"/>
      <c r="C975" s="107"/>
      <c r="D975" s="107"/>
      <c r="E975" s="107"/>
      <c r="F975" s="107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>
      <c r="A976" s="1"/>
      <c r="B976" s="1"/>
      <c r="C976" s="107"/>
      <c r="D976" s="107"/>
      <c r="E976" s="107"/>
      <c r="F976" s="107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>
      <c r="A977" s="1"/>
      <c r="B977" s="1"/>
      <c r="C977" s="107"/>
      <c r="D977" s="107"/>
      <c r="E977" s="107"/>
      <c r="F977" s="107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>
      <c r="A978" s="1"/>
      <c r="B978" s="1"/>
      <c r="C978" s="107"/>
      <c r="D978" s="107"/>
      <c r="E978" s="107"/>
      <c r="F978" s="107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>
      <c r="A979" s="1"/>
      <c r="B979" s="1"/>
      <c r="C979" s="107"/>
      <c r="D979" s="107"/>
      <c r="E979" s="107"/>
      <c r="F979" s="107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>
      <c r="A980" s="1"/>
      <c r="B980" s="1"/>
      <c r="C980" s="107"/>
      <c r="D980" s="107"/>
      <c r="E980" s="107"/>
      <c r="F980" s="107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>
      <c r="A981" s="1"/>
      <c r="B981" s="1"/>
      <c r="C981" s="107"/>
      <c r="D981" s="107"/>
      <c r="E981" s="107"/>
      <c r="F981" s="107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>
      <c r="A982" s="1"/>
      <c r="B982" s="1"/>
      <c r="C982" s="107"/>
      <c r="D982" s="107"/>
      <c r="E982" s="107"/>
      <c r="F982" s="107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>
      <c r="A983" s="1"/>
      <c r="B983" s="1"/>
      <c r="C983" s="107"/>
      <c r="D983" s="107"/>
      <c r="E983" s="107"/>
      <c r="F983" s="107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>
      <c r="A984" s="1"/>
      <c r="B984" s="1"/>
      <c r="C984" s="107"/>
      <c r="D984" s="107"/>
      <c r="E984" s="107"/>
      <c r="F984" s="107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>
      <c r="A985" s="1"/>
      <c r="B985" s="1"/>
      <c r="C985" s="107"/>
      <c r="D985" s="107"/>
      <c r="E985" s="107"/>
      <c r="F985" s="107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>
      <c r="A986" s="1"/>
      <c r="B986" s="1"/>
      <c r="C986" s="107"/>
      <c r="D986" s="107"/>
      <c r="E986" s="107"/>
      <c r="F986" s="107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>
      <c r="A987" s="1"/>
      <c r="B987" s="1"/>
      <c r="C987" s="107"/>
      <c r="D987" s="107"/>
      <c r="E987" s="107"/>
      <c r="F987" s="107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>
      <c r="A988" s="1"/>
      <c r="B988" s="1"/>
      <c r="C988" s="107"/>
      <c r="D988" s="107"/>
      <c r="E988" s="107"/>
      <c r="F988" s="107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>
      <c r="A989" s="1"/>
      <c r="B989" s="1"/>
      <c r="C989" s="107"/>
      <c r="D989" s="107"/>
      <c r="E989" s="107"/>
      <c r="F989" s="107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>
      <c r="A990" s="1"/>
      <c r="B990" s="1"/>
      <c r="C990" s="107"/>
      <c r="D990" s="107"/>
      <c r="E990" s="107"/>
      <c r="F990" s="107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>
      <c r="A991" s="1"/>
      <c r="B991" s="1"/>
      <c r="C991" s="107"/>
      <c r="D991" s="107"/>
      <c r="E991" s="107"/>
      <c r="F991" s="107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>
      <c r="A992" s="1"/>
      <c r="B992" s="1"/>
      <c r="C992" s="107"/>
      <c r="D992" s="107"/>
      <c r="E992" s="107"/>
      <c r="F992" s="107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>
      <c r="A993" s="1"/>
      <c r="B993" s="1"/>
      <c r="C993" s="107"/>
      <c r="D993" s="107"/>
      <c r="E993" s="107"/>
      <c r="F993" s="107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>
      <c r="A994" s="1"/>
      <c r="B994" s="1"/>
      <c r="C994" s="107"/>
      <c r="D994" s="107"/>
      <c r="E994" s="107"/>
      <c r="F994" s="107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>
      <c r="A995" s="1"/>
      <c r="B995" s="1"/>
      <c r="C995" s="107"/>
      <c r="D995" s="107"/>
      <c r="E995" s="107"/>
      <c r="F995" s="107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>
      <c r="A996" s="1"/>
      <c r="B996" s="1"/>
      <c r="C996" s="107"/>
      <c r="D996" s="107"/>
      <c r="E996" s="107"/>
      <c r="F996" s="107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>
      <c r="A997" s="1"/>
      <c r="B997" s="1"/>
      <c r="C997" s="107"/>
      <c r="D997" s="107"/>
      <c r="E997" s="107"/>
      <c r="F997" s="107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>
      <c r="A998" s="1"/>
      <c r="B998" s="1"/>
      <c r="C998" s="107"/>
      <c r="D998" s="107"/>
      <c r="E998" s="107"/>
      <c r="F998" s="107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>
      <c r="A999" s="1"/>
      <c r="B999" s="1"/>
      <c r="C999" s="107"/>
      <c r="D999" s="107"/>
      <c r="E999" s="107"/>
      <c r="F999" s="107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>
      <c r="A1000" s="1"/>
      <c r="B1000" s="1"/>
      <c r="C1000" s="107"/>
      <c r="D1000" s="107"/>
      <c r="E1000" s="107"/>
      <c r="F1000" s="107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026"/>
  <sheetViews>
    <sheetView workbookViewId="0">
      <selection activeCell="M1" sqref="M1:N7"/>
    </sheetView>
  </sheetViews>
  <sheetFormatPr defaultColWidth="11.25" defaultRowHeight="15" customHeight="1"/>
  <cols>
    <col min="1" max="1" width="45.625" customWidth="1"/>
    <col min="2" max="2" width="20.125" customWidth="1"/>
    <col min="3" max="3" width="19.75" bestFit="1" customWidth="1"/>
    <col min="4" max="4" width="17.625" bestFit="1" customWidth="1"/>
    <col min="5" max="5" width="25.5" customWidth="1"/>
    <col min="6" max="6" width="14.625" customWidth="1"/>
    <col min="7" max="7" width="18.375" customWidth="1"/>
    <col min="8" max="8" width="17.625" customWidth="1"/>
    <col min="9" max="9" width="13.75" customWidth="1"/>
    <col min="10" max="10" width="15.625" customWidth="1"/>
    <col min="11" max="11" width="15.75" customWidth="1"/>
    <col min="12" max="21" width="10.5" customWidth="1"/>
    <col min="22" max="22" width="4.5" customWidth="1"/>
    <col min="23" max="24" width="13.375" customWidth="1"/>
    <col min="25" max="25" width="16.125" customWidth="1"/>
    <col min="26" max="29" width="13.375" customWidth="1"/>
    <col min="30" max="30" width="21" customWidth="1"/>
    <col min="31" max="32" width="13.375" customWidth="1"/>
    <col min="33" max="33" width="9.875" customWidth="1"/>
    <col min="34" max="37" width="11.5" customWidth="1"/>
    <col min="38" max="38" width="2.375" customWidth="1"/>
    <col min="39" max="41" width="11.5" customWidth="1"/>
  </cols>
  <sheetData>
    <row r="1" spans="1:41" ht="15.75" customHeight="1">
      <c r="A1" s="49" t="s">
        <v>74</v>
      </c>
      <c r="B1" s="54" t="s">
        <v>75</v>
      </c>
      <c r="C1" s="54" t="s">
        <v>76</v>
      </c>
      <c r="D1" s="54" t="s">
        <v>77</v>
      </c>
      <c r="E1" s="54" t="s">
        <v>78</v>
      </c>
      <c r="F1" s="54" t="s">
        <v>23</v>
      </c>
      <c r="G1" s="54" t="s">
        <v>25</v>
      </c>
      <c r="H1" s="54" t="s">
        <v>79</v>
      </c>
      <c r="I1" s="154" t="s">
        <v>80</v>
      </c>
      <c r="J1" s="54" t="s">
        <v>81</v>
      </c>
      <c r="K1" s="155" t="s">
        <v>82</v>
      </c>
      <c r="L1" s="156" t="s">
        <v>13</v>
      </c>
      <c r="M1" s="156" t="s">
        <v>83</v>
      </c>
      <c r="N1" s="156" t="s">
        <v>84</v>
      </c>
      <c r="O1" s="157" t="s">
        <v>85</v>
      </c>
      <c r="P1" s="157" t="s">
        <v>86</v>
      </c>
      <c r="Q1" s="157" t="s">
        <v>87</v>
      </c>
      <c r="R1" s="157" t="s">
        <v>88</v>
      </c>
      <c r="S1" s="157" t="s">
        <v>89</v>
      </c>
      <c r="T1" s="157" t="s">
        <v>90</v>
      </c>
      <c r="U1" s="157" t="s">
        <v>91</v>
      </c>
      <c r="V1" s="158"/>
      <c r="W1" s="159" t="s">
        <v>92</v>
      </c>
      <c r="X1" s="159" t="s">
        <v>93</v>
      </c>
      <c r="Y1" s="159" t="s">
        <v>94</v>
      </c>
      <c r="Z1" s="159" t="s">
        <v>95</v>
      </c>
      <c r="AA1" s="159" t="s">
        <v>96</v>
      </c>
      <c r="AB1" s="160" t="s">
        <v>97</v>
      </c>
      <c r="AC1" s="160" t="s">
        <v>98</v>
      </c>
      <c r="AD1" s="160" t="s">
        <v>99</v>
      </c>
      <c r="AE1" s="160" t="s">
        <v>100</v>
      </c>
      <c r="AF1" s="160" t="s">
        <v>101</v>
      </c>
      <c r="AG1" s="1"/>
      <c r="AH1" s="161" t="s">
        <v>102</v>
      </c>
      <c r="AI1" s="161" t="s">
        <v>103</v>
      </c>
      <c r="AJ1" s="161" t="s">
        <v>104</v>
      </c>
      <c r="AK1" s="161" t="s">
        <v>105</v>
      </c>
      <c r="AL1" s="1"/>
      <c r="AM1" s="162" t="s">
        <v>106</v>
      </c>
      <c r="AN1" s="162" t="s">
        <v>107</v>
      </c>
      <c r="AO1" s="162" t="s">
        <v>108</v>
      </c>
    </row>
    <row r="2" spans="1:41" ht="15.75" customHeight="1">
      <c r="A2" s="163" t="s">
        <v>109</v>
      </c>
      <c r="B2" s="164">
        <v>19</v>
      </c>
      <c r="C2" s="164">
        <v>3</v>
      </c>
      <c r="D2" s="164">
        <v>127</v>
      </c>
      <c r="E2" s="164">
        <v>35</v>
      </c>
      <c r="F2" s="165">
        <v>250</v>
      </c>
      <c r="G2" s="165">
        <v>115</v>
      </c>
      <c r="H2" s="166">
        <f t="shared" ref="H2:H39" si="0">(B2*F2*$B$43)+(C2*G2*$B$44)</f>
        <v>15901.369999999999</v>
      </c>
      <c r="I2" s="167">
        <f t="shared" ref="I2:I39" si="1">SUM(H2*CO2eCalc)</f>
        <v>23918.681740299999</v>
      </c>
      <c r="J2" s="168">
        <f t="shared" ref="J2:J39" si="2">SUM(B2*F2*$B$76)</f>
        <v>1567500</v>
      </c>
      <c r="K2" s="169">
        <f t="shared" ref="K2:K39" si="3">SUM(C2*G2*$B$77)</f>
        <v>200100</v>
      </c>
      <c r="L2" s="170">
        <f>SUM((((EU2EUpct*$F2)*($B2*B$43))+((EU2EUpct*$G2)*($C2*$B$44)))+((EU2worldpct*$F2)*($B2*$B$43))+((EU2worldpct*$G2)*($C2*$B$44)))</f>
        <v>11926.027499999998</v>
      </c>
      <c r="M2" s="171">
        <f t="shared" ref="M2:M39" si="4">SUM(((EU2EUpct*$F2)*($B2*B$43))+((EU2EUpct*$G2)*($C2*$B$44)))</f>
        <v>6360.5479999999998</v>
      </c>
      <c r="N2" s="172">
        <f t="shared" ref="N2:N39" si="5">SUM(((EU2worldpct*$F2)*($B2*$B$43))+((EU2worldpct*$G2)*($C2*$B$44)))</f>
        <v>5565.4794999999995</v>
      </c>
      <c r="O2" s="173">
        <f t="shared" ref="O2:O39" si="6">SUM(((ROWvoyagePCT*$F2)*($B2*$B$43))+((ROWvoyagePCT*$G2)*($C2*$B$44)))</f>
        <v>3975.3424999999997</v>
      </c>
      <c r="P2" s="174">
        <f t="shared" ref="P2:P39" si="7">SUM(M2:O2)</f>
        <v>15901.369999999999</v>
      </c>
      <c r="Q2" s="170">
        <f t="shared" ref="Q2:Q39" si="8">SUM(R2:S2)</f>
        <v>17939.011305224998</v>
      </c>
      <c r="R2" s="171">
        <f t="shared" ref="R2:R39" si="9">M2*CO2eCalc</f>
        <v>9567.4726961199995</v>
      </c>
      <c r="S2" s="172">
        <f t="shared" ref="S2:S39" si="10">N2*CO2eCalc</f>
        <v>8371.5386091049986</v>
      </c>
      <c r="T2" s="173">
        <f t="shared" ref="T2:T39" si="11">O2*CO2eCalc</f>
        <v>5979.6704350749997</v>
      </c>
      <c r="U2" s="174">
        <f t="shared" ref="U2:U39" si="12">SUM(R2:T2)</f>
        <v>23918.681740299999</v>
      </c>
      <c r="V2" s="175"/>
      <c r="W2" s="170">
        <f t="shared" ref="W2:W39" si="13">SUM(L2*FT_CO2reduction)</f>
        <v>479.42630549999996</v>
      </c>
      <c r="X2" s="171">
        <f t="shared" ref="X2:X39" si="14">SUM(M2*FT_CO2reduction)</f>
        <v>255.69402959999999</v>
      </c>
      <c r="Y2" s="172">
        <f t="shared" ref="Y2:Y39" si="15">SUM(N2*FT_CO2reduction)</f>
        <v>223.73227589999996</v>
      </c>
      <c r="Z2" s="173">
        <f t="shared" ref="Z2:Z39" si="16">SUM(O2*FT_CO2reduction)</f>
        <v>159.80876849999999</v>
      </c>
      <c r="AA2" s="174">
        <f t="shared" ref="AA2:AA39" si="17">SUM(P2*FT_CO2reduction)</f>
        <v>639.23507399999994</v>
      </c>
      <c r="AB2" s="170">
        <f t="shared" ref="AB2:AB39" si="18">SUM(Q2*FT_CO2reduction)</f>
        <v>721.14825447004489</v>
      </c>
      <c r="AC2" s="171">
        <f t="shared" ref="AC2:AC39" si="19">SUM(R2*FT_CO2reduction)</f>
        <v>384.61240238402399</v>
      </c>
      <c r="AD2" s="172">
        <f t="shared" ref="AD2:AD39" si="20">SUM(S2*FT_CO2reduction)</f>
        <v>336.53585208602095</v>
      </c>
      <c r="AE2" s="173">
        <f t="shared" ref="AE2:AE39" si="21">SUM(T2*FT_CO2reduction)</f>
        <v>240.38275149001498</v>
      </c>
      <c r="AF2" s="174">
        <f t="shared" ref="AF2:AF39" si="22">SUM(U2*FT_CO2reduction)</f>
        <v>961.53100596005993</v>
      </c>
      <c r="AG2" s="1"/>
      <c r="AH2" s="176">
        <f t="shared" ref="AH2:AH39" si="23">SUM($L2*EUA_24)*EUAprice</f>
        <v>322479.78359999991</v>
      </c>
      <c r="AI2" s="176">
        <f t="shared" ref="AI2:AI39" si="24">SUM($Q2*EUA_25)*EUAprice</f>
        <v>848874.01496324677</v>
      </c>
      <c r="AJ2" s="176">
        <f t="shared" ref="AJ2:AJ39" si="25">SUM($Q2*EUA_26)*EUAprice</f>
        <v>848874.01496324677</v>
      </c>
      <c r="AK2" s="176">
        <f t="shared" ref="AK2:AK39" si="26">SUM($Q2*EUA_27)*EUAprice</f>
        <v>1212677.1642332098</v>
      </c>
      <c r="AL2" s="1"/>
      <c r="AM2" s="177">
        <f t="shared" ref="AM2:AM39" si="27">SUM($Q2*EUA_25)*EUAfuture25</f>
        <v>1086558.7391529558</v>
      </c>
      <c r="AN2" s="177">
        <f t="shared" ref="AN2:AN39" si="28">SUM($Q2*EUA_26)*EUAfuture26</f>
        <v>1494018.2663353144</v>
      </c>
      <c r="AO2" s="177">
        <f t="shared" ref="AO2:AO39" si="29">SUM($Q2*EUA_27)*EUAfuture27</f>
        <v>3152960.6270063454</v>
      </c>
    </row>
    <row r="3" spans="1:41" ht="15.75" customHeight="1">
      <c r="A3" s="163" t="s">
        <v>5</v>
      </c>
      <c r="B3" s="164">
        <v>19</v>
      </c>
      <c r="C3" s="164">
        <v>3</v>
      </c>
      <c r="D3" s="164">
        <v>127</v>
      </c>
      <c r="E3" s="164">
        <v>28</v>
      </c>
      <c r="F3" s="165">
        <v>250</v>
      </c>
      <c r="G3" s="165">
        <v>115</v>
      </c>
      <c r="H3" s="166">
        <f t="shared" si="0"/>
        <v>15901.369999999999</v>
      </c>
      <c r="I3" s="167">
        <f t="shared" si="1"/>
        <v>23918.681740299999</v>
      </c>
      <c r="J3" s="168">
        <f t="shared" si="2"/>
        <v>1567500</v>
      </c>
      <c r="K3" s="169">
        <f t="shared" si="3"/>
        <v>200100</v>
      </c>
      <c r="L3" s="170">
        <f>SUM((((EU2EUpct*$F3)*($B3*B$43))+((EU2EUpct*$G3)*($C3*$B$44)))+((EU2worldpct*$F3)*($B3*$B$43))+((EU2worldpct*$G3)*($C3*$B$44)))</f>
        <v>11926.027499999998</v>
      </c>
      <c r="M3" s="171">
        <f t="shared" si="4"/>
        <v>6360.5479999999998</v>
      </c>
      <c r="N3" s="172">
        <f t="shared" si="5"/>
        <v>5565.4794999999995</v>
      </c>
      <c r="O3" s="173">
        <f t="shared" si="6"/>
        <v>3975.3424999999997</v>
      </c>
      <c r="P3" s="174">
        <f t="shared" si="7"/>
        <v>15901.369999999999</v>
      </c>
      <c r="Q3" s="170">
        <f t="shared" si="8"/>
        <v>17939.011305224998</v>
      </c>
      <c r="R3" s="171">
        <f t="shared" si="9"/>
        <v>9567.4726961199995</v>
      </c>
      <c r="S3" s="172">
        <f t="shared" si="10"/>
        <v>8371.5386091049986</v>
      </c>
      <c r="T3" s="173">
        <f t="shared" si="11"/>
        <v>5979.6704350749997</v>
      </c>
      <c r="U3" s="174">
        <f t="shared" si="12"/>
        <v>23918.681740299999</v>
      </c>
      <c r="V3" s="175"/>
      <c r="W3" s="170">
        <f t="shared" si="13"/>
        <v>479.42630549999996</v>
      </c>
      <c r="X3" s="171">
        <f t="shared" si="14"/>
        <v>255.69402959999999</v>
      </c>
      <c r="Y3" s="172">
        <f t="shared" si="15"/>
        <v>223.73227589999996</v>
      </c>
      <c r="Z3" s="173">
        <f t="shared" si="16"/>
        <v>159.80876849999999</v>
      </c>
      <c r="AA3" s="174">
        <f t="shared" si="17"/>
        <v>639.23507399999994</v>
      </c>
      <c r="AB3" s="170">
        <f t="shared" si="18"/>
        <v>721.14825447004489</v>
      </c>
      <c r="AC3" s="171">
        <f t="shared" si="19"/>
        <v>384.61240238402399</v>
      </c>
      <c r="AD3" s="172">
        <f t="shared" si="20"/>
        <v>336.53585208602095</v>
      </c>
      <c r="AE3" s="173">
        <f t="shared" si="21"/>
        <v>240.38275149001498</v>
      </c>
      <c r="AF3" s="174">
        <f t="shared" si="22"/>
        <v>961.53100596005993</v>
      </c>
      <c r="AG3" s="1"/>
      <c r="AH3" s="176">
        <f t="shared" si="23"/>
        <v>322479.78359999991</v>
      </c>
      <c r="AI3" s="176">
        <f t="shared" si="24"/>
        <v>848874.01496324677</v>
      </c>
      <c r="AJ3" s="176">
        <f t="shared" si="25"/>
        <v>848874.01496324677</v>
      </c>
      <c r="AK3" s="176">
        <f t="shared" si="26"/>
        <v>1212677.1642332098</v>
      </c>
      <c r="AL3" s="1"/>
      <c r="AM3" s="177">
        <f t="shared" si="27"/>
        <v>1086558.7391529558</v>
      </c>
      <c r="AN3" s="177">
        <f t="shared" si="28"/>
        <v>1494018.2663353144</v>
      </c>
      <c r="AO3" s="177">
        <f t="shared" si="29"/>
        <v>3152960.6270063454</v>
      </c>
    </row>
    <row r="4" spans="1:41" ht="15.75" customHeight="1">
      <c r="A4" s="163" t="s">
        <v>110</v>
      </c>
      <c r="B4" s="164">
        <v>24</v>
      </c>
      <c r="C4" s="164">
        <v>5</v>
      </c>
      <c r="D4" s="164">
        <v>165</v>
      </c>
      <c r="E4" s="164">
        <v>28</v>
      </c>
      <c r="F4" s="165">
        <v>250</v>
      </c>
      <c r="G4" s="165">
        <v>115</v>
      </c>
      <c r="H4" s="166">
        <f t="shared" si="0"/>
        <v>20532.25</v>
      </c>
      <c r="I4" s="167">
        <f t="shared" si="1"/>
        <v>30884.405127499998</v>
      </c>
      <c r="J4" s="168">
        <f t="shared" si="2"/>
        <v>1980000</v>
      </c>
      <c r="K4" s="169">
        <f t="shared" si="3"/>
        <v>333500</v>
      </c>
      <c r="L4" s="178">
        <f>SUM((((EU2EUpct*$F4)*($B4*B$43))+((EU2EUpct*$G4)*($C4*$B$44)))+((EU2worldpct*$F4)*($B4*$B$43))+((EU2worldpct*$G4)*($C4*$B$44)))</f>
        <v>15399.187500000002</v>
      </c>
      <c r="M4" s="179">
        <f t="shared" si="4"/>
        <v>8212.9000000000015</v>
      </c>
      <c r="N4" s="167">
        <f t="shared" si="5"/>
        <v>7186.2875000000004</v>
      </c>
      <c r="O4" s="180">
        <f t="shared" si="6"/>
        <v>5133.0625</v>
      </c>
      <c r="P4" s="181">
        <f t="shared" si="7"/>
        <v>20532.25</v>
      </c>
      <c r="Q4" s="178">
        <f t="shared" si="8"/>
        <v>23163.303845625</v>
      </c>
      <c r="R4" s="179">
        <f t="shared" si="9"/>
        <v>12353.762051000002</v>
      </c>
      <c r="S4" s="167">
        <f t="shared" si="10"/>
        <v>10809.541794625</v>
      </c>
      <c r="T4" s="180">
        <f t="shared" si="11"/>
        <v>7721.1012818749996</v>
      </c>
      <c r="U4" s="181">
        <f t="shared" si="12"/>
        <v>30884.405127499998</v>
      </c>
      <c r="V4" s="182"/>
      <c r="W4" s="170">
        <f t="shared" si="13"/>
        <v>619.04733750000003</v>
      </c>
      <c r="X4" s="171">
        <f t="shared" si="14"/>
        <v>330.15858000000003</v>
      </c>
      <c r="Y4" s="172">
        <f t="shared" si="15"/>
        <v>288.8887575</v>
      </c>
      <c r="Z4" s="173">
        <f t="shared" si="16"/>
        <v>206.34911249999999</v>
      </c>
      <c r="AA4" s="174">
        <f t="shared" si="17"/>
        <v>825.39644999999996</v>
      </c>
      <c r="AB4" s="170">
        <f t="shared" si="18"/>
        <v>931.164814594125</v>
      </c>
      <c r="AC4" s="171">
        <f t="shared" si="19"/>
        <v>496.62123445020006</v>
      </c>
      <c r="AD4" s="172">
        <f t="shared" si="20"/>
        <v>434.543580143925</v>
      </c>
      <c r="AE4" s="173">
        <f t="shared" si="21"/>
        <v>310.38827153137498</v>
      </c>
      <c r="AF4" s="174">
        <f t="shared" si="22"/>
        <v>1241.5530861254999</v>
      </c>
      <c r="AG4" s="1"/>
      <c r="AH4" s="176">
        <f t="shared" si="23"/>
        <v>416394.03</v>
      </c>
      <c r="AI4" s="176">
        <f t="shared" si="24"/>
        <v>1096087.5379749748</v>
      </c>
      <c r="AJ4" s="176">
        <f t="shared" si="25"/>
        <v>1096087.5379749748</v>
      </c>
      <c r="AK4" s="176">
        <f t="shared" si="26"/>
        <v>1565839.3399642499</v>
      </c>
      <c r="AL4" s="1"/>
      <c r="AM4" s="177">
        <f t="shared" si="27"/>
        <v>1402992.0486079678</v>
      </c>
      <c r="AN4" s="177">
        <f t="shared" si="28"/>
        <v>1929114.0668359557</v>
      </c>
      <c r="AO4" s="177">
        <f t="shared" si="29"/>
        <v>4071182.2839070498</v>
      </c>
    </row>
    <row r="5" spans="1:41" ht="15.75" customHeight="1">
      <c r="A5" s="163" t="s">
        <v>111</v>
      </c>
      <c r="B5" s="164">
        <v>55</v>
      </c>
      <c r="C5" s="164">
        <v>7</v>
      </c>
      <c r="D5" s="164">
        <v>220</v>
      </c>
      <c r="E5" s="164">
        <v>6</v>
      </c>
      <c r="F5" s="165">
        <v>265</v>
      </c>
      <c r="G5" s="165">
        <v>100</v>
      </c>
      <c r="H5" s="166">
        <f t="shared" si="0"/>
        <v>47642.409999999996</v>
      </c>
      <c r="I5" s="167">
        <f t="shared" si="1"/>
        <v>71663.236697899993</v>
      </c>
      <c r="J5" s="168">
        <f t="shared" si="2"/>
        <v>4809750</v>
      </c>
      <c r="K5" s="169">
        <f t="shared" si="3"/>
        <v>406000</v>
      </c>
      <c r="L5" s="178">
        <f t="shared" ref="L5:L13" si="30">SUM(((F5*EU2EUpct)*($B$44*$B5))+((F5*EU2worldpct)*($B$43*B5)+((G5*EU2EUpct)*($C5*$B$44))+((G5*EU2worldpct)*(C5*$B$44))))</f>
        <v>36263.503499999999</v>
      </c>
      <c r="M5" s="179">
        <f t="shared" si="4"/>
        <v>19056.964</v>
      </c>
      <c r="N5" s="167">
        <f t="shared" si="5"/>
        <v>16674.843499999999</v>
      </c>
      <c r="O5" s="180">
        <f t="shared" si="6"/>
        <v>11910.602499999999</v>
      </c>
      <c r="P5" s="181">
        <f t="shared" si="7"/>
        <v>47642.409999999996</v>
      </c>
      <c r="Q5" s="178">
        <f t="shared" si="8"/>
        <v>53747.427523424994</v>
      </c>
      <c r="R5" s="179">
        <f t="shared" si="9"/>
        <v>28665.294679159997</v>
      </c>
      <c r="S5" s="167">
        <f t="shared" si="10"/>
        <v>25082.132844264997</v>
      </c>
      <c r="T5" s="180">
        <f t="shared" si="11"/>
        <v>17915.809174474998</v>
      </c>
      <c r="U5" s="181">
        <f t="shared" si="12"/>
        <v>71663.236697899993</v>
      </c>
      <c r="V5" s="182"/>
      <c r="W5" s="170">
        <f t="shared" si="13"/>
        <v>1457.7928406999999</v>
      </c>
      <c r="X5" s="171">
        <f t="shared" si="14"/>
        <v>766.08995279999999</v>
      </c>
      <c r="Y5" s="172">
        <f t="shared" si="15"/>
        <v>670.32870869999999</v>
      </c>
      <c r="Z5" s="173">
        <f t="shared" si="16"/>
        <v>478.80622049999994</v>
      </c>
      <c r="AA5" s="174">
        <f t="shared" si="17"/>
        <v>1915.2248819999998</v>
      </c>
      <c r="AB5" s="170">
        <f t="shared" si="18"/>
        <v>2160.6465864416846</v>
      </c>
      <c r="AC5" s="171">
        <f t="shared" si="19"/>
        <v>1152.3448461022319</v>
      </c>
      <c r="AD5" s="172">
        <f t="shared" si="20"/>
        <v>1008.3017403394529</v>
      </c>
      <c r="AE5" s="173">
        <f t="shared" si="21"/>
        <v>720.21552881389493</v>
      </c>
      <c r="AF5" s="174">
        <f t="shared" si="22"/>
        <v>2880.8621152555797</v>
      </c>
      <c r="AG5" s="1"/>
      <c r="AH5" s="176">
        <f t="shared" si="23"/>
        <v>980565.13463999995</v>
      </c>
      <c r="AI5" s="176">
        <f t="shared" si="24"/>
        <v>2543328.2704084706</v>
      </c>
      <c r="AJ5" s="176">
        <f t="shared" si="25"/>
        <v>2543328.2704084706</v>
      </c>
      <c r="AK5" s="176">
        <f t="shared" si="26"/>
        <v>3633326.1005835291</v>
      </c>
      <c r="AL5" s="1"/>
      <c r="AM5" s="177">
        <f t="shared" si="27"/>
        <v>3255460.1861228421</v>
      </c>
      <c r="AN5" s="177">
        <f t="shared" si="28"/>
        <v>4476257.7559189079</v>
      </c>
      <c r="AO5" s="177">
        <f t="shared" si="29"/>
        <v>9446647.861517176</v>
      </c>
    </row>
    <row r="6" spans="1:41" ht="15.75" customHeight="1">
      <c r="A6" s="163" t="s">
        <v>112</v>
      </c>
      <c r="B6" s="164">
        <v>55</v>
      </c>
      <c r="C6" s="164">
        <v>7</v>
      </c>
      <c r="D6" s="164">
        <v>220</v>
      </c>
      <c r="E6" s="164">
        <v>6</v>
      </c>
      <c r="F6" s="165">
        <v>265</v>
      </c>
      <c r="G6" s="165">
        <v>100</v>
      </c>
      <c r="H6" s="166">
        <f t="shared" si="0"/>
        <v>47642.409999999996</v>
      </c>
      <c r="I6" s="167">
        <f t="shared" si="1"/>
        <v>71663.236697899993</v>
      </c>
      <c r="J6" s="168">
        <f t="shared" si="2"/>
        <v>4809750</v>
      </c>
      <c r="K6" s="169">
        <f t="shared" si="3"/>
        <v>406000</v>
      </c>
      <c r="L6" s="178">
        <f t="shared" si="30"/>
        <v>36263.503499999999</v>
      </c>
      <c r="M6" s="179">
        <f t="shared" si="4"/>
        <v>19056.964</v>
      </c>
      <c r="N6" s="167">
        <f t="shared" si="5"/>
        <v>16674.843499999999</v>
      </c>
      <c r="O6" s="180">
        <f t="shared" si="6"/>
        <v>11910.602499999999</v>
      </c>
      <c r="P6" s="181">
        <f t="shared" si="7"/>
        <v>47642.409999999996</v>
      </c>
      <c r="Q6" s="178">
        <f t="shared" si="8"/>
        <v>53747.427523424994</v>
      </c>
      <c r="R6" s="179">
        <f t="shared" si="9"/>
        <v>28665.294679159997</v>
      </c>
      <c r="S6" s="167">
        <f t="shared" si="10"/>
        <v>25082.132844264997</v>
      </c>
      <c r="T6" s="180">
        <f t="shared" si="11"/>
        <v>17915.809174474998</v>
      </c>
      <c r="U6" s="181">
        <f t="shared" si="12"/>
        <v>71663.236697899993</v>
      </c>
      <c r="V6" s="182"/>
      <c r="W6" s="170">
        <f t="shared" si="13"/>
        <v>1457.7928406999999</v>
      </c>
      <c r="X6" s="171">
        <f t="shared" si="14"/>
        <v>766.08995279999999</v>
      </c>
      <c r="Y6" s="172">
        <f t="shared" si="15"/>
        <v>670.32870869999999</v>
      </c>
      <c r="Z6" s="173">
        <f t="shared" si="16"/>
        <v>478.80622049999994</v>
      </c>
      <c r="AA6" s="174">
        <f t="shared" si="17"/>
        <v>1915.2248819999998</v>
      </c>
      <c r="AB6" s="170">
        <f t="shared" si="18"/>
        <v>2160.6465864416846</v>
      </c>
      <c r="AC6" s="171">
        <f t="shared" si="19"/>
        <v>1152.3448461022319</v>
      </c>
      <c r="AD6" s="172">
        <f t="shared" si="20"/>
        <v>1008.3017403394529</v>
      </c>
      <c r="AE6" s="173">
        <f t="shared" si="21"/>
        <v>720.21552881389493</v>
      </c>
      <c r="AF6" s="174">
        <f t="shared" si="22"/>
        <v>2880.8621152555797</v>
      </c>
      <c r="AG6" s="1"/>
      <c r="AH6" s="176">
        <f t="shared" si="23"/>
        <v>980565.13463999995</v>
      </c>
      <c r="AI6" s="176">
        <f t="shared" si="24"/>
        <v>2543328.2704084706</v>
      </c>
      <c r="AJ6" s="176">
        <f t="shared" si="25"/>
        <v>2543328.2704084706</v>
      </c>
      <c r="AK6" s="176">
        <f t="shared" si="26"/>
        <v>3633326.1005835291</v>
      </c>
      <c r="AL6" s="1"/>
      <c r="AM6" s="177">
        <f t="shared" si="27"/>
        <v>3255460.1861228421</v>
      </c>
      <c r="AN6" s="177">
        <f t="shared" si="28"/>
        <v>4476257.7559189079</v>
      </c>
      <c r="AO6" s="177">
        <f t="shared" si="29"/>
        <v>9446647.861517176</v>
      </c>
    </row>
    <row r="7" spans="1:41" ht="15.75" customHeight="1">
      <c r="A7" s="163" t="s">
        <v>113</v>
      </c>
      <c r="B7" s="164">
        <v>45</v>
      </c>
      <c r="C7" s="164">
        <v>6</v>
      </c>
      <c r="D7" s="164">
        <v>220</v>
      </c>
      <c r="E7" s="164">
        <v>6</v>
      </c>
      <c r="F7" s="183">
        <v>250</v>
      </c>
      <c r="G7" s="165">
        <v>115</v>
      </c>
      <c r="H7" s="166">
        <f t="shared" si="0"/>
        <v>37253.64</v>
      </c>
      <c r="I7" s="167">
        <f t="shared" si="1"/>
        <v>56036.552751599993</v>
      </c>
      <c r="J7" s="168">
        <f t="shared" si="2"/>
        <v>3712500</v>
      </c>
      <c r="K7" s="169">
        <f t="shared" si="3"/>
        <v>400200</v>
      </c>
      <c r="L7" s="178">
        <f t="shared" si="30"/>
        <v>28350.63</v>
      </c>
      <c r="M7" s="179">
        <f t="shared" si="4"/>
        <v>14901.456</v>
      </c>
      <c r="N7" s="167">
        <f t="shared" si="5"/>
        <v>13038.773999999999</v>
      </c>
      <c r="O7" s="180">
        <f t="shared" si="6"/>
        <v>9313.41</v>
      </c>
      <c r="P7" s="181">
        <f t="shared" si="7"/>
        <v>37253.64</v>
      </c>
      <c r="Q7" s="178">
        <f t="shared" si="8"/>
        <v>42027.414563699997</v>
      </c>
      <c r="R7" s="179">
        <f t="shared" si="9"/>
        <v>22414.621100639997</v>
      </c>
      <c r="S7" s="167">
        <f t="shared" si="10"/>
        <v>19612.793463059999</v>
      </c>
      <c r="T7" s="180">
        <f t="shared" si="11"/>
        <v>14009.138187899998</v>
      </c>
      <c r="U7" s="181">
        <f t="shared" si="12"/>
        <v>56036.552751599993</v>
      </c>
      <c r="V7" s="182"/>
      <c r="W7" s="170">
        <f t="shared" si="13"/>
        <v>1139.695326</v>
      </c>
      <c r="X7" s="171">
        <f t="shared" si="14"/>
        <v>599.03853119999997</v>
      </c>
      <c r="Y7" s="172">
        <f t="shared" si="15"/>
        <v>524.15871479999998</v>
      </c>
      <c r="Z7" s="173">
        <f t="shared" si="16"/>
        <v>374.39908199999996</v>
      </c>
      <c r="AA7" s="174">
        <f t="shared" si="17"/>
        <v>1497.5963279999999</v>
      </c>
      <c r="AB7" s="170">
        <f t="shared" si="18"/>
        <v>1689.5020654607399</v>
      </c>
      <c r="AC7" s="171">
        <f t="shared" si="19"/>
        <v>901.06776824572785</v>
      </c>
      <c r="AD7" s="172">
        <f t="shared" si="20"/>
        <v>788.43429721501195</v>
      </c>
      <c r="AE7" s="173">
        <f t="shared" si="21"/>
        <v>563.16735515357993</v>
      </c>
      <c r="AF7" s="174">
        <f t="shared" si="22"/>
        <v>2252.6694206143197</v>
      </c>
      <c r="AG7" s="1"/>
      <c r="AH7" s="176">
        <f t="shared" si="23"/>
        <v>766601.03519999993</v>
      </c>
      <c r="AI7" s="176">
        <f t="shared" si="24"/>
        <v>1988737.2571542836</v>
      </c>
      <c r="AJ7" s="176">
        <f t="shared" si="25"/>
        <v>1988737.2571542836</v>
      </c>
      <c r="AK7" s="176">
        <f t="shared" si="26"/>
        <v>2841053.2245061197</v>
      </c>
      <c r="AL7" s="1"/>
      <c r="AM7" s="177">
        <f t="shared" si="27"/>
        <v>2545583.6891574827</v>
      </c>
      <c r="AN7" s="177">
        <f t="shared" si="28"/>
        <v>3500177.572591539</v>
      </c>
      <c r="AO7" s="177">
        <f t="shared" si="29"/>
        <v>7386738.3837159108</v>
      </c>
    </row>
    <row r="8" spans="1:41" ht="15.75" customHeight="1">
      <c r="A8" s="163" t="s">
        <v>114</v>
      </c>
      <c r="B8" s="164">
        <v>50</v>
      </c>
      <c r="C8" s="164">
        <v>6</v>
      </c>
      <c r="D8" s="164">
        <v>220</v>
      </c>
      <c r="E8" s="164">
        <v>6</v>
      </c>
      <c r="F8" s="183">
        <v>250</v>
      </c>
      <c r="G8" s="165">
        <v>115</v>
      </c>
      <c r="H8" s="166">
        <f t="shared" si="0"/>
        <v>41147.14</v>
      </c>
      <c r="I8" s="167">
        <f t="shared" si="1"/>
        <v>61893.116516599999</v>
      </c>
      <c r="J8" s="168">
        <f t="shared" si="2"/>
        <v>4125000</v>
      </c>
      <c r="K8" s="169">
        <f t="shared" si="3"/>
        <v>400200</v>
      </c>
      <c r="L8" s="178">
        <f t="shared" si="30"/>
        <v>31316.355</v>
      </c>
      <c r="M8" s="179">
        <f t="shared" si="4"/>
        <v>16458.856</v>
      </c>
      <c r="N8" s="167">
        <f t="shared" si="5"/>
        <v>14401.498999999998</v>
      </c>
      <c r="O8" s="180">
        <f t="shared" si="6"/>
        <v>10286.784999999998</v>
      </c>
      <c r="P8" s="181">
        <f t="shared" si="7"/>
        <v>41147.139999999992</v>
      </c>
      <c r="Q8" s="178">
        <f t="shared" si="8"/>
        <v>46419.837387449996</v>
      </c>
      <c r="R8" s="179">
        <f t="shared" si="9"/>
        <v>24757.246606639997</v>
      </c>
      <c r="S8" s="167">
        <f t="shared" si="10"/>
        <v>21662.590780809995</v>
      </c>
      <c r="T8" s="180">
        <f t="shared" si="11"/>
        <v>15473.279129149996</v>
      </c>
      <c r="U8" s="181">
        <f t="shared" si="12"/>
        <v>61893.116516599992</v>
      </c>
      <c r="V8" s="182"/>
      <c r="W8" s="170">
        <f t="shared" si="13"/>
        <v>1258.917471</v>
      </c>
      <c r="X8" s="171">
        <f t="shared" si="14"/>
        <v>661.64601119999998</v>
      </c>
      <c r="Y8" s="172">
        <f t="shared" si="15"/>
        <v>578.94025979999992</v>
      </c>
      <c r="Z8" s="173">
        <f t="shared" si="16"/>
        <v>413.52875699999993</v>
      </c>
      <c r="AA8" s="174">
        <f t="shared" si="17"/>
        <v>1654.1150279999997</v>
      </c>
      <c r="AB8" s="170">
        <f t="shared" si="18"/>
        <v>1866.0774629754899</v>
      </c>
      <c r="AC8" s="171">
        <f t="shared" si="19"/>
        <v>995.24131358692784</v>
      </c>
      <c r="AD8" s="172">
        <f t="shared" si="20"/>
        <v>870.83614938856181</v>
      </c>
      <c r="AE8" s="173">
        <f t="shared" si="21"/>
        <v>622.02582099182985</v>
      </c>
      <c r="AF8" s="174">
        <f t="shared" si="22"/>
        <v>2488.1032839673198</v>
      </c>
      <c r="AG8" s="1"/>
      <c r="AH8" s="176">
        <f t="shared" si="23"/>
        <v>846794.23920000007</v>
      </c>
      <c r="AI8" s="176">
        <f t="shared" si="24"/>
        <v>2196586.7051741336</v>
      </c>
      <c r="AJ8" s="176">
        <f t="shared" si="25"/>
        <v>2196586.7051741336</v>
      </c>
      <c r="AK8" s="176">
        <f t="shared" si="26"/>
        <v>3137981.0073916195</v>
      </c>
      <c r="AL8" s="1"/>
      <c r="AM8" s="177">
        <f t="shared" si="27"/>
        <v>2811630.9826228907</v>
      </c>
      <c r="AN8" s="177">
        <f t="shared" si="28"/>
        <v>3865992.6011064746</v>
      </c>
      <c r="AO8" s="177">
        <f t="shared" si="29"/>
        <v>8158750.6192182107</v>
      </c>
    </row>
    <row r="9" spans="1:41" ht="15.75" customHeight="1">
      <c r="A9" s="163" t="s">
        <v>115</v>
      </c>
      <c r="B9" s="164">
        <v>62</v>
      </c>
      <c r="C9" s="164">
        <v>10</v>
      </c>
      <c r="D9" s="164">
        <v>185</v>
      </c>
      <c r="E9" s="164">
        <v>2</v>
      </c>
      <c r="F9" s="165">
        <v>230</v>
      </c>
      <c r="G9" s="183">
        <v>135</v>
      </c>
      <c r="H9" s="166">
        <f t="shared" si="0"/>
        <v>48745.147999999994</v>
      </c>
      <c r="I9" s="167">
        <f t="shared" si="1"/>
        <v>73321.964170119987</v>
      </c>
      <c r="J9" s="168">
        <f t="shared" si="2"/>
        <v>4705800</v>
      </c>
      <c r="K9" s="169">
        <f t="shared" si="3"/>
        <v>783000</v>
      </c>
      <c r="L9" s="178">
        <f t="shared" si="30"/>
        <v>37079.065799999997</v>
      </c>
      <c r="M9" s="179">
        <f t="shared" si="4"/>
        <v>19498.0592</v>
      </c>
      <c r="N9" s="167">
        <f t="shared" si="5"/>
        <v>17060.801799999997</v>
      </c>
      <c r="O9" s="180">
        <f t="shared" si="6"/>
        <v>12186.286999999998</v>
      </c>
      <c r="P9" s="181">
        <f t="shared" si="7"/>
        <v>48745.147999999994</v>
      </c>
      <c r="Q9" s="178">
        <f t="shared" si="8"/>
        <v>54991.47312758999</v>
      </c>
      <c r="R9" s="179">
        <f t="shared" si="9"/>
        <v>29328.785668047996</v>
      </c>
      <c r="S9" s="167">
        <f t="shared" si="10"/>
        <v>25662.687459541994</v>
      </c>
      <c r="T9" s="180">
        <f t="shared" si="11"/>
        <v>18330.491042529997</v>
      </c>
      <c r="U9" s="181">
        <f t="shared" si="12"/>
        <v>73321.964170119987</v>
      </c>
      <c r="V9" s="182"/>
      <c r="W9" s="170">
        <f t="shared" si="13"/>
        <v>1490.5784451599998</v>
      </c>
      <c r="X9" s="171">
        <f t="shared" si="14"/>
        <v>783.82197983999993</v>
      </c>
      <c r="Y9" s="172">
        <f t="shared" si="15"/>
        <v>685.84423235999986</v>
      </c>
      <c r="Z9" s="173">
        <f t="shared" si="16"/>
        <v>489.88873739999991</v>
      </c>
      <c r="AA9" s="174">
        <f t="shared" si="17"/>
        <v>1959.5549495999996</v>
      </c>
      <c r="AB9" s="170">
        <f t="shared" si="18"/>
        <v>2210.6572197291175</v>
      </c>
      <c r="AC9" s="171">
        <f t="shared" si="19"/>
        <v>1179.0171838555295</v>
      </c>
      <c r="AD9" s="172">
        <f t="shared" si="20"/>
        <v>1031.6400358735882</v>
      </c>
      <c r="AE9" s="173">
        <f t="shared" si="21"/>
        <v>736.88573990970588</v>
      </c>
      <c r="AF9" s="174">
        <f t="shared" si="22"/>
        <v>2947.5429596388235</v>
      </c>
      <c r="AG9" s="1"/>
      <c r="AH9" s="176">
        <f t="shared" si="23"/>
        <v>1002617.9392319999</v>
      </c>
      <c r="AI9" s="176">
        <f t="shared" si="24"/>
        <v>2602196.5083975578</v>
      </c>
      <c r="AJ9" s="176">
        <f t="shared" si="25"/>
        <v>2602196.5083975578</v>
      </c>
      <c r="AK9" s="176">
        <f t="shared" si="26"/>
        <v>3717423.5834250832</v>
      </c>
      <c r="AL9" s="1"/>
      <c r="AM9" s="177">
        <f t="shared" si="27"/>
        <v>3330811.5307488739</v>
      </c>
      <c r="AN9" s="177">
        <f t="shared" si="28"/>
        <v>4579865.8547797017</v>
      </c>
      <c r="AO9" s="177">
        <f t="shared" si="29"/>
        <v>9665301.3169052154</v>
      </c>
    </row>
    <row r="10" spans="1:41" ht="15.75" customHeight="1">
      <c r="A10" s="163" t="s">
        <v>116</v>
      </c>
      <c r="B10" s="164">
        <v>72</v>
      </c>
      <c r="C10" s="164">
        <v>10</v>
      </c>
      <c r="D10" s="164">
        <v>185</v>
      </c>
      <c r="E10" s="164">
        <v>2</v>
      </c>
      <c r="F10" s="165">
        <v>230</v>
      </c>
      <c r="G10" s="183">
        <v>135</v>
      </c>
      <c r="H10" s="166">
        <f t="shared" si="0"/>
        <v>55909.187999999995</v>
      </c>
      <c r="I10" s="167">
        <f t="shared" si="1"/>
        <v>84098.041497719983</v>
      </c>
      <c r="J10" s="168">
        <f t="shared" si="2"/>
        <v>5464800</v>
      </c>
      <c r="K10" s="169">
        <f t="shared" si="3"/>
        <v>783000</v>
      </c>
      <c r="L10" s="178">
        <f t="shared" si="30"/>
        <v>42535.999799999998</v>
      </c>
      <c r="M10" s="179">
        <f t="shared" si="4"/>
        <v>22363.675199999998</v>
      </c>
      <c r="N10" s="167">
        <f t="shared" si="5"/>
        <v>19568.215799999998</v>
      </c>
      <c r="O10" s="180">
        <f t="shared" si="6"/>
        <v>13977.296999999999</v>
      </c>
      <c r="P10" s="181">
        <f t="shared" si="7"/>
        <v>55909.187999999995</v>
      </c>
      <c r="Q10" s="178">
        <f t="shared" si="8"/>
        <v>63073.531123289991</v>
      </c>
      <c r="R10" s="179">
        <f t="shared" si="9"/>
        <v>33639.216599087995</v>
      </c>
      <c r="S10" s="167">
        <f t="shared" si="10"/>
        <v>29434.314524201996</v>
      </c>
      <c r="T10" s="180">
        <f t="shared" si="11"/>
        <v>21024.510374429996</v>
      </c>
      <c r="U10" s="181">
        <f t="shared" si="12"/>
        <v>84098.041497719983</v>
      </c>
      <c r="V10" s="182"/>
      <c r="W10" s="170">
        <f t="shared" si="13"/>
        <v>1709.9471919599998</v>
      </c>
      <c r="X10" s="171">
        <f t="shared" si="14"/>
        <v>899.01974303999987</v>
      </c>
      <c r="Y10" s="172">
        <f t="shared" si="15"/>
        <v>786.64227515999994</v>
      </c>
      <c r="Z10" s="173">
        <f t="shared" si="16"/>
        <v>561.88733939999997</v>
      </c>
      <c r="AA10" s="174">
        <f t="shared" si="17"/>
        <v>2247.5493575999999</v>
      </c>
      <c r="AB10" s="170">
        <f t="shared" si="18"/>
        <v>2535.5559511562578</v>
      </c>
      <c r="AC10" s="171">
        <f t="shared" si="19"/>
        <v>1352.2965072833374</v>
      </c>
      <c r="AD10" s="172">
        <f t="shared" si="20"/>
        <v>1183.2594438729202</v>
      </c>
      <c r="AE10" s="173">
        <f t="shared" si="21"/>
        <v>845.18531705208579</v>
      </c>
      <c r="AF10" s="174">
        <f t="shared" si="22"/>
        <v>3380.7412682083432</v>
      </c>
      <c r="AG10" s="1"/>
      <c r="AH10" s="176">
        <f t="shared" si="23"/>
        <v>1150173.434592</v>
      </c>
      <c r="AI10" s="176">
        <f t="shared" si="24"/>
        <v>2984639.4927540822</v>
      </c>
      <c r="AJ10" s="176">
        <f t="shared" si="25"/>
        <v>2984639.4927540822</v>
      </c>
      <c r="AK10" s="176">
        <f t="shared" si="26"/>
        <v>4263770.7039344031</v>
      </c>
      <c r="AL10" s="1"/>
      <c r="AM10" s="177">
        <f t="shared" si="27"/>
        <v>3820338.5507252254</v>
      </c>
      <c r="AN10" s="177">
        <f t="shared" si="28"/>
        <v>5252965.5072471844</v>
      </c>
      <c r="AO10" s="177">
        <f t="shared" si="29"/>
        <v>11085803.830229448</v>
      </c>
    </row>
    <row r="11" spans="1:41" ht="15.75" customHeight="1">
      <c r="A11" s="163" t="s">
        <v>117</v>
      </c>
      <c r="B11" s="164">
        <v>78</v>
      </c>
      <c r="C11" s="164">
        <v>5</v>
      </c>
      <c r="D11" s="164">
        <v>220</v>
      </c>
      <c r="E11" s="164">
        <v>2</v>
      </c>
      <c r="F11" s="183">
        <v>250</v>
      </c>
      <c r="G11" s="165">
        <v>115</v>
      </c>
      <c r="H11" s="166">
        <f t="shared" si="0"/>
        <v>62582.049999999996</v>
      </c>
      <c r="I11" s="167">
        <f t="shared" si="1"/>
        <v>94135.293789499992</v>
      </c>
      <c r="J11" s="168">
        <f t="shared" si="2"/>
        <v>6435000</v>
      </c>
      <c r="K11" s="169">
        <f t="shared" si="3"/>
        <v>333500</v>
      </c>
      <c r="L11" s="178">
        <f t="shared" si="30"/>
        <v>47647.897499999999</v>
      </c>
      <c r="M11" s="179">
        <f t="shared" si="4"/>
        <v>25032.82</v>
      </c>
      <c r="N11" s="167">
        <f t="shared" si="5"/>
        <v>21903.717499999999</v>
      </c>
      <c r="O11" s="180">
        <f t="shared" si="6"/>
        <v>15645.512499999999</v>
      </c>
      <c r="P11" s="181">
        <f t="shared" si="7"/>
        <v>62582.049999999996</v>
      </c>
      <c r="Q11" s="178">
        <f t="shared" si="8"/>
        <v>70601.470342124987</v>
      </c>
      <c r="R11" s="179">
        <f t="shared" si="9"/>
        <v>37654.117515799997</v>
      </c>
      <c r="S11" s="167">
        <f t="shared" si="10"/>
        <v>32947.352826324997</v>
      </c>
      <c r="T11" s="180">
        <f t="shared" si="11"/>
        <v>23533.823447374998</v>
      </c>
      <c r="U11" s="181">
        <f t="shared" si="12"/>
        <v>94135.293789499992</v>
      </c>
      <c r="V11" s="182"/>
      <c r="W11" s="170">
        <f t="shared" si="13"/>
        <v>1915.4454794999999</v>
      </c>
      <c r="X11" s="171">
        <f t="shared" si="14"/>
        <v>1006.319364</v>
      </c>
      <c r="Y11" s="172">
        <f t="shared" si="15"/>
        <v>880.52944349999996</v>
      </c>
      <c r="Z11" s="173">
        <f t="shared" si="16"/>
        <v>628.94960249999997</v>
      </c>
      <c r="AA11" s="174">
        <f t="shared" si="17"/>
        <v>2515.7984099999999</v>
      </c>
      <c r="AB11" s="170">
        <f t="shared" si="18"/>
        <v>2838.1791077534244</v>
      </c>
      <c r="AC11" s="171">
        <f t="shared" si="19"/>
        <v>1513.6955241351598</v>
      </c>
      <c r="AD11" s="172">
        <f t="shared" si="20"/>
        <v>1324.4835836182649</v>
      </c>
      <c r="AE11" s="173">
        <f t="shared" si="21"/>
        <v>946.05970258447496</v>
      </c>
      <c r="AF11" s="174">
        <f t="shared" si="22"/>
        <v>3784.2388103378998</v>
      </c>
      <c r="AG11" s="1"/>
      <c r="AH11" s="176">
        <f t="shared" si="23"/>
        <v>1288399.1483999998</v>
      </c>
      <c r="AI11" s="176">
        <f t="shared" si="24"/>
        <v>3340861.5765893538</v>
      </c>
      <c r="AJ11" s="176">
        <f t="shared" si="25"/>
        <v>3340861.5765893538</v>
      </c>
      <c r="AK11" s="176">
        <f t="shared" si="26"/>
        <v>4772659.3951276485</v>
      </c>
      <c r="AL11" s="1"/>
      <c r="AM11" s="177">
        <f t="shared" si="27"/>
        <v>4276302.8180343723</v>
      </c>
      <c r="AN11" s="177">
        <f t="shared" si="28"/>
        <v>5879916.3747972623</v>
      </c>
      <c r="AO11" s="177">
        <f t="shared" si="29"/>
        <v>12408914.427331887</v>
      </c>
    </row>
    <row r="12" spans="1:41" ht="15.75" customHeight="1">
      <c r="A12" s="163" t="s">
        <v>118</v>
      </c>
      <c r="B12" s="164">
        <v>162</v>
      </c>
      <c r="C12" s="164">
        <v>10</v>
      </c>
      <c r="D12" s="164">
        <v>185</v>
      </c>
      <c r="E12" s="164">
        <v>2</v>
      </c>
      <c r="F12" s="165">
        <v>230</v>
      </c>
      <c r="G12" s="183">
        <v>135</v>
      </c>
      <c r="H12" s="166">
        <f t="shared" si="0"/>
        <v>120385.548</v>
      </c>
      <c r="I12" s="167">
        <f t="shared" si="1"/>
        <v>181082.73744611998</v>
      </c>
      <c r="J12" s="168">
        <f t="shared" si="2"/>
        <v>12295800</v>
      </c>
      <c r="K12" s="169">
        <f t="shared" si="3"/>
        <v>783000</v>
      </c>
      <c r="L12" s="178">
        <f t="shared" si="30"/>
        <v>91648.405799999979</v>
      </c>
      <c r="M12" s="179">
        <f t="shared" si="4"/>
        <v>48154.219199999992</v>
      </c>
      <c r="N12" s="167">
        <f t="shared" si="5"/>
        <v>42134.941799999993</v>
      </c>
      <c r="O12" s="180">
        <f t="shared" si="6"/>
        <v>30096.386999999999</v>
      </c>
      <c r="P12" s="181">
        <f t="shared" si="7"/>
        <v>120385.548</v>
      </c>
      <c r="Q12" s="178">
        <f t="shared" si="8"/>
        <v>135812.05308458998</v>
      </c>
      <c r="R12" s="179">
        <f t="shared" si="9"/>
        <v>72433.094978447989</v>
      </c>
      <c r="S12" s="167">
        <f t="shared" si="10"/>
        <v>63378.958106141989</v>
      </c>
      <c r="T12" s="180">
        <f t="shared" si="11"/>
        <v>45270.684361529995</v>
      </c>
      <c r="U12" s="181">
        <f t="shared" si="12"/>
        <v>181082.73744611998</v>
      </c>
      <c r="V12" s="182"/>
      <c r="W12" s="170">
        <f t="shared" si="13"/>
        <v>3684.2659131599989</v>
      </c>
      <c r="X12" s="171">
        <f t="shared" si="14"/>
        <v>1935.7996118399997</v>
      </c>
      <c r="Y12" s="172">
        <f t="shared" si="15"/>
        <v>1693.8246603599998</v>
      </c>
      <c r="Z12" s="173">
        <f t="shared" si="16"/>
        <v>1209.8747573999999</v>
      </c>
      <c r="AA12" s="174">
        <f t="shared" si="17"/>
        <v>4839.4990295999996</v>
      </c>
      <c r="AB12" s="170">
        <f t="shared" si="18"/>
        <v>5459.6445340005166</v>
      </c>
      <c r="AC12" s="171">
        <f t="shared" si="19"/>
        <v>2911.8104181336093</v>
      </c>
      <c r="AD12" s="172">
        <f t="shared" si="20"/>
        <v>2547.8341158669077</v>
      </c>
      <c r="AE12" s="173">
        <f t="shared" si="21"/>
        <v>1819.8815113335058</v>
      </c>
      <c r="AF12" s="174">
        <f t="shared" si="22"/>
        <v>7279.5260453340234</v>
      </c>
      <c r="AG12" s="1"/>
      <c r="AH12" s="176">
        <f t="shared" si="23"/>
        <v>2478172.8928319993</v>
      </c>
      <c r="AI12" s="176">
        <f t="shared" si="24"/>
        <v>6426626.3519627964</v>
      </c>
      <c r="AJ12" s="176">
        <f t="shared" si="25"/>
        <v>6426626.3519627964</v>
      </c>
      <c r="AK12" s="176">
        <f t="shared" si="26"/>
        <v>9180894.7885182817</v>
      </c>
      <c r="AL12" s="1"/>
      <c r="AM12" s="177">
        <f t="shared" si="27"/>
        <v>8226081.7305123797</v>
      </c>
      <c r="AN12" s="177">
        <f t="shared" si="28"/>
        <v>11310862.379454521</v>
      </c>
      <c r="AO12" s="177">
        <f t="shared" si="29"/>
        <v>23870326.450147532</v>
      </c>
    </row>
    <row r="13" spans="1:41" ht="15.75" customHeight="1">
      <c r="A13" s="163" t="s">
        <v>119</v>
      </c>
      <c r="B13" s="164">
        <v>157</v>
      </c>
      <c r="C13" s="164">
        <v>12</v>
      </c>
      <c r="D13" s="164">
        <v>185</v>
      </c>
      <c r="E13" s="164">
        <v>2</v>
      </c>
      <c r="F13" s="165">
        <v>210</v>
      </c>
      <c r="G13" s="165">
        <v>155</v>
      </c>
      <c r="H13" s="166">
        <f t="shared" si="0"/>
        <v>108658.11599999999</v>
      </c>
      <c r="I13" s="167">
        <f t="shared" si="1"/>
        <v>163442.45150603997</v>
      </c>
      <c r="J13" s="168">
        <f t="shared" si="2"/>
        <v>10880100</v>
      </c>
      <c r="K13" s="169">
        <f t="shared" si="3"/>
        <v>1078800</v>
      </c>
      <c r="L13" s="170">
        <f t="shared" si="30"/>
        <v>82696.332599999994</v>
      </c>
      <c r="M13" s="171">
        <f t="shared" si="4"/>
        <v>43463.246400000004</v>
      </c>
      <c r="N13" s="172">
        <f t="shared" si="5"/>
        <v>38030.340599999996</v>
      </c>
      <c r="O13" s="173">
        <f t="shared" si="6"/>
        <v>27164.528999999999</v>
      </c>
      <c r="P13" s="174">
        <f t="shared" si="7"/>
        <v>108658.11599999999</v>
      </c>
      <c r="Q13" s="170">
        <f t="shared" si="8"/>
        <v>122581.83862952999</v>
      </c>
      <c r="R13" s="171">
        <f t="shared" si="9"/>
        <v>65376.980602415999</v>
      </c>
      <c r="S13" s="172">
        <f t="shared" si="10"/>
        <v>57204.858027113987</v>
      </c>
      <c r="T13" s="173">
        <f t="shared" si="11"/>
        <v>40860.612876509993</v>
      </c>
      <c r="U13" s="174">
        <f t="shared" si="12"/>
        <v>163442.45150603997</v>
      </c>
      <c r="V13" s="175"/>
      <c r="W13" s="170">
        <f t="shared" si="13"/>
        <v>3324.3925705199999</v>
      </c>
      <c r="X13" s="171">
        <f t="shared" si="14"/>
        <v>1747.2225052800002</v>
      </c>
      <c r="Y13" s="172">
        <f t="shared" si="15"/>
        <v>1528.8196921199999</v>
      </c>
      <c r="Z13" s="173">
        <f t="shared" si="16"/>
        <v>1092.0140658</v>
      </c>
      <c r="AA13" s="174">
        <f t="shared" si="17"/>
        <v>4368.0562632000001</v>
      </c>
      <c r="AB13" s="170">
        <f t="shared" si="18"/>
        <v>4927.7899129071056</v>
      </c>
      <c r="AC13" s="171">
        <f t="shared" si="19"/>
        <v>2628.154620217123</v>
      </c>
      <c r="AD13" s="172">
        <f t="shared" si="20"/>
        <v>2299.6352926899822</v>
      </c>
      <c r="AE13" s="173">
        <f t="shared" si="21"/>
        <v>1642.5966376357017</v>
      </c>
      <c r="AF13" s="174">
        <f t="shared" si="22"/>
        <v>6570.3865505428066</v>
      </c>
      <c r="AG13" s="1"/>
      <c r="AH13" s="176">
        <f t="shared" si="23"/>
        <v>2236108.8335039997</v>
      </c>
      <c r="AI13" s="176">
        <f t="shared" si="24"/>
        <v>5800572.6039493578</v>
      </c>
      <c r="AJ13" s="176">
        <f t="shared" si="25"/>
        <v>5800572.6039493578</v>
      </c>
      <c r="AK13" s="176">
        <f t="shared" si="26"/>
        <v>8286532.2913562264</v>
      </c>
      <c r="AL13" s="1"/>
      <c r="AM13" s="177">
        <f t="shared" si="27"/>
        <v>7424732.9330551783</v>
      </c>
      <c r="AN13" s="177">
        <f t="shared" si="28"/>
        <v>10209007.782950869</v>
      </c>
      <c r="AO13" s="177">
        <f t="shared" si="29"/>
        <v>21544983.957526188</v>
      </c>
    </row>
    <row r="14" spans="1:41" ht="15.75" customHeight="1">
      <c r="A14" s="184" t="s">
        <v>120</v>
      </c>
      <c r="B14" s="164">
        <v>19</v>
      </c>
      <c r="C14" s="164">
        <v>3</v>
      </c>
      <c r="D14" s="164">
        <v>127</v>
      </c>
      <c r="E14" s="164">
        <v>12</v>
      </c>
      <c r="F14" s="165">
        <v>250</v>
      </c>
      <c r="G14" s="165">
        <v>115</v>
      </c>
      <c r="H14" s="166">
        <f t="shared" si="0"/>
        <v>15901.369999999999</v>
      </c>
      <c r="I14" s="167">
        <f t="shared" si="1"/>
        <v>23918.681740299999</v>
      </c>
      <c r="J14" s="168">
        <f t="shared" si="2"/>
        <v>1567500</v>
      </c>
      <c r="K14" s="169">
        <f t="shared" si="3"/>
        <v>200100</v>
      </c>
      <c r="L14" s="170">
        <f>SUM((((EU2EUpct*$F14)*($B14*B$43))+((EU2EUpct*$G14)*($C14*$B$44)))+((EU2worldpct*$F14)*($B14*$B$43))+((EU2worldpct*$G14)*($C14*$B$44)))</f>
        <v>11926.027499999998</v>
      </c>
      <c r="M14" s="171">
        <f t="shared" si="4"/>
        <v>6360.5479999999998</v>
      </c>
      <c r="N14" s="172">
        <f t="shared" si="5"/>
        <v>5565.4794999999995</v>
      </c>
      <c r="O14" s="173">
        <f t="shared" si="6"/>
        <v>3975.3424999999997</v>
      </c>
      <c r="P14" s="174">
        <f t="shared" si="7"/>
        <v>15901.369999999999</v>
      </c>
      <c r="Q14" s="170">
        <f t="shared" si="8"/>
        <v>17939.011305224998</v>
      </c>
      <c r="R14" s="171">
        <f t="shared" si="9"/>
        <v>9567.4726961199995</v>
      </c>
      <c r="S14" s="172">
        <f t="shared" si="10"/>
        <v>8371.5386091049986</v>
      </c>
      <c r="T14" s="173">
        <f t="shared" si="11"/>
        <v>5979.6704350749997</v>
      </c>
      <c r="U14" s="174">
        <f t="shared" si="12"/>
        <v>23918.681740299999</v>
      </c>
      <c r="V14" s="175"/>
      <c r="W14" s="170">
        <f t="shared" si="13"/>
        <v>479.42630549999996</v>
      </c>
      <c r="X14" s="171">
        <f t="shared" si="14"/>
        <v>255.69402959999999</v>
      </c>
      <c r="Y14" s="172">
        <f t="shared" si="15"/>
        <v>223.73227589999996</v>
      </c>
      <c r="Z14" s="173">
        <f t="shared" si="16"/>
        <v>159.80876849999999</v>
      </c>
      <c r="AA14" s="174">
        <f t="shared" si="17"/>
        <v>639.23507399999994</v>
      </c>
      <c r="AB14" s="170">
        <f t="shared" si="18"/>
        <v>721.14825447004489</v>
      </c>
      <c r="AC14" s="171">
        <f t="shared" si="19"/>
        <v>384.61240238402399</v>
      </c>
      <c r="AD14" s="172">
        <f t="shared" si="20"/>
        <v>336.53585208602095</v>
      </c>
      <c r="AE14" s="173">
        <f t="shared" si="21"/>
        <v>240.38275149001498</v>
      </c>
      <c r="AF14" s="174">
        <f t="shared" si="22"/>
        <v>961.53100596005993</v>
      </c>
      <c r="AG14" s="1"/>
      <c r="AH14" s="176">
        <f t="shared" si="23"/>
        <v>322479.78359999991</v>
      </c>
      <c r="AI14" s="176">
        <f t="shared" si="24"/>
        <v>848874.01496324677</v>
      </c>
      <c r="AJ14" s="176">
        <f t="shared" si="25"/>
        <v>848874.01496324677</v>
      </c>
      <c r="AK14" s="176">
        <f t="shared" si="26"/>
        <v>1212677.1642332098</v>
      </c>
      <c r="AL14" s="1"/>
      <c r="AM14" s="177">
        <f t="shared" si="27"/>
        <v>1086558.7391529558</v>
      </c>
      <c r="AN14" s="177">
        <f t="shared" si="28"/>
        <v>1494018.2663353144</v>
      </c>
      <c r="AO14" s="177">
        <f t="shared" si="29"/>
        <v>3152960.6270063454</v>
      </c>
    </row>
    <row r="15" spans="1:41" ht="15.75" customHeight="1">
      <c r="A15" s="184" t="s">
        <v>121</v>
      </c>
      <c r="B15" s="164">
        <v>24</v>
      </c>
      <c r="C15" s="164">
        <v>5</v>
      </c>
      <c r="D15" s="164">
        <v>165</v>
      </c>
      <c r="E15" s="164">
        <v>5</v>
      </c>
      <c r="F15" s="165">
        <v>250</v>
      </c>
      <c r="G15" s="165">
        <v>115</v>
      </c>
      <c r="H15" s="166">
        <f t="shared" si="0"/>
        <v>20532.25</v>
      </c>
      <c r="I15" s="167">
        <f t="shared" si="1"/>
        <v>30884.405127499998</v>
      </c>
      <c r="J15" s="168">
        <f t="shared" si="2"/>
        <v>1980000</v>
      </c>
      <c r="K15" s="169">
        <f t="shared" si="3"/>
        <v>333500</v>
      </c>
      <c r="L15" s="170">
        <f>SUM((((EU2EUpct*$F15)*($B15*B$43))+((EU2EUpct*$G15)*($C15*$B$44)))+((EU2worldpct*$F15)*($B15*$B$43))+((EU2worldpct*$G15)*($C15*$B$44)))</f>
        <v>15399.187500000002</v>
      </c>
      <c r="M15" s="171">
        <f t="shared" si="4"/>
        <v>8212.9000000000015</v>
      </c>
      <c r="N15" s="172">
        <f t="shared" si="5"/>
        <v>7186.2875000000004</v>
      </c>
      <c r="O15" s="173">
        <f t="shared" si="6"/>
        <v>5133.0625</v>
      </c>
      <c r="P15" s="174">
        <f t="shared" si="7"/>
        <v>20532.25</v>
      </c>
      <c r="Q15" s="170">
        <f t="shared" si="8"/>
        <v>23163.303845625</v>
      </c>
      <c r="R15" s="171">
        <f t="shared" si="9"/>
        <v>12353.762051000002</v>
      </c>
      <c r="S15" s="172">
        <f t="shared" si="10"/>
        <v>10809.541794625</v>
      </c>
      <c r="T15" s="173">
        <f t="shared" si="11"/>
        <v>7721.1012818749996</v>
      </c>
      <c r="U15" s="174">
        <f t="shared" si="12"/>
        <v>30884.405127499998</v>
      </c>
      <c r="V15" s="175"/>
      <c r="W15" s="170">
        <f t="shared" si="13"/>
        <v>619.04733750000003</v>
      </c>
      <c r="X15" s="171">
        <f t="shared" si="14"/>
        <v>330.15858000000003</v>
      </c>
      <c r="Y15" s="172">
        <f t="shared" si="15"/>
        <v>288.8887575</v>
      </c>
      <c r="Z15" s="173">
        <f t="shared" si="16"/>
        <v>206.34911249999999</v>
      </c>
      <c r="AA15" s="174">
        <f t="shared" si="17"/>
        <v>825.39644999999996</v>
      </c>
      <c r="AB15" s="170">
        <f t="shared" si="18"/>
        <v>931.164814594125</v>
      </c>
      <c r="AC15" s="171">
        <f t="shared" si="19"/>
        <v>496.62123445020006</v>
      </c>
      <c r="AD15" s="172">
        <f t="shared" si="20"/>
        <v>434.543580143925</v>
      </c>
      <c r="AE15" s="173">
        <f t="shared" si="21"/>
        <v>310.38827153137498</v>
      </c>
      <c r="AF15" s="174">
        <f t="shared" si="22"/>
        <v>1241.5530861254999</v>
      </c>
      <c r="AG15" s="1"/>
      <c r="AH15" s="176">
        <f t="shared" si="23"/>
        <v>416394.03</v>
      </c>
      <c r="AI15" s="176">
        <f t="shared" si="24"/>
        <v>1096087.5379749748</v>
      </c>
      <c r="AJ15" s="176">
        <f t="shared" si="25"/>
        <v>1096087.5379749748</v>
      </c>
      <c r="AK15" s="176">
        <f t="shared" si="26"/>
        <v>1565839.3399642499</v>
      </c>
      <c r="AL15" s="1"/>
      <c r="AM15" s="177">
        <f t="shared" si="27"/>
        <v>1402992.0486079678</v>
      </c>
      <c r="AN15" s="177">
        <f t="shared" si="28"/>
        <v>1929114.0668359557</v>
      </c>
      <c r="AO15" s="177">
        <f t="shared" si="29"/>
        <v>4071182.2839070498</v>
      </c>
    </row>
    <row r="16" spans="1:41" ht="15.75" customHeight="1">
      <c r="A16" s="184" t="s">
        <v>122</v>
      </c>
      <c r="B16" s="164">
        <v>38</v>
      </c>
      <c r="C16" s="164">
        <v>5</v>
      </c>
      <c r="D16" s="164">
        <v>188</v>
      </c>
      <c r="E16" s="164">
        <v>8</v>
      </c>
      <c r="F16" s="165">
        <v>265</v>
      </c>
      <c r="G16" s="165">
        <v>100</v>
      </c>
      <c r="H16" s="166">
        <f t="shared" si="0"/>
        <v>32969.035999999993</v>
      </c>
      <c r="I16" s="167">
        <f t="shared" si="1"/>
        <v>49591.694260839984</v>
      </c>
      <c r="J16" s="168">
        <f t="shared" si="2"/>
        <v>3323100</v>
      </c>
      <c r="K16" s="169">
        <f t="shared" si="3"/>
        <v>290000</v>
      </c>
      <c r="L16" s="178">
        <f>SUM((((EU2EUpct*$F16)*($B16*B$43))+((EU2EUpct*$G16)*($C16*$B$44)))+((EU2worldpct*$F16)*($B16*$B$43))+((EU2worldpct*$G16)*($C16*$B$44)))</f>
        <v>24726.776999999998</v>
      </c>
      <c r="M16" s="179">
        <f t="shared" si="4"/>
        <v>13187.6144</v>
      </c>
      <c r="N16" s="167">
        <f t="shared" si="5"/>
        <v>11539.162599999998</v>
      </c>
      <c r="O16" s="180">
        <f t="shared" si="6"/>
        <v>8242.259</v>
      </c>
      <c r="P16" s="181">
        <f t="shared" si="7"/>
        <v>32969.036</v>
      </c>
      <c r="Q16" s="178">
        <f t="shared" si="8"/>
        <v>37193.770695629995</v>
      </c>
      <c r="R16" s="179">
        <f t="shared" si="9"/>
        <v>19836.677704335998</v>
      </c>
      <c r="S16" s="167">
        <f t="shared" si="10"/>
        <v>17357.092991293997</v>
      </c>
      <c r="T16" s="180">
        <f t="shared" si="11"/>
        <v>12397.92356521</v>
      </c>
      <c r="U16" s="181">
        <f t="shared" si="12"/>
        <v>49591.694260839999</v>
      </c>
      <c r="V16" s="182"/>
      <c r="W16" s="170">
        <f t="shared" si="13"/>
        <v>994.01643539999986</v>
      </c>
      <c r="X16" s="171">
        <f t="shared" si="14"/>
        <v>530.14209888000005</v>
      </c>
      <c r="Y16" s="172">
        <f t="shared" si="15"/>
        <v>463.87433651999993</v>
      </c>
      <c r="Z16" s="173">
        <f t="shared" si="16"/>
        <v>331.33881179999997</v>
      </c>
      <c r="AA16" s="174">
        <f t="shared" si="17"/>
        <v>1325.3552471999999</v>
      </c>
      <c r="AB16" s="170">
        <f t="shared" si="18"/>
        <v>1495.1895819643257</v>
      </c>
      <c r="AC16" s="171">
        <f t="shared" si="19"/>
        <v>797.43444371430712</v>
      </c>
      <c r="AD16" s="172">
        <f t="shared" si="20"/>
        <v>697.75513825001872</v>
      </c>
      <c r="AE16" s="173">
        <f t="shared" si="21"/>
        <v>498.39652732144197</v>
      </c>
      <c r="AF16" s="174">
        <f t="shared" si="22"/>
        <v>1993.5861092857679</v>
      </c>
      <c r="AG16" s="1"/>
      <c r="AH16" s="176">
        <f t="shared" si="23"/>
        <v>668612.05007999996</v>
      </c>
      <c r="AI16" s="176">
        <f t="shared" si="24"/>
        <v>1760009.2293172111</v>
      </c>
      <c r="AJ16" s="176">
        <f t="shared" si="25"/>
        <v>1760009.2293172111</v>
      </c>
      <c r="AK16" s="176">
        <f t="shared" si="26"/>
        <v>2514298.8990245876</v>
      </c>
      <c r="AL16" s="1"/>
      <c r="AM16" s="177">
        <f t="shared" si="27"/>
        <v>2252811.8135260302</v>
      </c>
      <c r="AN16" s="177">
        <f t="shared" si="28"/>
        <v>3097616.2435982917</v>
      </c>
      <c r="AO16" s="177">
        <f t="shared" si="29"/>
        <v>6537177.1374639273</v>
      </c>
    </row>
    <row r="17" spans="1:41" ht="15.75" customHeight="1">
      <c r="A17" s="184" t="s">
        <v>123</v>
      </c>
      <c r="B17" s="164">
        <v>55</v>
      </c>
      <c r="C17" s="164">
        <v>7</v>
      </c>
      <c r="D17" s="164">
        <v>220</v>
      </c>
      <c r="E17" s="164">
        <v>6</v>
      </c>
      <c r="F17" s="165">
        <v>265</v>
      </c>
      <c r="G17" s="165">
        <v>100</v>
      </c>
      <c r="H17" s="166">
        <f t="shared" si="0"/>
        <v>47642.409999999996</v>
      </c>
      <c r="I17" s="167">
        <f t="shared" si="1"/>
        <v>71663.236697899993</v>
      </c>
      <c r="J17" s="168">
        <f t="shared" si="2"/>
        <v>4809750</v>
      </c>
      <c r="K17" s="169">
        <f t="shared" si="3"/>
        <v>406000</v>
      </c>
      <c r="L17" s="178">
        <f t="shared" ref="L17:L22" si="31">SUM(((F17*EU2EUpct)*($B$44*$B17))+((F17*EU2worldpct)*($B$43*B17)+((G17*EU2EUpct)*($C17*$B$44))+((G17*EU2worldpct)*(C17*$B$44))))</f>
        <v>36263.503499999999</v>
      </c>
      <c r="M17" s="179">
        <f t="shared" si="4"/>
        <v>19056.964</v>
      </c>
      <c r="N17" s="167">
        <f t="shared" si="5"/>
        <v>16674.843499999999</v>
      </c>
      <c r="O17" s="180">
        <f t="shared" si="6"/>
        <v>11910.602499999999</v>
      </c>
      <c r="P17" s="181">
        <f t="shared" si="7"/>
        <v>47642.409999999996</v>
      </c>
      <c r="Q17" s="178">
        <f t="shared" si="8"/>
        <v>53747.427523424994</v>
      </c>
      <c r="R17" s="179">
        <f t="shared" si="9"/>
        <v>28665.294679159997</v>
      </c>
      <c r="S17" s="167">
        <f t="shared" si="10"/>
        <v>25082.132844264997</v>
      </c>
      <c r="T17" s="180">
        <f t="shared" si="11"/>
        <v>17915.809174474998</v>
      </c>
      <c r="U17" s="181">
        <f t="shared" si="12"/>
        <v>71663.236697899993</v>
      </c>
      <c r="V17" s="182"/>
      <c r="W17" s="170">
        <f t="shared" si="13"/>
        <v>1457.7928406999999</v>
      </c>
      <c r="X17" s="171">
        <f t="shared" si="14"/>
        <v>766.08995279999999</v>
      </c>
      <c r="Y17" s="172">
        <f t="shared" si="15"/>
        <v>670.32870869999999</v>
      </c>
      <c r="Z17" s="173">
        <f t="shared" si="16"/>
        <v>478.80622049999994</v>
      </c>
      <c r="AA17" s="174">
        <f t="shared" si="17"/>
        <v>1915.2248819999998</v>
      </c>
      <c r="AB17" s="170">
        <f t="shared" si="18"/>
        <v>2160.6465864416846</v>
      </c>
      <c r="AC17" s="171">
        <f t="shared" si="19"/>
        <v>1152.3448461022319</v>
      </c>
      <c r="AD17" s="172">
        <f t="shared" si="20"/>
        <v>1008.3017403394529</v>
      </c>
      <c r="AE17" s="173">
        <f t="shared" si="21"/>
        <v>720.21552881389493</v>
      </c>
      <c r="AF17" s="174">
        <f t="shared" si="22"/>
        <v>2880.8621152555797</v>
      </c>
      <c r="AG17" s="1"/>
      <c r="AH17" s="176">
        <f t="shared" si="23"/>
        <v>980565.13463999995</v>
      </c>
      <c r="AI17" s="176">
        <f t="shared" si="24"/>
        <v>2543328.2704084706</v>
      </c>
      <c r="AJ17" s="176">
        <f t="shared" si="25"/>
        <v>2543328.2704084706</v>
      </c>
      <c r="AK17" s="176">
        <f t="shared" si="26"/>
        <v>3633326.1005835291</v>
      </c>
      <c r="AL17" s="1"/>
      <c r="AM17" s="177">
        <f t="shared" si="27"/>
        <v>3255460.1861228421</v>
      </c>
      <c r="AN17" s="177">
        <f t="shared" si="28"/>
        <v>4476257.7559189079</v>
      </c>
      <c r="AO17" s="177">
        <f t="shared" si="29"/>
        <v>9446647.861517176</v>
      </c>
    </row>
    <row r="18" spans="1:41" ht="15.75" customHeight="1">
      <c r="A18" s="184" t="s">
        <v>124</v>
      </c>
      <c r="B18" s="164">
        <v>55</v>
      </c>
      <c r="C18" s="164">
        <v>7</v>
      </c>
      <c r="D18" s="164">
        <v>220</v>
      </c>
      <c r="E18" s="164">
        <v>6</v>
      </c>
      <c r="F18" s="165">
        <v>265</v>
      </c>
      <c r="G18" s="165">
        <v>100</v>
      </c>
      <c r="H18" s="166">
        <f t="shared" si="0"/>
        <v>47642.409999999996</v>
      </c>
      <c r="I18" s="167">
        <f t="shared" si="1"/>
        <v>71663.236697899993</v>
      </c>
      <c r="J18" s="168">
        <f t="shared" si="2"/>
        <v>4809750</v>
      </c>
      <c r="K18" s="169">
        <f t="shared" si="3"/>
        <v>406000</v>
      </c>
      <c r="L18" s="178">
        <f t="shared" si="31"/>
        <v>36263.503499999999</v>
      </c>
      <c r="M18" s="179">
        <f t="shared" si="4"/>
        <v>19056.964</v>
      </c>
      <c r="N18" s="167">
        <f t="shared" si="5"/>
        <v>16674.843499999999</v>
      </c>
      <c r="O18" s="180">
        <f t="shared" si="6"/>
        <v>11910.602499999999</v>
      </c>
      <c r="P18" s="181">
        <f t="shared" si="7"/>
        <v>47642.409999999996</v>
      </c>
      <c r="Q18" s="178">
        <f t="shared" si="8"/>
        <v>53747.427523424994</v>
      </c>
      <c r="R18" s="179">
        <f t="shared" si="9"/>
        <v>28665.294679159997</v>
      </c>
      <c r="S18" s="167">
        <f t="shared" si="10"/>
        <v>25082.132844264997</v>
      </c>
      <c r="T18" s="180">
        <f t="shared" si="11"/>
        <v>17915.809174474998</v>
      </c>
      <c r="U18" s="181">
        <f t="shared" si="12"/>
        <v>71663.236697899993</v>
      </c>
      <c r="V18" s="182"/>
      <c r="W18" s="170">
        <f t="shared" si="13"/>
        <v>1457.7928406999999</v>
      </c>
      <c r="X18" s="171">
        <f t="shared" si="14"/>
        <v>766.08995279999999</v>
      </c>
      <c r="Y18" s="172">
        <f t="shared" si="15"/>
        <v>670.32870869999999</v>
      </c>
      <c r="Z18" s="173">
        <f t="shared" si="16"/>
        <v>478.80622049999994</v>
      </c>
      <c r="AA18" s="174">
        <f t="shared" si="17"/>
        <v>1915.2248819999998</v>
      </c>
      <c r="AB18" s="170">
        <f t="shared" si="18"/>
        <v>2160.6465864416846</v>
      </c>
      <c r="AC18" s="171">
        <f t="shared" si="19"/>
        <v>1152.3448461022319</v>
      </c>
      <c r="AD18" s="172">
        <f t="shared" si="20"/>
        <v>1008.3017403394529</v>
      </c>
      <c r="AE18" s="173">
        <f t="shared" si="21"/>
        <v>720.21552881389493</v>
      </c>
      <c r="AF18" s="174">
        <f t="shared" si="22"/>
        <v>2880.8621152555797</v>
      </c>
      <c r="AG18" s="1"/>
      <c r="AH18" s="176">
        <f t="shared" si="23"/>
        <v>980565.13463999995</v>
      </c>
      <c r="AI18" s="176">
        <f t="shared" si="24"/>
        <v>2543328.2704084706</v>
      </c>
      <c r="AJ18" s="176">
        <f t="shared" si="25"/>
        <v>2543328.2704084706</v>
      </c>
      <c r="AK18" s="176">
        <f t="shared" si="26"/>
        <v>3633326.1005835291</v>
      </c>
      <c r="AL18" s="1"/>
      <c r="AM18" s="177">
        <f t="shared" si="27"/>
        <v>3255460.1861228421</v>
      </c>
      <c r="AN18" s="177">
        <f t="shared" si="28"/>
        <v>4476257.7559189079</v>
      </c>
      <c r="AO18" s="177">
        <f t="shared" si="29"/>
        <v>9446647.861517176</v>
      </c>
    </row>
    <row r="19" spans="1:41" ht="15.75" customHeight="1">
      <c r="A19" s="184" t="s">
        <v>125</v>
      </c>
      <c r="B19" s="164">
        <v>75</v>
      </c>
      <c r="C19" s="164">
        <v>6</v>
      </c>
      <c r="D19" s="164">
        <v>205</v>
      </c>
      <c r="E19" s="164">
        <v>6</v>
      </c>
      <c r="F19" s="165">
        <v>280</v>
      </c>
      <c r="G19" s="165">
        <v>85</v>
      </c>
      <c r="H19" s="166">
        <f t="shared" si="0"/>
        <v>67045.86</v>
      </c>
      <c r="I19" s="167">
        <f t="shared" si="1"/>
        <v>100849.71215339999</v>
      </c>
      <c r="J19" s="168">
        <f t="shared" si="2"/>
        <v>6930000</v>
      </c>
      <c r="K19" s="169">
        <f t="shared" si="3"/>
        <v>295800</v>
      </c>
      <c r="L19" s="178">
        <f t="shared" si="31"/>
        <v>51050.474999999999</v>
      </c>
      <c r="M19" s="179">
        <f t="shared" si="4"/>
        <v>26818.344000000001</v>
      </c>
      <c r="N19" s="167">
        <f t="shared" si="5"/>
        <v>23466.050999999999</v>
      </c>
      <c r="O19" s="180">
        <f t="shared" si="6"/>
        <v>16761.465</v>
      </c>
      <c r="P19" s="181">
        <f t="shared" si="7"/>
        <v>67045.86</v>
      </c>
      <c r="Q19" s="178">
        <f t="shared" si="8"/>
        <v>75637.284115049988</v>
      </c>
      <c r="R19" s="179">
        <f t="shared" si="9"/>
        <v>40339.884861359998</v>
      </c>
      <c r="S19" s="167">
        <f t="shared" si="10"/>
        <v>35297.399253689997</v>
      </c>
      <c r="T19" s="180">
        <f t="shared" si="11"/>
        <v>25212.428038349997</v>
      </c>
      <c r="U19" s="181">
        <f t="shared" si="12"/>
        <v>100849.71215339999</v>
      </c>
      <c r="V19" s="182"/>
      <c r="W19" s="170">
        <f t="shared" si="13"/>
        <v>2052.2290950000001</v>
      </c>
      <c r="X19" s="171">
        <f t="shared" si="14"/>
        <v>1078.0974288</v>
      </c>
      <c r="Y19" s="172">
        <f t="shared" si="15"/>
        <v>943.33525020000002</v>
      </c>
      <c r="Z19" s="173">
        <f t="shared" si="16"/>
        <v>673.81089299999996</v>
      </c>
      <c r="AA19" s="174">
        <f t="shared" si="17"/>
        <v>2695.2435719999999</v>
      </c>
      <c r="AB19" s="170">
        <f t="shared" si="18"/>
        <v>3040.6188214250096</v>
      </c>
      <c r="AC19" s="171">
        <f t="shared" si="19"/>
        <v>1621.663371426672</v>
      </c>
      <c r="AD19" s="172">
        <f t="shared" si="20"/>
        <v>1418.9554499983378</v>
      </c>
      <c r="AE19" s="173">
        <f t="shared" si="21"/>
        <v>1013.5396071416699</v>
      </c>
      <c r="AF19" s="174">
        <f t="shared" si="22"/>
        <v>4054.1584285666795</v>
      </c>
      <c r="AG19" s="1"/>
      <c r="AH19" s="176">
        <f t="shared" si="23"/>
        <v>1380404.844</v>
      </c>
      <c r="AI19" s="176">
        <f t="shared" si="24"/>
        <v>3579156.284324165</v>
      </c>
      <c r="AJ19" s="176">
        <f t="shared" si="25"/>
        <v>3579156.284324165</v>
      </c>
      <c r="AK19" s="176">
        <f t="shared" si="26"/>
        <v>5113080.4061773792</v>
      </c>
      <c r="AL19" s="1"/>
      <c r="AM19" s="177">
        <f t="shared" si="27"/>
        <v>4581320.043934931</v>
      </c>
      <c r="AN19" s="177">
        <f t="shared" si="28"/>
        <v>6299315.0604105303</v>
      </c>
      <c r="AO19" s="177">
        <f t="shared" si="29"/>
        <v>13294009.056061186</v>
      </c>
    </row>
    <row r="20" spans="1:41" ht="15.75" customHeight="1">
      <c r="A20" s="184" t="s">
        <v>126</v>
      </c>
      <c r="B20" s="164">
        <v>75</v>
      </c>
      <c r="C20" s="164">
        <v>6</v>
      </c>
      <c r="D20" s="164">
        <v>190</v>
      </c>
      <c r="E20" s="164">
        <v>3</v>
      </c>
      <c r="F20" s="165">
        <v>320</v>
      </c>
      <c r="G20" s="165">
        <v>45</v>
      </c>
      <c r="H20" s="166">
        <f t="shared" si="0"/>
        <v>75620.819999999992</v>
      </c>
      <c r="I20" s="167">
        <f t="shared" si="1"/>
        <v>113748.08123579998</v>
      </c>
      <c r="J20" s="168">
        <f t="shared" si="2"/>
        <v>7920000</v>
      </c>
      <c r="K20" s="169">
        <f t="shared" si="3"/>
        <v>156600</v>
      </c>
      <c r="L20" s="178">
        <f t="shared" si="31"/>
        <v>57591.134999999995</v>
      </c>
      <c r="M20" s="179">
        <f t="shared" si="4"/>
        <v>30248.327999999998</v>
      </c>
      <c r="N20" s="167">
        <f t="shared" si="5"/>
        <v>26467.287</v>
      </c>
      <c r="O20" s="180">
        <f t="shared" si="6"/>
        <v>18905.204999999998</v>
      </c>
      <c r="P20" s="181">
        <f t="shared" si="7"/>
        <v>75620.819999999992</v>
      </c>
      <c r="Q20" s="178">
        <f t="shared" si="8"/>
        <v>85311.060926849983</v>
      </c>
      <c r="R20" s="179">
        <f t="shared" si="9"/>
        <v>45499.232494319993</v>
      </c>
      <c r="S20" s="167">
        <f t="shared" si="10"/>
        <v>39811.828432529997</v>
      </c>
      <c r="T20" s="180">
        <f t="shared" si="11"/>
        <v>28437.020308949996</v>
      </c>
      <c r="U20" s="181">
        <f t="shared" si="12"/>
        <v>113748.08123579998</v>
      </c>
      <c r="V20" s="182"/>
      <c r="W20" s="170">
        <f t="shared" si="13"/>
        <v>2315.1636269999999</v>
      </c>
      <c r="X20" s="171">
        <f t="shared" si="14"/>
        <v>1215.9827855999999</v>
      </c>
      <c r="Y20" s="172">
        <f t="shared" si="15"/>
        <v>1063.9849374</v>
      </c>
      <c r="Z20" s="173">
        <f t="shared" si="16"/>
        <v>759.98924099999988</v>
      </c>
      <c r="AA20" s="174">
        <f t="shared" si="17"/>
        <v>3039.9569639999995</v>
      </c>
      <c r="AB20" s="170">
        <f t="shared" si="18"/>
        <v>3429.5046492593692</v>
      </c>
      <c r="AC20" s="171">
        <f t="shared" si="19"/>
        <v>1829.0691462716636</v>
      </c>
      <c r="AD20" s="172">
        <f t="shared" si="20"/>
        <v>1600.4355029877058</v>
      </c>
      <c r="AE20" s="173">
        <f t="shared" si="21"/>
        <v>1143.1682164197898</v>
      </c>
      <c r="AF20" s="174">
        <f t="shared" si="22"/>
        <v>4572.6728656791593</v>
      </c>
      <c r="AG20" s="1"/>
      <c r="AH20" s="176">
        <f t="shared" si="23"/>
        <v>1557264.2903999998</v>
      </c>
      <c r="AI20" s="176">
        <f t="shared" si="24"/>
        <v>4036919.4030585405</v>
      </c>
      <c r="AJ20" s="176">
        <f t="shared" si="25"/>
        <v>4036919.4030585405</v>
      </c>
      <c r="AK20" s="176">
        <f t="shared" si="26"/>
        <v>5767027.7186550582</v>
      </c>
      <c r="AL20" s="1"/>
      <c r="AM20" s="177">
        <f t="shared" si="27"/>
        <v>5167256.8359149322</v>
      </c>
      <c r="AN20" s="177">
        <f t="shared" si="28"/>
        <v>7104978.1493830308</v>
      </c>
      <c r="AO20" s="177">
        <f t="shared" si="29"/>
        <v>14994272.068503153</v>
      </c>
    </row>
    <row r="21" spans="1:41" ht="15.75" customHeight="1">
      <c r="A21" s="184" t="s">
        <v>127</v>
      </c>
      <c r="B21" s="164">
        <v>110</v>
      </c>
      <c r="C21" s="164">
        <v>8</v>
      </c>
      <c r="D21" s="164">
        <v>185</v>
      </c>
      <c r="E21" s="164">
        <v>2</v>
      </c>
      <c r="F21" s="165">
        <v>300</v>
      </c>
      <c r="G21" s="165">
        <v>65</v>
      </c>
      <c r="H21" s="166">
        <f t="shared" si="0"/>
        <v>104455.51999999999</v>
      </c>
      <c r="I21" s="167">
        <f t="shared" si="1"/>
        <v>157120.94862879999</v>
      </c>
      <c r="J21" s="168">
        <f t="shared" si="2"/>
        <v>10890000</v>
      </c>
      <c r="K21" s="169">
        <f t="shared" si="3"/>
        <v>301600</v>
      </c>
      <c r="L21" s="178">
        <f t="shared" si="31"/>
        <v>79545.479999999981</v>
      </c>
      <c r="M21" s="179">
        <f t="shared" si="4"/>
        <v>41782.207999999999</v>
      </c>
      <c r="N21" s="167">
        <f t="shared" si="5"/>
        <v>36559.431999999993</v>
      </c>
      <c r="O21" s="180">
        <f t="shared" si="6"/>
        <v>26113.879999999997</v>
      </c>
      <c r="P21" s="181">
        <f t="shared" si="7"/>
        <v>104455.51999999999</v>
      </c>
      <c r="Q21" s="178">
        <f t="shared" si="8"/>
        <v>117840.71147159998</v>
      </c>
      <c r="R21" s="179">
        <f t="shared" si="9"/>
        <v>62848.379451519992</v>
      </c>
      <c r="S21" s="167">
        <f t="shared" si="10"/>
        <v>54992.332020079986</v>
      </c>
      <c r="T21" s="180">
        <f t="shared" si="11"/>
        <v>39280.237157199997</v>
      </c>
      <c r="U21" s="181">
        <f t="shared" si="12"/>
        <v>157120.94862879999</v>
      </c>
      <c r="V21" s="182"/>
      <c r="W21" s="170">
        <f t="shared" si="13"/>
        <v>3197.7282959999993</v>
      </c>
      <c r="X21" s="171">
        <f t="shared" si="14"/>
        <v>1679.6447616</v>
      </c>
      <c r="Y21" s="172">
        <f t="shared" si="15"/>
        <v>1469.6891663999997</v>
      </c>
      <c r="Z21" s="173">
        <f t="shared" si="16"/>
        <v>1049.7779759999999</v>
      </c>
      <c r="AA21" s="174">
        <f t="shared" si="17"/>
        <v>4199.1119039999994</v>
      </c>
      <c r="AB21" s="170">
        <f t="shared" si="18"/>
        <v>4737.196601158319</v>
      </c>
      <c r="AC21" s="171">
        <f t="shared" si="19"/>
        <v>2526.5048539511035</v>
      </c>
      <c r="AD21" s="172">
        <f t="shared" si="20"/>
        <v>2210.6917472072155</v>
      </c>
      <c r="AE21" s="173">
        <f t="shared" si="21"/>
        <v>1579.0655337194398</v>
      </c>
      <c r="AF21" s="174">
        <f t="shared" si="22"/>
        <v>6316.2621348777593</v>
      </c>
      <c r="AG21" s="1"/>
      <c r="AH21" s="176">
        <f t="shared" si="23"/>
        <v>2150909.7791999993</v>
      </c>
      <c r="AI21" s="176">
        <f t="shared" si="24"/>
        <v>5576222.4668361107</v>
      </c>
      <c r="AJ21" s="176">
        <f t="shared" si="25"/>
        <v>5576222.4668361107</v>
      </c>
      <c r="AK21" s="176">
        <f t="shared" si="26"/>
        <v>7966032.095480158</v>
      </c>
      <c r="AL21" s="1"/>
      <c r="AM21" s="177">
        <f t="shared" si="27"/>
        <v>7137564.7575502209</v>
      </c>
      <c r="AN21" s="177">
        <f t="shared" si="28"/>
        <v>9814151.5416315533</v>
      </c>
      <c r="AO21" s="177">
        <f t="shared" si="29"/>
        <v>20711683.448248412</v>
      </c>
    </row>
    <row r="22" spans="1:41" ht="15.75" customHeight="1">
      <c r="A22" s="184" t="s">
        <v>128</v>
      </c>
      <c r="B22" s="164">
        <v>157</v>
      </c>
      <c r="C22" s="164">
        <v>12</v>
      </c>
      <c r="D22" s="164">
        <v>185</v>
      </c>
      <c r="E22" s="164">
        <v>2</v>
      </c>
      <c r="F22" s="165">
        <v>300</v>
      </c>
      <c r="G22" s="165">
        <v>65</v>
      </c>
      <c r="H22" s="166">
        <f t="shared" si="0"/>
        <v>149207.75999999998</v>
      </c>
      <c r="I22" s="167">
        <f t="shared" si="1"/>
        <v>224436.82051439997</v>
      </c>
      <c r="J22" s="168">
        <f t="shared" si="2"/>
        <v>15543000</v>
      </c>
      <c r="K22" s="169">
        <f t="shared" si="3"/>
        <v>452400</v>
      </c>
      <c r="L22" s="170">
        <f t="shared" si="31"/>
        <v>113624.02799999999</v>
      </c>
      <c r="M22" s="171">
        <f t="shared" si="4"/>
        <v>59683.103999999992</v>
      </c>
      <c r="N22" s="172">
        <f t="shared" si="5"/>
        <v>52222.715999999993</v>
      </c>
      <c r="O22" s="173">
        <f t="shared" si="6"/>
        <v>37301.939999999995</v>
      </c>
      <c r="P22" s="174">
        <f t="shared" si="7"/>
        <v>149207.75999999998</v>
      </c>
      <c r="Q22" s="170">
        <f t="shared" si="8"/>
        <v>168327.61538579996</v>
      </c>
      <c r="R22" s="171">
        <f t="shared" si="9"/>
        <v>89774.72820575998</v>
      </c>
      <c r="S22" s="172">
        <f t="shared" si="10"/>
        <v>78552.887180039979</v>
      </c>
      <c r="T22" s="173">
        <f t="shared" si="11"/>
        <v>56109.205128599991</v>
      </c>
      <c r="U22" s="174">
        <f t="shared" si="12"/>
        <v>224436.82051439997</v>
      </c>
      <c r="V22" s="175"/>
      <c r="W22" s="170">
        <f t="shared" si="13"/>
        <v>4567.6859255999998</v>
      </c>
      <c r="X22" s="171">
        <f t="shared" si="14"/>
        <v>2399.2607807999998</v>
      </c>
      <c r="Y22" s="172">
        <f t="shared" si="15"/>
        <v>2099.3531831999999</v>
      </c>
      <c r="Z22" s="173">
        <f t="shared" si="16"/>
        <v>1499.5379879999998</v>
      </c>
      <c r="AA22" s="174">
        <f t="shared" si="17"/>
        <v>5998.1519519999993</v>
      </c>
      <c r="AB22" s="170">
        <f t="shared" si="18"/>
        <v>6766.7701385091586</v>
      </c>
      <c r="AC22" s="171">
        <f t="shared" si="19"/>
        <v>3608.9440738715512</v>
      </c>
      <c r="AD22" s="172">
        <f t="shared" si="20"/>
        <v>3157.826064637607</v>
      </c>
      <c r="AE22" s="173">
        <f t="shared" si="21"/>
        <v>2255.5900461697197</v>
      </c>
      <c r="AF22" s="174">
        <f t="shared" si="22"/>
        <v>9022.3601846788788</v>
      </c>
      <c r="AG22" s="1"/>
      <c r="AH22" s="176">
        <f t="shared" si="23"/>
        <v>3072393.7171199997</v>
      </c>
      <c r="AI22" s="176">
        <f t="shared" si="24"/>
        <v>7965262.7600560533</v>
      </c>
      <c r="AJ22" s="176">
        <f t="shared" si="25"/>
        <v>7965262.7600560533</v>
      </c>
      <c r="AK22" s="176">
        <f t="shared" si="26"/>
        <v>11378946.800080076</v>
      </c>
      <c r="AL22" s="1"/>
      <c r="AM22" s="177">
        <f t="shared" si="27"/>
        <v>10195536.332871748</v>
      </c>
      <c r="AN22" s="177">
        <f t="shared" si="28"/>
        <v>14018862.457698653</v>
      </c>
      <c r="AO22" s="177">
        <f t="shared" si="29"/>
        <v>29585261.680208199</v>
      </c>
    </row>
    <row r="23" spans="1:41" ht="15.75" customHeight="1">
      <c r="A23" s="185" t="s">
        <v>129</v>
      </c>
      <c r="B23" s="164">
        <v>19</v>
      </c>
      <c r="C23" s="164">
        <v>8</v>
      </c>
      <c r="D23" s="164">
        <v>127</v>
      </c>
      <c r="E23" s="164">
        <v>12</v>
      </c>
      <c r="F23" s="165">
        <v>250</v>
      </c>
      <c r="G23" s="165">
        <v>115</v>
      </c>
      <c r="H23" s="166">
        <f t="shared" si="0"/>
        <v>17744.82</v>
      </c>
      <c r="I23" s="167">
        <f t="shared" si="1"/>
        <v>26691.580795799997</v>
      </c>
      <c r="J23" s="168">
        <f t="shared" si="2"/>
        <v>1567500</v>
      </c>
      <c r="K23" s="169">
        <f t="shared" si="3"/>
        <v>533600</v>
      </c>
      <c r="L23" s="170">
        <f>SUM((((EU2EUpct*$F23)*($B23*B$43))+((EU2EUpct*$G23)*($C23*$B$44)))+((EU2worldpct*$F23)*($B23*$B$43))+((EU2worldpct*$G23)*($C23*$B$44)))</f>
        <v>13308.615</v>
      </c>
      <c r="M23" s="171">
        <f t="shared" si="4"/>
        <v>7097.9279999999999</v>
      </c>
      <c r="N23" s="172">
        <f t="shared" si="5"/>
        <v>6210.6869999999999</v>
      </c>
      <c r="O23" s="173">
        <f t="shared" si="6"/>
        <v>4436.2049999999999</v>
      </c>
      <c r="P23" s="174">
        <f t="shared" si="7"/>
        <v>17744.82</v>
      </c>
      <c r="Q23" s="170">
        <f t="shared" si="8"/>
        <v>20018.685596849999</v>
      </c>
      <c r="R23" s="171">
        <f t="shared" si="9"/>
        <v>10676.632318319998</v>
      </c>
      <c r="S23" s="172">
        <f t="shared" si="10"/>
        <v>9342.0532785300002</v>
      </c>
      <c r="T23" s="173">
        <f t="shared" si="11"/>
        <v>6672.8951989499992</v>
      </c>
      <c r="U23" s="174">
        <f t="shared" si="12"/>
        <v>26691.580795799997</v>
      </c>
      <c r="V23" s="175"/>
      <c r="W23" s="170">
        <f t="shared" si="13"/>
        <v>535.00632299999995</v>
      </c>
      <c r="X23" s="171">
        <f t="shared" si="14"/>
        <v>285.33670560000002</v>
      </c>
      <c r="Y23" s="172">
        <f t="shared" si="15"/>
        <v>249.66961739999999</v>
      </c>
      <c r="Z23" s="173">
        <f t="shared" si="16"/>
        <v>178.335441</v>
      </c>
      <c r="AA23" s="174">
        <f t="shared" si="17"/>
        <v>713.34176400000001</v>
      </c>
      <c r="AB23" s="170">
        <f t="shared" si="18"/>
        <v>804.75116099336992</v>
      </c>
      <c r="AC23" s="171">
        <f t="shared" si="19"/>
        <v>429.20061919646395</v>
      </c>
      <c r="AD23" s="172">
        <f t="shared" si="20"/>
        <v>375.55054179690597</v>
      </c>
      <c r="AE23" s="173">
        <f t="shared" si="21"/>
        <v>268.25038699778997</v>
      </c>
      <c r="AF23" s="174">
        <f t="shared" si="22"/>
        <v>1073.0015479911599</v>
      </c>
      <c r="AG23" s="1"/>
      <c r="AH23" s="176">
        <f t="shared" si="23"/>
        <v>359864.94959999999</v>
      </c>
      <c r="AI23" s="176">
        <f t="shared" si="24"/>
        <v>947284.20244294172</v>
      </c>
      <c r="AJ23" s="176">
        <f t="shared" si="25"/>
        <v>947284.20244294172</v>
      </c>
      <c r="AK23" s="176">
        <f t="shared" si="26"/>
        <v>1353263.1463470599</v>
      </c>
      <c r="AL23" s="1"/>
      <c r="AM23" s="177">
        <f t="shared" si="27"/>
        <v>1212523.7791269654</v>
      </c>
      <c r="AN23" s="177">
        <f t="shared" si="28"/>
        <v>1667220.1962995774</v>
      </c>
      <c r="AO23" s="177">
        <f t="shared" si="29"/>
        <v>3518484.1805023556</v>
      </c>
    </row>
    <row r="24" spans="1:41" ht="15.75" customHeight="1">
      <c r="A24" s="185" t="s">
        <v>130</v>
      </c>
      <c r="B24" s="164">
        <v>24</v>
      </c>
      <c r="C24" s="164">
        <v>10</v>
      </c>
      <c r="D24" s="164">
        <v>165</v>
      </c>
      <c r="E24" s="164">
        <v>5</v>
      </c>
      <c r="F24" s="165">
        <v>250</v>
      </c>
      <c r="G24" s="165">
        <v>115</v>
      </c>
      <c r="H24" s="166">
        <f t="shared" si="0"/>
        <v>22375.7</v>
      </c>
      <c r="I24" s="167">
        <f t="shared" si="1"/>
        <v>33657.304183</v>
      </c>
      <c r="J24" s="168">
        <f t="shared" si="2"/>
        <v>1980000</v>
      </c>
      <c r="K24" s="169">
        <f t="shared" si="3"/>
        <v>667000</v>
      </c>
      <c r="L24" s="170">
        <f>SUM((((EU2EUpct*$F24)*($B24*B$43))+((EU2EUpct*$G24)*($C24*$B$44)))+((EU2worldpct*$F24)*($B24*$B$43))+((EU2worldpct*$G24)*($C24*$B$44)))</f>
        <v>16781.775000000001</v>
      </c>
      <c r="M24" s="171">
        <f t="shared" si="4"/>
        <v>8950.2800000000007</v>
      </c>
      <c r="N24" s="172">
        <f t="shared" si="5"/>
        <v>7831.4949999999999</v>
      </c>
      <c r="O24" s="173">
        <f t="shared" si="6"/>
        <v>5593.9250000000002</v>
      </c>
      <c r="P24" s="174">
        <f t="shared" si="7"/>
        <v>22375.7</v>
      </c>
      <c r="Q24" s="170">
        <f t="shared" si="8"/>
        <v>25242.97813725</v>
      </c>
      <c r="R24" s="171">
        <f t="shared" si="9"/>
        <v>13462.9216732</v>
      </c>
      <c r="S24" s="172">
        <f t="shared" si="10"/>
        <v>11780.05646405</v>
      </c>
      <c r="T24" s="173">
        <f t="shared" si="11"/>
        <v>8414.32604575</v>
      </c>
      <c r="U24" s="174">
        <f t="shared" si="12"/>
        <v>33657.304183</v>
      </c>
      <c r="V24" s="175"/>
      <c r="W24" s="170">
        <f t="shared" si="13"/>
        <v>674.62735500000008</v>
      </c>
      <c r="X24" s="171">
        <f t="shared" si="14"/>
        <v>359.80125600000002</v>
      </c>
      <c r="Y24" s="172">
        <f t="shared" si="15"/>
        <v>314.826099</v>
      </c>
      <c r="Z24" s="173">
        <f t="shared" si="16"/>
        <v>224.87578500000001</v>
      </c>
      <c r="AA24" s="174">
        <f t="shared" si="17"/>
        <v>899.50314000000003</v>
      </c>
      <c r="AB24" s="170">
        <f t="shared" si="18"/>
        <v>1014.76772111745</v>
      </c>
      <c r="AC24" s="171">
        <f t="shared" si="19"/>
        <v>541.20945126263996</v>
      </c>
      <c r="AD24" s="172">
        <f t="shared" si="20"/>
        <v>473.55826985480996</v>
      </c>
      <c r="AE24" s="173">
        <f t="shared" si="21"/>
        <v>338.25590703914997</v>
      </c>
      <c r="AF24" s="174">
        <f t="shared" si="22"/>
        <v>1353.0236281565999</v>
      </c>
      <c r="AG24" s="1"/>
      <c r="AH24" s="176">
        <f t="shared" si="23"/>
        <v>453779.19600000005</v>
      </c>
      <c r="AI24" s="176">
        <f t="shared" si="24"/>
        <v>1194497.7254546699</v>
      </c>
      <c r="AJ24" s="176">
        <f t="shared" si="25"/>
        <v>1194497.7254546699</v>
      </c>
      <c r="AK24" s="176">
        <f t="shared" si="26"/>
        <v>1706425.3220780999</v>
      </c>
      <c r="AL24" s="1"/>
      <c r="AM24" s="177">
        <f t="shared" si="27"/>
        <v>1528957.0885819774</v>
      </c>
      <c r="AN24" s="177">
        <f t="shared" si="28"/>
        <v>2102315.9968002187</v>
      </c>
      <c r="AO24" s="177">
        <f t="shared" si="29"/>
        <v>4436705.8374030599</v>
      </c>
    </row>
    <row r="25" spans="1:41" ht="15.75" customHeight="1">
      <c r="A25" s="185" t="s">
        <v>131</v>
      </c>
      <c r="B25" s="164">
        <v>38</v>
      </c>
      <c r="C25" s="164">
        <v>16</v>
      </c>
      <c r="D25" s="164">
        <v>188</v>
      </c>
      <c r="E25" s="164">
        <v>8</v>
      </c>
      <c r="F25" s="165">
        <v>265</v>
      </c>
      <c r="G25" s="165">
        <v>100</v>
      </c>
      <c r="H25" s="166">
        <f t="shared" si="0"/>
        <v>36495.635999999999</v>
      </c>
      <c r="I25" s="167">
        <f t="shared" si="1"/>
        <v>54896.370714839992</v>
      </c>
      <c r="J25" s="168">
        <f t="shared" si="2"/>
        <v>3323100</v>
      </c>
      <c r="K25" s="169">
        <f t="shared" si="3"/>
        <v>928000</v>
      </c>
      <c r="L25" s="178">
        <f>SUM((((EU2EUpct*$F25)*($B25*B$43))+((EU2EUpct*$G25)*($C25*$B$44)))+((EU2worldpct*$F25)*($B25*$B$43))+((EU2worldpct*$G25)*($C25*$B$44)))</f>
        <v>27371.726999999999</v>
      </c>
      <c r="M25" s="179">
        <f t="shared" si="4"/>
        <v>14598.2544</v>
      </c>
      <c r="N25" s="167">
        <f t="shared" si="5"/>
        <v>12773.472599999999</v>
      </c>
      <c r="O25" s="180">
        <f t="shared" si="6"/>
        <v>9123.9089999999997</v>
      </c>
      <c r="P25" s="181">
        <f t="shared" si="7"/>
        <v>36495.635999999999</v>
      </c>
      <c r="Q25" s="178">
        <f t="shared" si="8"/>
        <v>41172.278036129996</v>
      </c>
      <c r="R25" s="179">
        <f t="shared" si="9"/>
        <v>21958.548285935998</v>
      </c>
      <c r="S25" s="167">
        <f t="shared" si="10"/>
        <v>19213.729750193997</v>
      </c>
      <c r="T25" s="180">
        <f t="shared" si="11"/>
        <v>13724.092678709998</v>
      </c>
      <c r="U25" s="181">
        <f t="shared" si="12"/>
        <v>54896.370714839992</v>
      </c>
      <c r="V25" s="182"/>
      <c r="W25" s="170">
        <f t="shared" si="13"/>
        <v>1100.3434253999999</v>
      </c>
      <c r="X25" s="171">
        <f t="shared" si="14"/>
        <v>586.84982688000002</v>
      </c>
      <c r="Y25" s="172">
        <f t="shared" si="15"/>
        <v>513.49359851999998</v>
      </c>
      <c r="Z25" s="173">
        <f t="shared" si="16"/>
        <v>366.7811418</v>
      </c>
      <c r="AA25" s="174">
        <f t="shared" si="17"/>
        <v>1467.1245672</v>
      </c>
      <c r="AB25" s="170">
        <f t="shared" si="18"/>
        <v>1655.1255770524258</v>
      </c>
      <c r="AC25" s="171">
        <f t="shared" si="19"/>
        <v>882.73364109462716</v>
      </c>
      <c r="AD25" s="172">
        <f t="shared" si="20"/>
        <v>772.39193595779864</v>
      </c>
      <c r="AE25" s="173">
        <f t="shared" si="21"/>
        <v>551.70852568414193</v>
      </c>
      <c r="AF25" s="174">
        <f t="shared" si="22"/>
        <v>2206.8341027365677</v>
      </c>
      <c r="AG25" s="1"/>
      <c r="AH25" s="176">
        <f t="shared" si="23"/>
        <v>740131.49807999993</v>
      </c>
      <c r="AI25" s="176">
        <f t="shared" si="24"/>
        <v>1948272.1966696712</v>
      </c>
      <c r="AJ25" s="176">
        <f t="shared" si="25"/>
        <v>1948272.1966696712</v>
      </c>
      <c r="AK25" s="176">
        <f t="shared" si="26"/>
        <v>2783245.9952423875</v>
      </c>
      <c r="AL25" s="1"/>
      <c r="AM25" s="177">
        <f t="shared" si="27"/>
        <v>2493788.4117371789</v>
      </c>
      <c r="AN25" s="177">
        <f t="shared" si="28"/>
        <v>3428959.066138621</v>
      </c>
      <c r="AO25" s="177">
        <f t="shared" si="29"/>
        <v>7236439.5876302077</v>
      </c>
    </row>
    <row r="26" spans="1:41" ht="15.75" customHeight="1">
      <c r="A26" s="185" t="s">
        <v>132</v>
      </c>
      <c r="B26" s="164">
        <v>55</v>
      </c>
      <c r="C26" s="164">
        <v>18</v>
      </c>
      <c r="D26" s="164">
        <v>220</v>
      </c>
      <c r="E26" s="164">
        <v>6</v>
      </c>
      <c r="F26" s="165">
        <v>265</v>
      </c>
      <c r="G26" s="165">
        <v>100</v>
      </c>
      <c r="H26" s="166">
        <f t="shared" si="0"/>
        <v>51169.01</v>
      </c>
      <c r="I26" s="167">
        <f t="shared" si="1"/>
        <v>76967.913151899993</v>
      </c>
      <c r="J26" s="168">
        <f t="shared" si="2"/>
        <v>4809750</v>
      </c>
      <c r="K26" s="169">
        <f t="shared" si="3"/>
        <v>1044000</v>
      </c>
      <c r="L26" s="170">
        <f>SUM(((F26*EU2EUpct)*($B$44*$B26))+((F26*EU2worldpct)*($B$43*B26)+((G26*EU2EUpct)*($C26*$B$44))+((G26*EU2worldpct)*(C26*$B$44))))</f>
        <v>38908.453500000003</v>
      </c>
      <c r="M26" s="171">
        <f t="shared" si="4"/>
        <v>20467.603999999999</v>
      </c>
      <c r="N26" s="172">
        <f t="shared" si="5"/>
        <v>17909.1535</v>
      </c>
      <c r="O26" s="173">
        <f t="shared" si="6"/>
        <v>12792.252500000001</v>
      </c>
      <c r="P26" s="174">
        <f t="shared" si="7"/>
        <v>51169.01</v>
      </c>
      <c r="Q26" s="170">
        <f t="shared" si="8"/>
        <v>57725.934863924995</v>
      </c>
      <c r="R26" s="171">
        <f t="shared" si="9"/>
        <v>30787.165260759997</v>
      </c>
      <c r="S26" s="172">
        <f t="shared" si="10"/>
        <v>26938.769603164998</v>
      </c>
      <c r="T26" s="173">
        <f t="shared" si="11"/>
        <v>19241.978287974998</v>
      </c>
      <c r="U26" s="174">
        <f t="shared" si="12"/>
        <v>76967.913151899993</v>
      </c>
      <c r="V26" s="175"/>
      <c r="W26" s="170">
        <f t="shared" si="13"/>
        <v>1564.1198307000002</v>
      </c>
      <c r="X26" s="171">
        <f t="shared" si="14"/>
        <v>822.79768079999997</v>
      </c>
      <c r="Y26" s="172">
        <f t="shared" si="15"/>
        <v>719.94797070000004</v>
      </c>
      <c r="Z26" s="173">
        <f t="shared" si="16"/>
        <v>514.24855049999996</v>
      </c>
      <c r="AA26" s="174">
        <f t="shared" si="17"/>
        <v>2056.9942019999999</v>
      </c>
      <c r="AB26" s="170">
        <f t="shared" si="18"/>
        <v>2320.5825815297849</v>
      </c>
      <c r="AC26" s="171">
        <f t="shared" si="19"/>
        <v>1237.644043482552</v>
      </c>
      <c r="AD26" s="172">
        <f t="shared" si="20"/>
        <v>1082.9385380472329</v>
      </c>
      <c r="AE26" s="173">
        <f t="shared" si="21"/>
        <v>773.52752717659496</v>
      </c>
      <c r="AF26" s="174">
        <f t="shared" si="22"/>
        <v>3094.1101087063798</v>
      </c>
      <c r="AG26" s="1"/>
      <c r="AH26" s="176">
        <f t="shared" si="23"/>
        <v>1052084.5826400002</v>
      </c>
      <c r="AI26" s="176">
        <f t="shared" si="24"/>
        <v>2731591.2377609303</v>
      </c>
      <c r="AJ26" s="176">
        <f t="shared" si="25"/>
        <v>2731591.2377609303</v>
      </c>
      <c r="AK26" s="176">
        <f t="shared" si="26"/>
        <v>3902273.1968013295</v>
      </c>
      <c r="AL26" s="1"/>
      <c r="AM26" s="177">
        <f t="shared" si="27"/>
        <v>3496436.7843339909</v>
      </c>
      <c r="AN26" s="177">
        <f t="shared" si="28"/>
        <v>4807600.5784592377</v>
      </c>
      <c r="AO26" s="177">
        <f t="shared" si="29"/>
        <v>10145910.311683457</v>
      </c>
    </row>
    <row r="27" spans="1:41" ht="15.75" customHeight="1">
      <c r="A27" s="186" t="s">
        <v>133</v>
      </c>
      <c r="B27" s="164">
        <v>19</v>
      </c>
      <c r="C27" s="164">
        <v>12</v>
      </c>
      <c r="D27" s="164">
        <v>127</v>
      </c>
      <c r="E27" s="164">
        <v>12</v>
      </c>
      <c r="F27" s="165">
        <v>250</v>
      </c>
      <c r="G27" s="165">
        <v>115</v>
      </c>
      <c r="H27" s="166">
        <f t="shared" si="0"/>
        <v>19219.579999999998</v>
      </c>
      <c r="I27" s="167">
        <f t="shared" si="1"/>
        <v>28909.900040199995</v>
      </c>
      <c r="J27" s="168">
        <f t="shared" si="2"/>
        <v>1567500</v>
      </c>
      <c r="K27" s="169">
        <f t="shared" si="3"/>
        <v>800400</v>
      </c>
      <c r="L27" s="170">
        <f>SUM((((EU2EUpct*$F27)*($B27*B$43))+((EU2EUpct*$G27)*($C27*$B$44)))+((EU2worldpct*$F27)*($B27*$B$43))+((EU2worldpct*$G27)*($C27*$B$44)))</f>
        <v>14414.684999999999</v>
      </c>
      <c r="M27" s="171">
        <f t="shared" si="4"/>
        <v>7687.8320000000003</v>
      </c>
      <c r="N27" s="172">
        <f t="shared" si="5"/>
        <v>6726.8529999999992</v>
      </c>
      <c r="O27" s="173">
        <f t="shared" si="6"/>
        <v>4804.8949999999995</v>
      </c>
      <c r="P27" s="174">
        <f t="shared" si="7"/>
        <v>19219.579999999998</v>
      </c>
      <c r="Q27" s="170">
        <f t="shared" si="8"/>
        <v>21682.42503015</v>
      </c>
      <c r="R27" s="171">
        <f t="shared" si="9"/>
        <v>11563.96001608</v>
      </c>
      <c r="S27" s="172">
        <f t="shared" si="10"/>
        <v>10118.465014069998</v>
      </c>
      <c r="T27" s="173">
        <f t="shared" si="11"/>
        <v>7227.4750100499987</v>
      </c>
      <c r="U27" s="174">
        <f t="shared" si="12"/>
        <v>28909.900040199998</v>
      </c>
      <c r="V27" s="175"/>
      <c r="W27" s="170">
        <f t="shared" si="13"/>
        <v>579.47033699999997</v>
      </c>
      <c r="X27" s="171">
        <f t="shared" si="14"/>
        <v>309.05084640000001</v>
      </c>
      <c r="Y27" s="172">
        <f t="shared" si="15"/>
        <v>270.41949059999996</v>
      </c>
      <c r="Z27" s="173">
        <f t="shared" si="16"/>
        <v>193.15677899999997</v>
      </c>
      <c r="AA27" s="174">
        <f t="shared" si="17"/>
        <v>772.62711599999989</v>
      </c>
      <c r="AB27" s="170">
        <f t="shared" si="18"/>
        <v>871.63348621202999</v>
      </c>
      <c r="AC27" s="171">
        <f t="shared" si="19"/>
        <v>464.87119264641598</v>
      </c>
      <c r="AD27" s="172">
        <f t="shared" si="20"/>
        <v>406.7622935656139</v>
      </c>
      <c r="AE27" s="173">
        <f t="shared" si="21"/>
        <v>290.54449540400992</v>
      </c>
      <c r="AF27" s="174">
        <f t="shared" si="22"/>
        <v>1162.1779816160399</v>
      </c>
      <c r="AG27" s="1"/>
      <c r="AH27" s="176">
        <f t="shared" si="23"/>
        <v>389773.08239999996</v>
      </c>
      <c r="AI27" s="176">
        <f t="shared" si="24"/>
        <v>1026012.3524266978</v>
      </c>
      <c r="AJ27" s="176">
        <f t="shared" si="25"/>
        <v>1026012.3524266978</v>
      </c>
      <c r="AK27" s="176">
        <f t="shared" si="26"/>
        <v>1465731.9320381398</v>
      </c>
      <c r="AL27" s="1"/>
      <c r="AM27" s="177">
        <f t="shared" si="27"/>
        <v>1313295.8111061733</v>
      </c>
      <c r="AN27" s="177">
        <f t="shared" si="28"/>
        <v>1805781.7402709881</v>
      </c>
      <c r="AO27" s="177">
        <f t="shared" si="29"/>
        <v>3810903.0232991637</v>
      </c>
    </row>
    <row r="28" spans="1:41" ht="15.75" customHeight="1">
      <c r="A28" s="186" t="s">
        <v>134</v>
      </c>
      <c r="B28" s="164">
        <v>24</v>
      </c>
      <c r="C28" s="164">
        <v>16</v>
      </c>
      <c r="D28" s="164">
        <v>165</v>
      </c>
      <c r="E28" s="164">
        <v>5</v>
      </c>
      <c r="F28" s="165">
        <v>250</v>
      </c>
      <c r="G28" s="165">
        <v>115</v>
      </c>
      <c r="H28" s="166">
        <f t="shared" si="0"/>
        <v>24587.84</v>
      </c>
      <c r="I28" s="167">
        <f t="shared" si="1"/>
        <v>36984.783049599995</v>
      </c>
      <c r="J28" s="168">
        <f t="shared" si="2"/>
        <v>1980000</v>
      </c>
      <c r="K28" s="169">
        <f t="shared" si="3"/>
        <v>1067200</v>
      </c>
      <c r="L28" s="170">
        <f>SUM((((EU2EUpct*$F28)*($B28*B$43))+((EU2EUpct*$G28)*($C28*$B$44)))+((EU2worldpct*$F28)*($B28*$B$43))+((EU2worldpct*$G28)*($C28*$B$44)))</f>
        <v>18440.88</v>
      </c>
      <c r="M28" s="171">
        <f t="shared" si="4"/>
        <v>9835.1360000000004</v>
      </c>
      <c r="N28" s="172">
        <f t="shared" si="5"/>
        <v>8605.7439999999988</v>
      </c>
      <c r="O28" s="173">
        <f t="shared" si="6"/>
        <v>6146.96</v>
      </c>
      <c r="P28" s="174">
        <f t="shared" si="7"/>
        <v>24587.839999999997</v>
      </c>
      <c r="Q28" s="170">
        <f t="shared" si="8"/>
        <v>27738.587287199996</v>
      </c>
      <c r="R28" s="171">
        <f t="shared" si="9"/>
        <v>14793.91321984</v>
      </c>
      <c r="S28" s="172">
        <f t="shared" si="10"/>
        <v>12944.674067359998</v>
      </c>
      <c r="T28" s="173">
        <f t="shared" si="11"/>
        <v>9246.1957623999988</v>
      </c>
      <c r="U28" s="174">
        <f t="shared" si="12"/>
        <v>36984.783049599995</v>
      </c>
      <c r="V28" s="175"/>
      <c r="W28" s="170">
        <f t="shared" si="13"/>
        <v>741.32337600000005</v>
      </c>
      <c r="X28" s="171">
        <f t="shared" si="14"/>
        <v>395.37246720000002</v>
      </c>
      <c r="Y28" s="172">
        <f t="shared" si="15"/>
        <v>345.95090879999992</v>
      </c>
      <c r="Z28" s="173">
        <f t="shared" si="16"/>
        <v>247.10779199999999</v>
      </c>
      <c r="AA28" s="174">
        <f t="shared" si="17"/>
        <v>988.43116799999984</v>
      </c>
      <c r="AB28" s="170">
        <f t="shared" si="18"/>
        <v>1115.0912089454398</v>
      </c>
      <c r="AC28" s="171">
        <f t="shared" si="19"/>
        <v>594.71531143756795</v>
      </c>
      <c r="AD28" s="172">
        <f t="shared" si="20"/>
        <v>520.37589750787197</v>
      </c>
      <c r="AE28" s="173">
        <f t="shared" si="21"/>
        <v>371.69706964847995</v>
      </c>
      <c r="AF28" s="174">
        <f t="shared" si="22"/>
        <v>1486.7882785939198</v>
      </c>
      <c r="AG28" s="1"/>
      <c r="AH28" s="176">
        <f t="shared" si="23"/>
        <v>498641.39520000003</v>
      </c>
      <c r="AI28" s="176">
        <f t="shared" si="24"/>
        <v>1312589.9504303036</v>
      </c>
      <c r="AJ28" s="176">
        <f t="shared" si="25"/>
        <v>1312589.9504303036</v>
      </c>
      <c r="AK28" s="176">
        <f t="shared" si="26"/>
        <v>1875128.5006147197</v>
      </c>
      <c r="AL28" s="1"/>
      <c r="AM28" s="177">
        <f t="shared" si="27"/>
        <v>1680115.1365507885</v>
      </c>
      <c r="AN28" s="177">
        <f t="shared" si="28"/>
        <v>2310158.3127573342</v>
      </c>
      <c r="AO28" s="177">
        <f t="shared" si="29"/>
        <v>4875334.1015982712</v>
      </c>
    </row>
    <row r="29" spans="1:41" ht="15.75" customHeight="1">
      <c r="A29" s="186" t="s">
        <v>135</v>
      </c>
      <c r="B29" s="164">
        <v>38</v>
      </c>
      <c r="C29" s="164">
        <v>20</v>
      </c>
      <c r="D29" s="164">
        <v>188</v>
      </c>
      <c r="E29" s="164">
        <v>8</v>
      </c>
      <c r="F29" s="165">
        <v>265</v>
      </c>
      <c r="G29" s="165">
        <v>100</v>
      </c>
      <c r="H29" s="166">
        <f t="shared" si="0"/>
        <v>37778.035999999993</v>
      </c>
      <c r="I29" s="167">
        <f t="shared" si="1"/>
        <v>56825.343970839989</v>
      </c>
      <c r="J29" s="168">
        <f t="shared" si="2"/>
        <v>3323100</v>
      </c>
      <c r="K29" s="169">
        <f t="shared" si="3"/>
        <v>1160000</v>
      </c>
      <c r="L29" s="178">
        <f>SUM((((EU2EUpct*$F29)*($B29*B$43))+((EU2EUpct*$G29)*($C29*$B$44)))+((EU2worldpct*$F29)*($B29*$B$43))+((EU2worldpct*$G29)*($C29*$B$44)))</f>
        <v>28333.526999999998</v>
      </c>
      <c r="M29" s="179">
        <f t="shared" si="4"/>
        <v>15111.214400000001</v>
      </c>
      <c r="N29" s="167">
        <f t="shared" si="5"/>
        <v>13222.312599999999</v>
      </c>
      <c r="O29" s="180">
        <f t="shared" si="6"/>
        <v>9444.509</v>
      </c>
      <c r="P29" s="181">
        <f t="shared" si="7"/>
        <v>37778.036</v>
      </c>
      <c r="Q29" s="178">
        <f t="shared" si="8"/>
        <v>42619.007978130001</v>
      </c>
      <c r="R29" s="179">
        <f t="shared" si="9"/>
        <v>22730.137588336001</v>
      </c>
      <c r="S29" s="167">
        <f t="shared" si="10"/>
        <v>19888.870389793999</v>
      </c>
      <c r="T29" s="180">
        <f t="shared" si="11"/>
        <v>14206.335992709999</v>
      </c>
      <c r="U29" s="181">
        <f t="shared" si="12"/>
        <v>56825.343970839996</v>
      </c>
      <c r="V29" s="182"/>
      <c r="W29" s="170">
        <f t="shared" si="13"/>
        <v>1139.0077853999999</v>
      </c>
      <c r="X29" s="171">
        <f t="shared" si="14"/>
        <v>607.47081888000002</v>
      </c>
      <c r="Y29" s="172">
        <f t="shared" si="15"/>
        <v>531.53696651999996</v>
      </c>
      <c r="Z29" s="173">
        <f t="shared" si="16"/>
        <v>379.66926180000002</v>
      </c>
      <c r="AA29" s="174">
        <f t="shared" si="17"/>
        <v>1518.6770472000001</v>
      </c>
      <c r="AB29" s="170">
        <f t="shared" si="18"/>
        <v>1713.284120720826</v>
      </c>
      <c r="AC29" s="171">
        <f t="shared" si="19"/>
        <v>913.75153105110724</v>
      </c>
      <c r="AD29" s="172">
        <f t="shared" si="20"/>
        <v>799.53258966971873</v>
      </c>
      <c r="AE29" s="173">
        <f t="shared" si="21"/>
        <v>571.09470690694195</v>
      </c>
      <c r="AF29" s="174">
        <f t="shared" si="22"/>
        <v>2284.3788276277678</v>
      </c>
      <c r="AG29" s="1"/>
      <c r="AH29" s="176">
        <f t="shared" si="23"/>
        <v>766138.57007999986</v>
      </c>
      <c r="AI29" s="176">
        <f t="shared" si="24"/>
        <v>2016731.4575251113</v>
      </c>
      <c r="AJ29" s="176">
        <f t="shared" si="25"/>
        <v>2016731.4575251113</v>
      </c>
      <c r="AK29" s="176">
        <f t="shared" si="26"/>
        <v>2881044.9393215878</v>
      </c>
      <c r="AL29" s="1"/>
      <c r="AM29" s="177">
        <f t="shared" si="27"/>
        <v>2581416.2656321423</v>
      </c>
      <c r="AN29" s="177">
        <f t="shared" si="28"/>
        <v>3549447.3652441958</v>
      </c>
      <c r="AO29" s="177">
        <f t="shared" si="29"/>
        <v>7490716.8422361286</v>
      </c>
    </row>
    <row r="30" spans="1:41" ht="15.75" customHeight="1">
      <c r="A30" s="186" t="s">
        <v>136</v>
      </c>
      <c r="B30" s="164">
        <v>55</v>
      </c>
      <c r="C30" s="164">
        <v>24</v>
      </c>
      <c r="D30" s="164">
        <v>220</v>
      </c>
      <c r="E30" s="164">
        <v>6</v>
      </c>
      <c r="F30" s="165">
        <v>265</v>
      </c>
      <c r="G30" s="165">
        <v>100</v>
      </c>
      <c r="H30" s="166">
        <f t="shared" si="0"/>
        <v>53092.61</v>
      </c>
      <c r="I30" s="167">
        <f t="shared" si="1"/>
        <v>79861.373035899989</v>
      </c>
      <c r="J30" s="168">
        <f t="shared" si="2"/>
        <v>4809750</v>
      </c>
      <c r="K30" s="169">
        <f t="shared" si="3"/>
        <v>1392000</v>
      </c>
      <c r="L30" s="178">
        <f>SUM(((F30*EU2EUpct)*($B$44*$B30))+((F30*EU2worldpct)*($B$43*B30)+((G30*EU2EUpct)*($C30*$B$44))+((G30*EU2worldpct)*(C30*$B$44))))</f>
        <v>40351.1535</v>
      </c>
      <c r="M30" s="179">
        <f t="shared" si="4"/>
        <v>21237.044000000002</v>
      </c>
      <c r="N30" s="167">
        <f t="shared" si="5"/>
        <v>18582.413499999999</v>
      </c>
      <c r="O30" s="180">
        <f t="shared" si="6"/>
        <v>13273.1525</v>
      </c>
      <c r="P30" s="181">
        <f t="shared" si="7"/>
        <v>53092.61</v>
      </c>
      <c r="Q30" s="178">
        <f t="shared" si="8"/>
        <v>59896.029776925003</v>
      </c>
      <c r="R30" s="179">
        <f t="shared" si="9"/>
        <v>31944.549214360002</v>
      </c>
      <c r="S30" s="167">
        <f t="shared" si="10"/>
        <v>27951.480562564997</v>
      </c>
      <c r="T30" s="180">
        <f t="shared" si="11"/>
        <v>19965.343258974997</v>
      </c>
      <c r="U30" s="181">
        <f t="shared" si="12"/>
        <v>79861.373035900004</v>
      </c>
      <c r="V30" s="182"/>
      <c r="W30" s="170">
        <f t="shared" si="13"/>
        <v>1622.1163707000001</v>
      </c>
      <c r="X30" s="171">
        <f t="shared" si="14"/>
        <v>853.72916880000002</v>
      </c>
      <c r="Y30" s="172">
        <f t="shared" si="15"/>
        <v>747.01302269999996</v>
      </c>
      <c r="Z30" s="173">
        <f t="shared" si="16"/>
        <v>533.58073049999996</v>
      </c>
      <c r="AA30" s="174">
        <f t="shared" si="17"/>
        <v>2134.3229219999998</v>
      </c>
      <c r="AB30" s="170">
        <f t="shared" si="18"/>
        <v>2407.8203970323852</v>
      </c>
      <c r="AC30" s="171">
        <f t="shared" si="19"/>
        <v>1284.170878417272</v>
      </c>
      <c r="AD30" s="172">
        <f t="shared" si="20"/>
        <v>1123.6495186151128</v>
      </c>
      <c r="AE30" s="173">
        <f t="shared" si="21"/>
        <v>802.60679901079493</v>
      </c>
      <c r="AF30" s="174">
        <f t="shared" si="22"/>
        <v>3210.4271960431802</v>
      </c>
      <c r="AG30" s="1"/>
      <c r="AH30" s="176">
        <f t="shared" si="23"/>
        <v>1091095.1906399999</v>
      </c>
      <c r="AI30" s="176">
        <f t="shared" si="24"/>
        <v>2834280.1290440909</v>
      </c>
      <c r="AJ30" s="176">
        <f t="shared" si="25"/>
        <v>2834280.1290440909</v>
      </c>
      <c r="AK30" s="176">
        <f t="shared" si="26"/>
        <v>4048971.6129201297</v>
      </c>
      <c r="AL30" s="1"/>
      <c r="AM30" s="177">
        <f t="shared" si="27"/>
        <v>3627878.5651764362</v>
      </c>
      <c r="AN30" s="177">
        <f t="shared" si="28"/>
        <v>4988333.0271175997</v>
      </c>
      <c r="AO30" s="177">
        <f t="shared" si="29"/>
        <v>10527326.193592338</v>
      </c>
    </row>
    <row r="31" spans="1:41" ht="15.75" customHeight="1">
      <c r="A31" s="186" t="s">
        <v>137</v>
      </c>
      <c r="B31" s="164">
        <v>85</v>
      </c>
      <c r="C31" s="164">
        <v>28</v>
      </c>
      <c r="D31" s="164">
        <v>220</v>
      </c>
      <c r="E31" s="164">
        <v>6</v>
      </c>
      <c r="F31" s="165">
        <v>265</v>
      </c>
      <c r="G31" s="165">
        <v>100</v>
      </c>
      <c r="H31" s="166">
        <f t="shared" si="0"/>
        <v>79137.67</v>
      </c>
      <c r="I31" s="167">
        <f t="shared" si="1"/>
        <v>119038.09183729999</v>
      </c>
      <c r="J31" s="168">
        <f t="shared" si="2"/>
        <v>7433250</v>
      </c>
      <c r="K31" s="169">
        <f t="shared" si="3"/>
        <v>1624000</v>
      </c>
      <c r="L31" s="170">
        <f>SUM(((F31*EU2EUpct)*($B$44*$B31))+((F31*EU2worldpct)*($B$43*B31)+((G31*EU2EUpct)*($C31*$B$44))+((G31*EU2worldpct)*(C31*$B$44))))</f>
        <v>60174.964500000002</v>
      </c>
      <c r="M31" s="171">
        <f t="shared" si="4"/>
        <v>31655.067999999999</v>
      </c>
      <c r="N31" s="172">
        <f t="shared" si="5"/>
        <v>27698.184499999999</v>
      </c>
      <c r="O31" s="173">
        <f t="shared" si="6"/>
        <v>19784.4175</v>
      </c>
      <c r="P31" s="174">
        <f t="shared" si="7"/>
        <v>79137.67</v>
      </c>
      <c r="Q31" s="170">
        <f t="shared" si="8"/>
        <v>89278.568877974991</v>
      </c>
      <c r="R31" s="171">
        <f t="shared" si="9"/>
        <v>47615.236734919999</v>
      </c>
      <c r="S31" s="172">
        <f t="shared" si="10"/>
        <v>41663.332143054999</v>
      </c>
      <c r="T31" s="173">
        <f t="shared" si="11"/>
        <v>29759.522959324997</v>
      </c>
      <c r="U31" s="174">
        <f t="shared" si="12"/>
        <v>119038.09183729999</v>
      </c>
      <c r="V31" s="175"/>
      <c r="W31" s="170">
        <f t="shared" si="13"/>
        <v>2419.0335728999999</v>
      </c>
      <c r="X31" s="171">
        <f t="shared" si="14"/>
        <v>1272.5337336</v>
      </c>
      <c r="Y31" s="172">
        <f t="shared" si="15"/>
        <v>1113.4670168999999</v>
      </c>
      <c r="Z31" s="173">
        <f t="shared" si="16"/>
        <v>795.33358350000003</v>
      </c>
      <c r="AA31" s="174">
        <f t="shared" si="17"/>
        <v>3181.3343340000001</v>
      </c>
      <c r="AB31" s="170">
        <f t="shared" si="18"/>
        <v>3588.9984688945947</v>
      </c>
      <c r="AC31" s="171">
        <f t="shared" si="19"/>
        <v>1914.132516743784</v>
      </c>
      <c r="AD31" s="172">
        <f t="shared" si="20"/>
        <v>1674.8659521508109</v>
      </c>
      <c r="AE31" s="173">
        <f t="shared" si="21"/>
        <v>1196.3328229648648</v>
      </c>
      <c r="AF31" s="174">
        <f t="shared" si="22"/>
        <v>4785.3312918594593</v>
      </c>
      <c r="AG31" s="1"/>
      <c r="AH31" s="176">
        <f t="shared" si="23"/>
        <v>1627131.0400799999</v>
      </c>
      <c r="AI31" s="176">
        <f t="shared" si="24"/>
        <v>4224661.8793057762</v>
      </c>
      <c r="AJ31" s="176">
        <f t="shared" si="25"/>
        <v>4224661.8793057762</v>
      </c>
      <c r="AK31" s="176">
        <f t="shared" si="26"/>
        <v>6035231.256151109</v>
      </c>
      <c r="AL31" s="1"/>
      <c r="AM31" s="177">
        <f t="shared" si="27"/>
        <v>5407567.205511393</v>
      </c>
      <c r="AN31" s="177">
        <f t="shared" si="28"/>
        <v>7435404.9075781656</v>
      </c>
      <c r="AO31" s="177">
        <f t="shared" si="29"/>
        <v>15691601.265992884</v>
      </c>
    </row>
    <row r="32" spans="1:41" ht="15.75" customHeight="1">
      <c r="A32" s="187" t="s">
        <v>138</v>
      </c>
      <c r="B32" s="164">
        <v>48</v>
      </c>
      <c r="C32" s="164">
        <v>5</v>
      </c>
      <c r="D32" s="164">
        <v>165</v>
      </c>
      <c r="E32" s="164">
        <v>18</v>
      </c>
      <c r="F32" s="165">
        <v>300</v>
      </c>
      <c r="G32" s="165">
        <v>65</v>
      </c>
      <c r="H32" s="166">
        <f t="shared" si="0"/>
        <v>45895.069999999992</v>
      </c>
      <c r="I32" s="167">
        <f t="shared" si="1"/>
        <v>69034.905343299979</v>
      </c>
      <c r="J32" s="168">
        <f t="shared" si="2"/>
        <v>4752000</v>
      </c>
      <c r="K32" s="169">
        <f t="shared" si="3"/>
        <v>188500</v>
      </c>
      <c r="L32" s="178">
        <f>SUM((((EU2EUpct*$F32)*($B32*B$43))+((EU2EUpct*$G32)*($C32*$B$44)))+((EU2worldpct*$F32)*($B32*$B$43))+((EU2worldpct*$G32)*($C32*$B$44)))</f>
        <v>34421.302499999998</v>
      </c>
      <c r="M32" s="179">
        <f t="shared" si="4"/>
        <v>18358.027999999998</v>
      </c>
      <c r="N32" s="167">
        <f t="shared" si="5"/>
        <v>16063.274500000001</v>
      </c>
      <c r="O32" s="180">
        <f t="shared" si="6"/>
        <v>11473.7675</v>
      </c>
      <c r="P32" s="181">
        <f t="shared" si="7"/>
        <v>45895.07</v>
      </c>
      <c r="Q32" s="178">
        <f t="shared" si="8"/>
        <v>51776.179007474995</v>
      </c>
      <c r="R32" s="179">
        <f t="shared" si="9"/>
        <v>27613.962137319995</v>
      </c>
      <c r="S32" s="167">
        <f t="shared" si="10"/>
        <v>24162.216870155</v>
      </c>
      <c r="T32" s="180">
        <f t="shared" si="11"/>
        <v>17258.726335824998</v>
      </c>
      <c r="U32" s="181">
        <f t="shared" si="12"/>
        <v>69034.905343299994</v>
      </c>
      <c r="V32" s="182"/>
      <c r="W32" s="170">
        <f t="shared" si="13"/>
        <v>1383.7363604999998</v>
      </c>
      <c r="X32" s="171">
        <f t="shared" si="14"/>
        <v>737.99272559999997</v>
      </c>
      <c r="Y32" s="172">
        <f t="shared" si="15"/>
        <v>645.74363490000007</v>
      </c>
      <c r="Z32" s="173">
        <f t="shared" si="16"/>
        <v>461.2454535</v>
      </c>
      <c r="AA32" s="174">
        <f t="shared" si="17"/>
        <v>1844.981814</v>
      </c>
      <c r="AB32" s="170">
        <f t="shared" si="18"/>
        <v>2081.4023961004946</v>
      </c>
      <c r="AC32" s="171">
        <f t="shared" si="19"/>
        <v>1110.0812779202638</v>
      </c>
      <c r="AD32" s="172">
        <f t="shared" si="20"/>
        <v>971.321118180231</v>
      </c>
      <c r="AE32" s="173">
        <f t="shared" si="21"/>
        <v>693.80079870016493</v>
      </c>
      <c r="AF32" s="174">
        <f t="shared" si="22"/>
        <v>2775.2031948006597</v>
      </c>
      <c r="AG32" s="1"/>
      <c r="AH32" s="176">
        <f t="shared" si="23"/>
        <v>930752.0196</v>
      </c>
      <c r="AI32" s="176">
        <f t="shared" si="24"/>
        <v>2450048.7906337166</v>
      </c>
      <c r="AJ32" s="176">
        <f t="shared" si="25"/>
        <v>2450048.7906337166</v>
      </c>
      <c r="AK32" s="176">
        <f t="shared" si="26"/>
        <v>3500069.7009053095</v>
      </c>
      <c r="AL32" s="1"/>
      <c r="AM32" s="177">
        <f t="shared" si="27"/>
        <v>3136062.4520111568</v>
      </c>
      <c r="AN32" s="177">
        <f t="shared" si="28"/>
        <v>4312085.8715153411</v>
      </c>
      <c r="AO32" s="177">
        <f t="shared" si="29"/>
        <v>9100181.2223538049</v>
      </c>
    </row>
    <row r="33" spans="1:41" ht="15.75" customHeight="1">
      <c r="A33" s="187" t="s">
        <v>139</v>
      </c>
      <c r="B33" s="164">
        <v>65</v>
      </c>
      <c r="C33" s="164">
        <v>6</v>
      </c>
      <c r="D33" s="164">
        <v>220</v>
      </c>
      <c r="E33" s="164">
        <v>6</v>
      </c>
      <c r="F33" s="165">
        <v>280</v>
      </c>
      <c r="G33" s="165">
        <v>85</v>
      </c>
      <c r="H33" s="166">
        <f t="shared" si="0"/>
        <v>58324.419999999991</v>
      </c>
      <c r="I33" s="167">
        <f t="shared" si="1"/>
        <v>87731.009319799981</v>
      </c>
      <c r="J33" s="168">
        <f t="shared" si="2"/>
        <v>6006000</v>
      </c>
      <c r="K33" s="169">
        <f t="shared" si="3"/>
        <v>295800</v>
      </c>
      <c r="L33" s="178">
        <f t="shared" ref="L33:L39" si="32">SUM(((F33*EU2EUpct)*($B$44*$B33))+((F33*EU2worldpct)*($B$43*B33)+((G33*EU2EUpct)*($C33*$B$44))+((G33*EU2worldpct)*(C33*$B$44))))</f>
        <v>44407.251000000004</v>
      </c>
      <c r="M33" s="179">
        <f t="shared" si="4"/>
        <v>23329.768</v>
      </c>
      <c r="N33" s="167">
        <f t="shared" si="5"/>
        <v>20413.546999999999</v>
      </c>
      <c r="O33" s="180">
        <f t="shared" si="6"/>
        <v>14581.105</v>
      </c>
      <c r="P33" s="181">
        <f t="shared" si="7"/>
        <v>58324.42</v>
      </c>
      <c r="Q33" s="178">
        <f t="shared" si="8"/>
        <v>65798.256989849993</v>
      </c>
      <c r="R33" s="179">
        <f t="shared" si="9"/>
        <v>35092.403727919998</v>
      </c>
      <c r="S33" s="167">
        <f t="shared" si="10"/>
        <v>30705.853261929995</v>
      </c>
      <c r="T33" s="180">
        <f t="shared" si="11"/>
        <v>21932.752329949999</v>
      </c>
      <c r="U33" s="181">
        <f t="shared" si="12"/>
        <v>87731.009319799996</v>
      </c>
      <c r="V33" s="182"/>
      <c r="W33" s="170">
        <f t="shared" si="13"/>
        <v>1785.1714902000001</v>
      </c>
      <c r="X33" s="171">
        <f t="shared" si="14"/>
        <v>937.85667360000002</v>
      </c>
      <c r="Y33" s="172">
        <f t="shared" si="15"/>
        <v>820.62458939999999</v>
      </c>
      <c r="Z33" s="173">
        <f t="shared" si="16"/>
        <v>586.16042099999993</v>
      </c>
      <c r="AA33" s="174">
        <f t="shared" si="17"/>
        <v>2344.6416839999997</v>
      </c>
      <c r="AB33" s="170">
        <f t="shared" si="18"/>
        <v>2645.0899309919696</v>
      </c>
      <c r="AC33" s="171">
        <f t="shared" si="19"/>
        <v>1410.7146298623838</v>
      </c>
      <c r="AD33" s="172">
        <f t="shared" si="20"/>
        <v>1234.3753011295858</v>
      </c>
      <c r="AE33" s="173">
        <f t="shared" si="21"/>
        <v>881.6966436639899</v>
      </c>
      <c r="AF33" s="174">
        <f t="shared" si="22"/>
        <v>3526.7865746559596</v>
      </c>
      <c r="AG33" s="1"/>
      <c r="AH33" s="176">
        <f t="shared" si="23"/>
        <v>1200772.0670400001</v>
      </c>
      <c r="AI33" s="176">
        <f t="shared" si="24"/>
        <v>3113573.5207597013</v>
      </c>
      <c r="AJ33" s="176">
        <f t="shared" si="25"/>
        <v>3113573.5207597013</v>
      </c>
      <c r="AK33" s="176">
        <f t="shared" si="26"/>
        <v>4447962.1725138593</v>
      </c>
      <c r="AL33" s="1"/>
      <c r="AM33" s="177">
        <f t="shared" si="27"/>
        <v>3985374.1065724175</v>
      </c>
      <c r="AN33" s="177">
        <f t="shared" si="28"/>
        <v>5479889.3965370739</v>
      </c>
      <c r="AO33" s="177">
        <f t="shared" si="29"/>
        <v>11564701.648536034</v>
      </c>
    </row>
    <row r="34" spans="1:41" ht="15.75" customHeight="1">
      <c r="A34" s="187" t="s">
        <v>140</v>
      </c>
      <c r="B34" s="164">
        <v>45</v>
      </c>
      <c r="C34" s="164">
        <v>10</v>
      </c>
      <c r="D34" s="164">
        <v>220</v>
      </c>
      <c r="E34" s="164">
        <v>2</v>
      </c>
      <c r="F34" s="165">
        <v>280</v>
      </c>
      <c r="G34" s="165">
        <v>85</v>
      </c>
      <c r="H34" s="166">
        <f t="shared" si="0"/>
        <v>41971.579999999994</v>
      </c>
      <c r="I34" s="167">
        <f t="shared" si="1"/>
        <v>63133.230920199989</v>
      </c>
      <c r="J34" s="168">
        <f t="shared" si="2"/>
        <v>4158000</v>
      </c>
      <c r="K34" s="169">
        <f t="shared" si="3"/>
        <v>493000</v>
      </c>
      <c r="L34" s="178">
        <f t="shared" si="32"/>
        <v>31938.333000000002</v>
      </c>
      <c r="M34" s="179">
        <f t="shared" si="4"/>
        <v>16788.632000000001</v>
      </c>
      <c r="N34" s="167">
        <f t="shared" si="5"/>
        <v>14690.053</v>
      </c>
      <c r="O34" s="180">
        <f t="shared" si="6"/>
        <v>10492.894999999999</v>
      </c>
      <c r="P34" s="181">
        <f t="shared" si="7"/>
        <v>41971.58</v>
      </c>
      <c r="Q34" s="178">
        <f t="shared" si="8"/>
        <v>47349.923190150002</v>
      </c>
      <c r="R34" s="179">
        <f t="shared" si="9"/>
        <v>25253.292368080001</v>
      </c>
      <c r="S34" s="167">
        <f t="shared" si="10"/>
        <v>22096.630822069998</v>
      </c>
      <c r="T34" s="180">
        <f t="shared" si="11"/>
        <v>15783.307730049997</v>
      </c>
      <c r="U34" s="181">
        <f t="shared" si="12"/>
        <v>63133.230920200003</v>
      </c>
      <c r="V34" s="182"/>
      <c r="W34" s="170">
        <f t="shared" si="13"/>
        <v>1283.9209866000001</v>
      </c>
      <c r="X34" s="171">
        <f t="shared" si="14"/>
        <v>674.90300640000009</v>
      </c>
      <c r="Y34" s="172">
        <f t="shared" si="15"/>
        <v>590.5401306</v>
      </c>
      <c r="Z34" s="173">
        <f t="shared" si="16"/>
        <v>421.81437899999992</v>
      </c>
      <c r="AA34" s="174">
        <f t="shared" si="17"/>
        <v>1687.2575160000001</v>
      </c>
      <c r="AB34" s="170">
        <f t="shared" si="18"/>
        <v>1903.46691224403</v>
      </c>
      <c r="AC34" s="171">
        <f t="shared" si="19"/>
        <v>1015.1823531968161</v>
      </c>
      <c r="AD34" s="172">
        <f t="shared" si="20"/>
        <v>888.28455904721386</v>
      </c>
      <c r="AE34" s="173">
        <f t="shared" si="21"/>
        <v>634.48897074800993</v>
      </c>
      <c r="AF34" s="174">
        <f t="shared" si="22"/>
        <v>2537.9558829920402</v>
      </c>
      <c r="AG34" s="1"/>
      <c r="AH34" s="176">
        <f t="shared" si="23"/>
        <v>863612.52431999997</v>
      </c>
      <c r="AI34" s="176">
        <f t="shared" si="24"/>
        <v>2240598.3653578977</v>
      </c>
      <c r="AJ34" s="176">
        <f t="shared" si="25"/>
        <v>2240598.3653578977</v>
      </c>
      <c r="AK34" s="176">
        <f t="shared" si="26"/>
        <v>3200854.8076541401</v>
      </c>
      <c r="AL34" s="1"/>
      <c r="AM34" s="177">
        <f t="shared" si="27"/>
        <v>2867965.9076581094</v>
      </c>
      <c r="AN34" s="177">
        <f t="shared" si="28"/>
        <v>3943453.1230299002</v>
      </c>
      <c r="AO34" s="177">
        <f t="shared" si="29"/>
        <v>8322222.4999007639</v>
      </c>
    </row>
    <row r="35" spans="1:41" ht="15.75" customHeight="1">
      <c r="A35" s="187" t="s">
        <v>141</v>
      </c>
      <c r="B35" s="164">
        <v>75</v>
      </c>
      <c r="C35" s="164">
        <v>16</v>
      </c>
      <c r="D35" s="164">
        <v>220</v>
      </c>
      <c r="E35" s="164">
        <v>2</v>
      </c>
      <c r="F35" s="165">
        <v>300</v>
      </c>
      <c r="G35" s="165">
        <v>65</v>
      </c>
      <c r="H35" s="166">
        <f t="shared" si="0"/>
        <v>73417.240000000005</v>
      </c>
      <c r="I35" s="167">
        <f t="shared" si="1"/>
        <v>110433.47823560001</v>
      </c>
      <c r="J35" s="168">
        <f t="shared" si="2"/>
        <v>7425000</v>
      </c>
      <c r="K35" s="169">
        <f t="shared" si="3"/>
        <v>603200</v>
      </c>
      <c r="L35" s="178">
        <f t="shared" si="32"/>
        <v>55883.729999999996</v>
      </c>
      <c r="M35" s="179">
        <f t="shared" si="4"/>
        <v>29366.895999999997</v>
      </c>
      <c r="N35" s="167">
        <f t="shared" si="5"/>
        <v>25696.034</v>
      </c>
      <c r="O35" s="180">
        <f t="shared" si="6"/>
        <v>18354.310000000001</v>
      </c>
      <c r="P35" s="181">
        <f t="shared" si="7"/>
        <v>73417.239999999991</v>
      </c>
      <c r="Q35" s="178">
        <f t="shared" si="8"/>
        <v>82825.10867669998</v>
      </c>
      <c r="R35" s="179">
        <f t="shared" si="9"/>
        <v>44173.391294239991</v>
      </c>
      <c r="S35" s="167">
        <f t="shared" si="10"/>
        <v>38651.717382459996</v>
      </c>
      <c r="T35" s="180">
        <f t="shared" si="11"/>
        <v>27608.369558900002</v>
      </c>
      <c r="U35" s="181">
        <f t="shared" si="12"/>
        <v>110433.47823559998</v>
      </c>
      <c r="V35" s="182"/>
      <c r="W35" s="170">
        <f t="shared" si="13"/>
        <v>2246.5259459999997</v>
      </c>
      <c r="X35" s="171">
        <f t="shared" si="14"/>
        <v>1180.5492191999999</v>
      </c>
      <c r="Y35" s="172">
        <f t="shared" si="15"/>
        <v>1032.9805667999999</v>
      </c>
      <c r="Z35" s="173">
        <f t="shared" si="16"/>
        <v>737.8432620000001</v>
      </c>
      <c r="AA35" s="174">
        <f t="shared" si="17"/>
        <v>2951.3730479999995</v>
      </c>
      <c r="AB35" s="170">
        <f t="shared" si="18"/>
        <v>3329.5693688033393</v>
      </c>
      <c r="AC35" s="171">
        <f t="shared" si="19"/>
        <v>1775.7703300284477</v>
      </c>
      <c r="AD35" s="172">
        <f t="shared" si="20"/>
        <v>1553.7990387748919</v>
      </c>
      <c r="AE35" s="173">
        <f t="shared" si="21"/>
        <v>1109.85645626778</v>
      </c>
      <c r="AF35" s="174">
        <f t="shared" si="22"/>
        <v>4439.4258250711191</v>
      </c>
      <c r="AG35" s="1"/>
      <c r="AH35" s="176">
        <f t="shared" si="23"/>
        <v>1511096.0591999998</v>
      </c>
      <c r="AI35" s="176">
        <f t="shared" si="24"/>
        <v>3919284.1425814424</v>
      </c>
      <c r="AJ35" s="176">
        <f t="shared" si="25"/>
        <v>3919284.1425814424</v>
      </c>
      <c r="AK35" s="176">
        <f t="shared" si="26"/>
        <v>5598977.3465449186</v>
      </c>
      <c r="AL35" s="1"/>
      <c r="AM35" s="177">
        <f t="shared" si="27"/>
        <v>5016683.7025042465</v>
      </c>
      <c r="AN35" s="177">
        <f t="shared" si="28"/>
        <v>6897940.0909433383</v>
      </c>
      <c r="AO35" s="177">
        <f t="shared" si="29"/>
        <v>14557341.101016788</v>
      </c>
    </row>
    <row r="36" spans="1:41" ht="15.75" customHeight="1">
      <c r="A36" s="187" t="s">
        <v>142</v>
      </c>
      <c r="B36" s="164">
        <v>78</v>
      </c>
      <c r="C36" s="164">
        <v>18</v>
      </c>
      <c r="D36" s="164">
        <v>220</v>
      </c>
      <c r="E36" s="164">
        <v>2</v>
      </c>
      <c r="F36" s="183">
        <v>250</v>
      </c>
      <c r="G36" s="165">
        <v>115</v>
      </c>
      <c r="H36" s="166">
        <f t="shared" si="0"/>
        <v>67375.02</v>
      </c>
      <c r="I36" s="167">
        <f t="shared" si="1"/>
        <v>101344.8313338</v>
      </c>
      <c r="J36" s="168">
        <f t="shared" si="2"/>
        <v>6435000</v>
      </c>
      <c r="K36" s="169">
        <f t="shared" si="3"/>
        <v>1200600</v>
      </c>
      <c r="L36" s="178">
        <f t="shared" si="32"/>
        <v>51242.625</v>
      </c>
      <c r="M36" s="179">
        <f t="shared" si="4"/>
        <v>26950.007999999998</v>
      </c>
      <c r="N36" s="167">
        <f t="shared" si="5"/>
        <v>23581.256999999998</v>
      </c>
      <c r="O36" s="180">
        <f t="shared" si="6"/>
        <v>16843.755000000001</v>
      </c>
      <c r="P36" s="181">
        <f t="shared" si="7"/>
        <v>67375.02</v>
      </c>
      <c r="Q36" s="178">
        <f t="shared" si="8"/>
        <v>76008.62350034999</v>
      </c>
      <c r="R36" s="179">
        <f t="shared" si="9"/>
        <v>40537.932533519997</v>
      </c>
      <c r="S36" s="167">
        <f t="shared" si="10"/>
        <v>35470.690966829992</v>
      </c>
      <c r="T36" s="180">
        <f t="shared" si="11"/>
        <v>25336.20783345</v>
      </c>
      <c r="U36" s="181">
        <f t="shared" si="12"/>
        <v>101344.83133379999</v>
      </c>
      <c r="V36" s="182"/>
      <c r="W36" s="170">
        <f t="shared" si="13"/>
        <v>2059.9535249999999</v>
      </c>
      <c r="X36" s="171">
        <f t="shared" si="14"/>
        <v>1083.3903215999999</v>
      </c>
      <c r="Y36" s="172">
        <f t="shared" si="15"/>
        <v>947.96653139999989</v>
      </c>
      <c r="Z36" s="173">
        <f t="shared" si="16"/>
        <v>677.11895100000004</v>
      </c>
      <c r="AA36" s="174">
        <f t="shared" si="17"/>
        <v>2708.4758040000002</v>
      </c>
      <c r="AB36" s="170">
        <f t="shared" si="18"/>
        <v>3055.5466647140697</v>
      </c>
      <c r="AC36" s="171">
        <f t="shared" si="19"/>
        <v>1629.6248878475039</v>
      </c>
      <c r="AD36" s="172">
        <f t="shared" si="20"/>
        <v>1425.9217768665658</v>
      </c>
      <c r="AE36" s="173">
        <f t="shared" si="21"/>
        <v>1018.51555490469</v>
      </c>
      <c r="AF36" s="174">
        <f t="shared" si="22"/>
        <v>4074.0622196187596</v>
      </c>
      <c r="AG36" s="1"/>
      <c r="AH36" s="176">
        <f t="shared" si="23"/>
        <v>1385600.58</v>
      </c>
      <c r="AI36" s="176">
        <f t="shared" si="24"/>
        <v>3596728.0640365607</v>
      </c>
      <c r="AJ36" s="176">
        <f t="shared" si="25"/>
        <v>3596728.0640365607</v>
      </c>
      <c r="AK36" s="176">
        <f t="shared" si="26"/>
        <v>5138182.9486236591</v>
      </c>
      <c r="AL36" s="1"/>
      <c r="AM36" s="177">
        <f t="shared" si="27"/>
        <v>4603811.9219667977</v>
      </c>
      <c r="AN36" s="177">
        <f t="shared" si="28"/>
        <v>6330241.3927043471</v>
      </c>
      <c r="AO36" s="177">
        <f t="shared" si="29"/>
        <v>13359275.666421514</v>
      </c>
    </row>
    <row r="37" spans="1:41" ht="15.75" customHeight="1">
      <c r="A37" s="187" t="s">
        <v>143</v>
      </c>
      <c r="B37" s="164">
        <v>102</v>
      </c>
      <c r="C37" s="164">
        <v>28</v>
      </c>
      <c r="D37" s="164">
        <v>220</v>
      </c>
      <c r="E37" s="164">
        <v>2</v>
      </c>
      <c r="F37" s="183">
        <v>230</v>
      </c>
      <c r="G37" s="183">
        <v>135</v>
      </c>
      <c r="H37" s="166">
        <f t="shared" si="0"/>
        <v>85191.888000000006</v>
      </c>
      <c r="I37" s="167">
        <f t="shared" si="1"/>
        <v>128144.78601072</v>
      </c>
      <c r="J37" s="168">
        <f t="shared" si="2"/>
        <v>7741800</v>
      </c>
      <c r="K37" s="169">
        <f t="shared" si="3"/>
        <v>2192400</v>
      </c>
      <c r="L37" s="178">
        <f t="shared" si="32"/>
        <v>64749.736799999999</v>
      </c>
      <c r="M37" s="179">
        <f t="shared" si="4"/>
        <v>34076.7552</v>
      </c>
      <c r="N37" s="167">
        <f t="shared" si="5"/>
        <v>29817.160799999998</v>
      </c>
      <c r="O37" s="180">
        <f t="shared" si="6"/>
        <v>21297.972000000002</v>
      </c>
      <c r="P37" s="181">
        <f t="shared" si="7"/>
        <v>85191.888000000006</v>
      </c>
      <c r="Q37" s="178">
        <f t="shared" si="8"/>
        <v>96108.589508039993</v>
      </c>
      <c r="R37" s="179">
        <f t="shared" si="9"/>
        <v>51257.914404288</v>
      </c>
      <c r="S37" s="167">
        <f t="shared" si="10"/>
        <v>44850.675103751993</v>
      </c>
      <c r="T37" s="180">
        <f t="shared" si="11"/>
        <v>32036.196502679999</v>
      </c>
      <c r="U37" s="181">
        <f t="shared" si="12"/>
        <v>128144.78601072</v>
      </c>
      <c r="V37" s="182"/>
      <c r="W37" s="170">
        <f t="shared" si="13"/>
        <v>2602.9394193600001</v>
      </c>
      <c r="X37" s="171">
        <f t="shared" si="14"/>
        <v>1369.8855590399999</v>
      </c>
      <c r="Y37" s="172">
        <f t="shared" si="15"/>
        <v>1198.6498641599999</v>
      </c>
      <c r="Z37" s="173">
        <f t="shared" si="16"/>
        <v>856.17847440000003</v>
      </c>
      <c r="AA37" s="174">
        <f t="shared" si="17"/>
        <v>3424.7138976000001</v>
      </c>
      <c r="AB37" s="170">
        <f t="shared" si="18"/>
        <v>3863.5652982232077</v>
      </c>
      <c r="AC37" s="171">
        <f t="shared" si="19"/>
        <v>2060.5681590523777</v>
      </c>
      <c r="AD37" s="172">
        <f t="shared" si="20"/>
        <v>1802.9971391708302</v>
      </c>
      <c r="AE37" s="173">
        <f t="shared" si="21"/>
        <v>1287.8550994077359</v>
      </c>
      <c r="AF37" s="174">
        <f t="shared" si="22"/>
        <v>5151.4203976309436</v>
      </c>
      <c r="AG37" s="1"/>
      <c r="AH37" s="176">
        <f t="shared" si="23"/>
        <v>1750832.8830719998</v>
      </c>
      <c r="AI37" s="176">
        <f t="shared" si="24"/>
        <v>4547858.4555204511</v>
      </c>
      <c r="AJ37" s="176">
        <f t="shared" si="25"/>
        <v>4547858.4555204511</v>
      </c>
      <c r="AK37" s="176">
        <f t="shared" si="26"/>
        <v>6496940.6507435031</v>
      </c>
      <c r="AL37" s="1"/>
      <c r="AM37" s="177">
        <f t="shared" si="27"/>
        <v>5821258.8230661778</v>
      </c>
      <c r="AN37" s="177">
        <f t="shared" si="28"/>
        <v>8004230.8817159943</v>
      </c>
      <c r="AO37" s="177">
        <f t="shared" si="29"/>
        <v>16892045.691933107</v>
      </c>
    </row>
    <row r="38" spans="1:41" ht="15.75" customHeight="1">
      <c r="A38" s="187" t="s">
        <v>144</v>
      </c>
      <c r="B38" s="164">
        <v>162</v>
      </c>
      <c r="C38" s="164">
        <v>32</v>
      </c>
      <c r="D38" s="164">
        <v>185</v>
      </c>
      <c r="E38" s="164">
        <v>2</v>
      </c>
      <c r="F38" s="165">
        <v>230</v>
      </c>
      <c r="G38" s="183">
        <v>135</v>
      </c>
      <c r="H38" s="166">
        <f t="shared" si="0"/>
        <v>129907.36799999999</v>
      </c>
      <c r="I38" s="167">
        <f t="shared" si="1"/>
        <v>195405.36387191998</v>
      </c>
      <c r="J38" s="168">
        <f t="shared" si="2"/>
        <v>12295800</v>
      </c>
      <c r="K38" s="169">
        <f t="shared" si="3"/>
        <v>2505600</v>
      </c>
      <c r="L38" s="178">
        <f t="shared" si="32"/>
        <v>98789.770799999998</v>
      </c>
      <c r="M38" s="179">
        <f t="shared" si="4"/>
        <v>51962.947199999995</v>
      </c>
      <c r="N38" s="167">
        <f t="shared" si="5"/>
        <v>45467.578799999996</v>
      </c>
      <c r="O38" s="180">
        <f t="shared" si="6"/>
        <v>32476.841999999997</v>
      </c>
      <c r="P38" s="181">
        <f t="shared" si="7"/>
        <v>129907.36799999999</v>
      </c>
      <c r="Q38" s="178">
        <f t="shared" si="8"/>
        <v>146554.02290394</v>
      </c>
      <c r="R38" s="179">
        <f t="shared" si="9"/>
        <v>78162.145548767992</v>
      </c>
      <c r="S38" s="167">
        <f t="shared" si="10"/>
        <v>68391.877355171993</v>
      </c>
      <c r="T38" s="180">
        <f t="shared" si="11"/>
        <v>48851.340967979995</v>
      </c>
      <c r="U38" s="181">
        <f t="shared" si="12"/>
        <v>195405.36387191998</v>
      </c>
      <c r="V38" s="182"/>
      <c r="W38" s="170">
        <f t="shared" si="13"/>
        <v>3971.3487861599997</v>
      </c>
      <c r="X38" s="171">
        <f t="shared" si="14"/>
        <v>2088.9104774399998</v>
      </c>
      <c r="Y38" s="172">
        <f t="shared" si="15"/>
        <v>1827.7966677599998</v>
      </c>
      <c r="Z38" s="173">
        <f t="shared" si="16"/>
        <v>1305.5690483999999</v>
      </c>
      <c r="AA38" s="174">
        <f t="shared" si="17"/>
        <v>5222.2761935999997</v>
      </c>
      <c r="AB38" s="170">
        <f t="shared" si="18"/>
        <v>5891.4717207383883</v>
      </c>
      <c r="AC38" s="171">
        <f t="shared" si="19"/>
        <v>3142.1182510604731</v>
      </c>
      <c r="AD38" s="172">
        <f t="shared" si="20"/>
        <v>2749.3534696779143</v>
      </c>
      <c r="AE38" s="173">
        <f t="shared" si="21"/>
        <v>1963.8239069127958</v>
      </c>
      <c r="AF38" s="174">
        <f t="shared" si="22"/>
        <v>7855.2956276511832</v>
      </c>
      <c r="AG38" s="1"/>
      <c r="AH38" s="176">
        <f t="shared" si="23"/>
        <v>2671275.4024319998</v>
      </c>
      <c r="AI38" s="176">
        <f t="shared" si="24"/>
        <v>6934936.3638144396</v>
      </c>
      <c r="AJ38" s="176">
        <f t="shared" si="25"/>
        <v>6934936.3638144396</v>
      </c>
      <c r="AK38" s="176">
        <f t="shared" si="26"/>
        <v>9907051.9483063426</v>
      </c>
      <c r="AL38" s="1"/>
      <c r="AM38" s="177">
        <f t="shared" si="27"/>
        <v>8876718.5456824824</v>
      </c>
      <c r="AN38" s="177">
        <f t="shared" si="28"/>
        <v>12205488.000313414</v>
      </c>
      <c r="AO38" s="177">
        <f t="shared" si="29"/>
        <v>25758335.065596495</v>
      </c>
    </row>
    <row r="39" spans="1:41" ht="15.75" customHeight="1">
      <c r="A39" s="187" t="s">
        <v>145</v>
      </c>
      <c r="B39" s="164">
        <v>157</v>
      </c>
      <c r="C39" s="164">
        <v>40</v>
      </c>
      <c r="D39" s="164">
        <v>185</v>
      </c>
      <c r="E39" s="164">
        <v>2</v>
      </c>
      <c r="F39" s="165">
        <v>210</v>
      </c>
      <c r="G39" s="165">
        <v>155</v>
      </c>
      <c r="H39" s="166">
        <f t="shared" si="0"/>
        <v>122572.15599999999</v>
      </c>
      <c r="I39" s="167">
        <f t="shared" si="1"/>
        <v>184371.81133363998</v>
      </c>
      <c r="J39" s="168">
        <f t="shared" si="2"/>
        <v>10880100</v>
      </c>
      <c r="K39" s="169">
        <f t="shared" si="3"/>
        <v>3596000</v>
      </c>
      <c r="L39" s="170">
        <f t="shared" si="32"/>
        <v>93131.862599999993</v>
      </c>
      <c r="M39" s="171">
        <f t="shared" si="4"/>
        <v>49028.862399999998</v>
      </c>
      <c r="N39" s="172">
        <f t="shared" si="5"/>
        <v>42900.2546</v>
      </c>
      <c r="O39" s="173">
        <f t="shared" si="6"/>
        <v>30643.038999999997</v>
      </c>
      <c r="P39" s="174">
        <f t="shared" si="7"/>
        <v>122572.15599999999</v>
      </c>
      <c r="Q39" s="170">
        <f t="shared" si="8"/>
        <v>138278.85850023001</v>
      </c>
      <c r="R39" s="171">
        <f t="shared" si="9"/>
        <v>73748.724533455999</v>
      </c>
      <c r="S39" s="172">
        <f t="shared" si="10"/>
        <v>64530.133966773996</v>
      </c>
      <c r="T39" s="173">
        <f t="shared" si="11"/>
        <v>46092.952833409996</v>
      </c>
      <c r="U39" s="174">
        <f t="shared" si="12"/>
        <v>184371.81133364001</v>
      </c>
      <c r="V39" s="175"/>
      <c r="W39" s="178">
        <f t="shared" si="13"/>
        <v>3743.9008765199997</v>
      </c>
      <c r="X39" s="179">
        <f t="shared" si="14"/>
        <v>1970.96026848</v>
      </c>
      <c r="Y39" s="167">
        <f t="shared" si="15"/>
        <v>1724.5902349200001</v>
      </c>
      <c r="Z39" s="180">
        <f t="shared" si="16"/>
        <v>1231.8501677999998</v>
      </c>
      <c r="AA39" s="181">
        <f t="shared" si="17"/>
        <v>4927.4006711999991</v>
      </c>
      <c r="AB39" s="178">
        <f t="shared" si="18"/>
        <v>5558.8101117092465</v>
      </c>
      <c r="AC39" s="179">
        <f t="shared" si="19"/>
        <v>2964.6987262449311</v>
      </c>
      <c r="AD39" s="167">
        <f t="shared" si="20"/>
        <v>2594.1113854643145</v>
      </c>
      <c r="AE39" s="180">
        <f t="shared" si="21"/>
        <v>1852.9367039030817</v>
      </c>
      <c r="AF39" s="181">
        <f t="shared" si="22"/>
        <v>7411.7468156123286</v>
      </c>
      <c r="AG39" s="1"/>
      <c r="AH39" s="176">
        <f t="shared" si="23"/>
        <v>2518285.564704</v>
      </c>
      <c r="AI39" s="176">
        <f t="shared" si="24"/>
        <v>6543355.584230883</v>
      </c>
      <c r="AJ39" s="176">
        <f t="shared" si="25"/>
        <v>6543355.584230883</v>
      </c>
      <c r="AK39" s="176">
        <f t="shared" si="26"/>
        <v>9347650.8346155472</v>
      </c>
      <c r="AL39" s="1"/>
      <c r="AM39" s="177">
        <f t="shared" si="27"/>
        <v>8375495.1478155302</v>
      </c>
      <c r="AN39" s="177">
        <f t="shared" si="28"/>
        <v>11516305.828246353</v>
      </c>
      <c r="AO39" s="177">
        <f t="shared" si="29"/>
        <v>24303892.170000426</v>
      </c>
    </row>
    <row r="40" spans="1:41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</row>
    <row r="41" spans="1: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</row>
    <row r="42" spans="1:41" ht="15.75" customHeight="1">
      <c r="A42" s="49" t="s">
        <v>146</v>
      </c>
      <c r="B42" s="49" t="s">
        <v>147</v>
      </c>
      <c r="C42" s="1"/>
      <c r="D42" s="1"/>
      <c r="E42" s="188" t="s">
        <v>148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</row>
    <row r="43" spans="1:41" ht="15.75" customHeight="1">
      <c r="A43" s="187" t="s">
        <v>149</v>
      </c>
      <c r="B43" s="189">
        <v>3.1147999999999998</v>
      </c>
      <c r="C43" s="187" t="s">
        <v>150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</row>
    <row r="44" spans="1:41" ht="15.75" customHeight="1">
      <c r="A44" s="187" t="s">
        <v>151</v>
      </c>
      <c r="B44" s="189">
        <v>3.206</v>
      </c>
      <c r="C44" s="187" t="s">
        <v>152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</row>
    <row r="45" spans="1:41" ht="15.75" customHeight="1">
      <c r="A45" s="187" t="s">
        <v>153</v>
      </c>
      <c r="B45" s="189">
        <v>3.1139999999999999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</row>
    <row r="46" spans="1:41" ht="15.75" customHeight="1">
      <c r="A46" s="187" t="s">
        <v>154</v>
      </c>
      <c r="B46" s="189">
        <v>3.1139999999999999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</row>
    <row r="47" spans="1:41" ht="15.75" customHeight="1">
      <c r="A47" s="187" t="s">
        <v>30</v>
      </c>
      <c r="B47" s="189">
        <v>3.206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</row>
    <row r="48" spans="1:41" ht="15.75" customHeight="1">
      <c r="A48" s="187" t="s">
        <v>155</v>
      </c>
      <c r="B48" s="189">
        <v>3.1509999999999998</v>
      </c>
      <c r="C48" s="187" t="s">
        <v>156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</row>
    <row r="49" spans="1:41" ht="15.75" customHeight="1">
      <c r="A49" s="187" t="s">
        <v>157</v>
      </c>
      <c r="B49" s="189">
        <v>2.7549999999999999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</row>
    <row r="50" spans="1:41" ht="15.75" customHeight="1">
      <c r="A50" s="187" t="s">
        <v>158</v>
      </c>
      <c r="B50" s="189">
        <v>3.03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</row>
    <row r="51" spans="1:41" ht="15.75" customHeight="1">
      <c r="A51" s="187" t="s">
        <v>159</v>
      </c>
      <c r="B51" s="189">
        <v>3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</row>
    <row r="52" spans="1:41" ht="15.75" customHeight="1">
      <c r="A52" s="187" t="s">
        <v>160</v>
      </c>
      <c r="B52" s="189">
        <v>0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</row>
    <row r="53" spans="1:41" ht="15.75" customHeight="1">
      <c r="A53" s="187" t="s">
        <v>161</v>
      </c>
      <c r="B53" s="189">
        <v>0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</row>
    <row r="54" spans="1:41" ht="15.75" customHeight="1">
      <c r="A54" s="187" t="s">
        <v>162</v>
      </c>
      <c r="B54" s="189">
        <v>1.375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</row>
    <row r="55" spans="1:41" ht="15.75" customHeight="1">
      <c r="A55" s="187" t="s">
        <v>163</v>
      </c>
      <c r="B55" s="189">
        <v>1.913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</row>
    <row r="56" spans="1:41" ht="15.75" customHeight="1">
      <c r="A56" s="187" t="s">
        <v>164</v>
      </c>
      <c r="B56" s="189">
        <v>2.8340000000000001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</row>
    <row r="57" spans="1:41" ht="15.75" customHeight="1">
      <c r="A57" s="187" t="s">
        <v>165</v>
      </c>
      <c r="B57" s="189">
        <v>3.1150000000000002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</row>
    <row r="58" spans="1:41" ht="15.75" customHeight="1">
      <c r="A58" s="187" t="s">
        <v>166</v>
      </c>
      <c r="B58" s="189">
        <v>2.7549999999999999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</row>
    <row r="59" spans="1:41" ht="15.75" customHeight="1">
      <c r="A59" s="187" t="s">
        <v>167</v>
      </c>
      <c r="B59" s="189">
        <v>0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</row>
    <row r="60" spans="1:41" ht="15.75" customHeight="1">
      <c r="A60" s="187" t="s">
        <v>168</v>
      </c>
      <c r="B60" s="189">
        <v>3.206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</row>
    <row r="61" spans="1:41" ht="15.75" customHeight="1">
      <c r="A61" s="187" t="s">
        <v>169</v>
      </c>
      <c r="B61" s="189">
        <v>1.375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</row>
    <row r="62" spans="1:41" ht="15.75" customHeight="1">
      <c r="A62" s="187" t="s">
        <v>170</v>
      </c>
      <c r="B62" s="189">
        <v>2.7549999999999999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</row>
    <row r="63" spans="1:41" ht="15.75" customHeight="1">
      <c r="A63" s="187" t="s">
        <v>171</v>
      </c>
      <c r="B63" s="189">
        <v>0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</row>
    <row r="64" spans="1:41" ht="15.75" customHeight="1">
      <c r="A64" s="187" t="s">
        <v>172</v>
      </c>
      <c r="B64" s="189">
        <v>0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</row>
    <row r="65" spans="1:41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</row>
    <row r="66" spans="1:41" ht="15.75" customHeight="1">
      <c r="A66" s="190" t="s">
        <v>173</v>
      </c>
      <c r="B66" s="191">
        <v>4.02E-2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</row>
    <row r="67" spans="1:41" ht="15.75" customHeight="1">
      <c r="A67" s="192" t="s">
        <v>174</v>
      </c>
      <c r="B67" s="193">
        <v>4.1200000000000001E-2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spans="1:41" ht="15.75" customHeight="1">
      <c r="A68" s="49" t="s">
        <v>175</v>
      </c>
      <c r="B68" s="194">
        <v>4.1000000000000002E-2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spans="1:41" ht="15.75" customHeight="1">
      <c r="A69" s="1"/>
      <c r="B69" s="1"/>
      <c r="C69" s="195" t="s">
        <v>176</v>
      </c>
      <c r="D69" s="196">
        <v>1.5041899999999999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spans="1:41" ht="23.25">
      <c r="A70" s="9" t="s">
        <v>177</v>
      </c>
      <c r="B70" s="197">
        <f>SUM(('Ship Estimator'!B10*'Ship Estimator'!B16)*(_xlfn.XLOOKUP('Ship Estimator'!B19,FuelType,Cf_multiplier)))</f>
        <v>15228.5</v>
      </c>
      <c r="C70" s="198">
        <f t="shared" ref="C70:C71" si="33">B70*1.50419</f>
        <v>22906.557414999999</v>
      </c>
      <c r="D70" s="199" t="s">
        <v>178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 spans="1:41" ht="23.25">
      <c r="A71" s="9" t="s">
        <v>179</v>
      </c>
      <c r="B71" s="200">
        <f>SUM(('Ship Estimator'!B11*'Ship Estimator'!B17)*(_xlfn.XLOOKUP('Ship Estimator'!B19,FuelType,Cf_multiplier)))</f>
        <v>1106.07</v>
      </c>
      <c r="C71" s="198">
        <f t="shared" si="33"/>
        <v>1663.7394332999997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</row>
    <row r="72" spans="1:41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</row>
    <row r="73" spans="1:41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</row>
    <row r="74" spans="1:41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</row>
    <row r="75" spans="1:41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</row>
    <row r="76" spans="1:41" ht="15.75" customHeight="1">
      <c r="A76" s="1" t="s">
        <v>180</v>
      </c>
      <c r="B76" s="201">
        <v>330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</row>
    <row r="77" spans="1:41" ht="15.75" customHeight="1">
      <c r="A77" s="1" t="s">
        <v>181</v>
      </c>
      <c r="B77" s="201">
        <v>580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</row>
    <row r="78" spans="1:41" ht="15.75" customHeight="1">
      <c r="A78" s="1" t="s">
        <v>182</v>
      </c>
      <c r="B78" s="202">
        <v>1.6E-2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</row>
    <row r="79" spans="1:41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</row>
    <row r="80" spans="1:41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</row>
    <row r="81" spans="1:41" ht="15.75" customHeight="1">
      <c r="A81" s="1"/>
      <c r="B81" s="203" t="s">
        <v>183</v>
      </c>
      <c r="C81" s="1"/>
      <c r="D81" s="1" t="s">
        <v>184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</row>
    <row r="82" spans="1:41" ht="15.75" customHeight="1">
      <c r="A82" s="183">
        <v>2024</v>
      </c>
      <c r="B82" s="204">
        <v>0.4</v>
      </c>
      <c r="C82" s="1" t="s">
        <v>185</v>
      </c>
      <c r="D82" s="205">
        <f>EUAprice</f>
        <v>67.599999999999994</v>
      </c>
      <c r="E82" s="206" t="s">
        <v>186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</row>
    <row r="83" spans="1:41" ht="15.75" customHeight="1">
      <c r="A83" s="183">
        <v>2025</v>
      </c>
      <c r="B83" s="204">
        <v>0.7</v>
      </c>
      <c r="C83" s="1" t="s">
        <v>56</v>
      </c>
      <c r="D83" s="205">
        <f>EUAprice*E83</f>
        <v>86.527999999999992</v>
      </c>
      <c r="E83" s="207">
        <v>1.28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</row>
    <row r="84" spans="1:41" ht="15.75" customHeight="1">
      <c r="A84" s="183">
        <v>2026</v>
      </c>
      <c r="B84" s="208">
        <v>0.7</v>
      </c>
      <c r="C84" s="1" t="s">
        <v>56</v>
      </c>
      <c r="D84" s="205">
        <f>EUAprice*E84</f>
        <v>118.97599999999998</v>
      </c>
      <c r="E84" s="207">
        <v>1.76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</row>
    <row r="85" spans="1:41" ht="15.75" customHeight="1">
      <c r="A85" s="165">
        <v>2027</v>
      </c>
      <c r="B85" s="204">
        <v>1</v>
      </c>
      <c r="C85" s="1" t="s">
        <v>56</v>
      </c>
      <c r="D85" s="205">
        <f>EUAprice*E85</f>
        <v>175.76</v>
      </c>
      <c r="E85" s="209">
        <v>2.6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</row>
    <row r="86" spans="1:41" ht="15.75" customHeight="1">
      <c r="A86" s="135" t="s">
        <v>187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</row>
    <row r="87" spans="1:41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</row>
    <row r="88" spans="1:41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</row>
    <row r="89" spans="1:41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</row>
    <row r="90" spans="1:41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</row>
    <row r="91" spans="1:4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</row>
    <row r="92" spans="1:41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</row>
    <row r="93" spans="1:41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</row>
    <row r="94" spans="1:41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</row>
    <row r="95" spans="1:41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</row>
    <row r="96" spans="1:41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</row>
    <row r="97" spans="1:41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</row>
    <row r="98" spans="1:41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</row>
    <row r="99" spans="1:41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</row>
    <row r="100" spans="1:41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</row>
    <row r="101" spans="1:4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</row>
    <row r="102" spans="1:41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</row>
    <row r="103" spans="1:41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</row>
    <row r="104" spans="1:41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</row>
    <row r="105" spans="1:41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</row>
    <row r="106" spans="1:41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</row>
    <row r="107" spans="1:41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</row>
    <row r="108" spans="1:41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</row>
    <row r="109" spans="1:41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</row>
    <row r="110" spans="1:41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</row>
    <row r="111" spans="1:4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</row>
    <row r="112" spans="1:41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</row>
    <row r="113" spans="1:41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</row>
    <row r="114" spans="1:41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</row>
    <row r="115" spans="1:41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</row>
    <row r="116" spans="1:41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</row>
    <row r="117" spans="1:41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</row>
    <row r="118" spans="1:41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</row>
    <row r="119" spans="1:41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</row>
    <row r="120" spans="1:41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</row>
    <row r="121" spans="1:4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</row>
    <row r="122" spans="1:41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</row>
    <row r="123" spans="1:41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</row>
    <row r="124" spans="1:41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</row>
    <row r="125" spans="1:41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</row>
    <row r="126" spans="1:41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</row>
    <row r="127" spans="1:41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</row>
    <row r="128" spans="1:41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</row>
    <row r="129" spans="1:41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</row>
    <row r="130" spans="1:41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</row>
    <row r="131" spans="1:4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</row>
    <row r="132" spans="1:41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</row>
    <row r="133" spans="1:41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</row>
    <row r="134" spans="1:41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</row>
    <row r="135" spans="1:41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</row>
    <row r="136" spans="1:41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</row>
    <row r="137" spans="1:41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</row>
    <row r="138" spans="1:41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</row>
    <row r="139" spans="1:41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</row>
    <row r="140" spans="1:41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</row>
    <row r="141" spans="1: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</row>
    <row r="142" spans="1:41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</row>
    <row r="143" spans="1:41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</row>
    <row r="144" spans="1:41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</row>
    <row r="145" spans="1:41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</row>
    <row r="146" spans="1:41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</row>
    <row r="147" spans="1:41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</row>
    <row r="148" spans="1:41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</row>
    <row r="149" spans="1:41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</row>
    <row r="150" spans="1:41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</row>
    <row r="151" spans="1:4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</row>
    <row r="152" spans="1:41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</row>
    <row r="153" spans="1:41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</row>
    <row r="154" spans="1:41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</row>
    <row r="155" spans="1:41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</row>
    <row r="156" spans="1:41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</row>
    <row r="157" spans="1:41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</row>
    <row r="158" spans="1:41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</row>
    <row r="159" spans="1:41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</row>
    <row r="160" spans="1:41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</row>
    <row r="161" spans="1:4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</row>
    <row r="162" spans="1:41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</row>
    <row r="163" spans="1:41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</row>
    <row r="164" spans="1:41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</row>
    <row r="165" spans="1:41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</row>
    <row r="166" spans="1:41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</row>
    <row r="167" spans="1:41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</row>
    <row r="168" spans="1:41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</row>
    <row r="169" spans="1:41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</row>
    <row r="170" spans="1:41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</row>
    <row r="171" spans="1:4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</row>
    <row r="172" spans="1:41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</row>
    <row r="173" spans="1:41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</row>
    <row r="174" spans="1:41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</row>
    <row r="175" spans="1:41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</row>
    <row r="176" spans="1:41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</row>
    <row r="177" spans="1:41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</row>
    <row r="178" spans="1:41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</row>
    <row r="179" spans="1:41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</row>
    <row r="180" spans="1:41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</row>
    <row r="181" spans="1:4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</row>
    <row r="182" spans="1:41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</row>
    <row r="183" spans="1:41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</row>
    <row r="184" spans="1:41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</row>
    <row r="185" spans="1:41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</row>
    <row r="186" spans="1:41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</row>
    <row r="187" spans="1:41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</row>
    <row r="188" spans="1:41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</row>
    <row r="189" spans="1:41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</row>
    <row r="190" spans="1:41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</row>
    <row r="191" spans="1:4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</row>
    <row r="192" spans="1:41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</row>
    <row r="193" spans="1:41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</row>
    <row r="194" spans="1:41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</row>
    <row r="195" spans="1:41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</row>
    <row r="196" spans="1:41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</row>
    <row r="197" spans="1:41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</row>
    <row r="198" spans="1:41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</row>
    <row r="199" spans="1:41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</row>
    <row r="200" spans="1:41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</row>
    <row r="201" spans="1:4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</row>
    <row r="202" spans="1:41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</row>
    <row r="203" spans="1:41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</row>
    <row r="204" spans="1:41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</row>
    <row r="205" spans="1:41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</row>
    <row r="206" spans="1:41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</row>
    <row r="207" spans="1:41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</row>
    <row r="208" spans="1:41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</row>
    <row r="209" spans="1:41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</row>
    <row r="210" spans="1:41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</row>
    <row r="211" spans="1:4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</row>
    <row r="212" spans="1:41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</row>
    <row r="213" spans="1:41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</row>
    <row r="214" spans="1:41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</row>
    <row r="215" spans="1:41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</row>
    <row r="216" spans="1:41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</row>
    <row r="217" spans="1:41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</row>
    <row r="218" spans="1:41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</row>
    <row r="219" spans="1:41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</row>
    <row r="220" spans="1:41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</row>
    <row r="221" spans="1:4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</row>
    <row r="222" spans="1:41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</row>
    <row r="223" spans="1:41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</row>
    <row r="224" spans="1:41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</row>
    <row r="225" spans="1:41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</row>
    <row r="226" spans="1:41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</row>
    <row r="227" spans="1:41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</row>
    <row r="228" spans="1:41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</row>
    <row r="229" spans="1:41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</row>
    <row r="230" spans="1:41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</row>
    <row r="231" spans="1:4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</row>
    <row r="232" spans="1:41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</row>
    <row r="233" spans="1:41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</row>
    <row r="234" spans="1:41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</row>
    <row r="235" spans="1:41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</row>
    <row r="236" spans="1:41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</row>
    <row r="237" spans="1:41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</row>
    <row r="238" spans="1:41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</row>
    <row r="239" spans="1:41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</row>
    <row r="240" spans="1:41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</row>
    <row r="241" spans="1: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</row>
    <row r="242" spans="1:41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</row>
    <row r="243" spans="1:41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</row>
    <row r="244" spans="1:41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</row>
    <row r="245" spans="1:41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</row>
    <row r="246" spans="1:41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</row>
    <row r="247" spans="1:41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</row>
    <row r="248" spans="1:41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</row>
    <row r="249" spans="1:41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</row>
    <row r="250" spans="1:41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</row>
    <row r="251" spans="1:4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</row>
    <row r="252" spans="1:41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</row>
    <row r="253" spans="1:41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</row>
    <row r="254" spans="1:41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</row>
    <row r="255" spans="1:41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</row>
    <row r="256" spans="1:41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</row>
    <row r="257" spans="1:41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</row>
    <row r="258" spans="1:41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</row>
    <row r="259" spans="1:41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</row>
    <row r="260" spans="1:41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</row>
    <row r="261" spans="1:4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</row>
    <row r="262" spans="1:41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</row>
    <row r="263" spans="1:41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</row>
    <row r="264" spans="1:41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</row>
    <row r="265" spans="1:41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</row>
    <row r="266" spans="1:41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</row>
    <row r="267" spans="1:41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</row>
    <row r="268" spans="1:41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</row>
    <row r="269" spans="1:41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</row>
    <row r="270" spans="1:41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</row>
    <row r="271" spans="1:4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</row>
    <row r="272" spans="1:41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</row>
    <row r="273" spans="1:41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</row>
    <row r="274" spans="1:41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</row>
    <row r="275" spans="1:41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</row>
    <row r="276" spans="1:41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</row>
    <row r="277" spans="1:41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</row>
    <row r="278" spans="1:41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</row>
    <row r="279" spans="1:41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</row>
    <row r="280" spans="1:41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</row>
    <row r="281" spans="1:4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</row>
    <row r="282" spans="1:41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</row>
    <row r="283" spans="1:41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</row>
    <row r="284" spans="1:41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</row>
    <row r="285" spans="1:41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</row>
    <row r="286" spans="1:41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</row>
    <row r="287" spans="1:41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</row>
    <row r="288" spans="1:41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</row>
    <row r="289" spans="1:41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</row>
    <row r="290" spans="1:41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</row>
    <row r="291" spans="1:4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</row>
    <row r="292" spans="1:41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</row>
    <row r="293" spans="1:41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</row>
    <row r="294" spans="1:41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</row>
    <row r="295" spans="1:41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</row>
    <row r="296" spans="1:41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</row>
    <row r="297" spans="1:41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</row>
    <row r="298" spans="1:41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</row>
    <row r="299" spans="1:41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</row>
    <row r="300" spans="1:41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</row>
    <row r="301" spans="1:4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</row>
    <row r="302" spans="1:41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</row>
    <row r="303" spans="1:41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</row>
    <row r="304" spans="1:41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</row>
    <row r="305" spans="1:41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</row>
    <row r="306" spans="1:41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</row>
    <row r="307" spans="1:41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</row>
    <row r="308" spans="1:41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</row>
    <row r="309" spans="1:41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</row>
    <row r="310" spans="1:41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</row>
    <row r="311" spans="1:4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</row>
    <row r="312" spans="1:41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</row>
    <row r="313" spans="1:41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</row>
    <row r="314" spans="1:41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</row>
    <row r="315" spans="1:41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</row>
    <row r="316" spans="1:41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</row>
    <row r="317" spans="1:41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</row>
    <row r="318" spans="1:41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</row>
    <row r="319" spans="1:41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</row>
    <row r="320" spans="1:41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</row>
    <row r="321" spans="1:4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</row>
    <row r="322" spans="1:41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</row>
    <row r="323" spans="1:41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</row>
    <row r="324" spans="1:41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</row>
    <row r="325" spans="1:41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</row>
    <row r="326" spans="1:41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</row>
    <row r="327" spans="1:41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</row>
    <row r="328" spans="1:41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</row>
    <row r="329" spans="1:41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</row>
    <row r="330" spans="1:41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</row>
    <row r="331" spans="1:4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</row>
    <row r="332" spans="1:41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</row>
    <row r="333" spans="1:41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</row>
    <row r="334" spans="1:41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</row>
    <row r="335" spans="1:41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</row>
    <row r="336" spans="1:41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</row>
    <row r="337" spans="1:41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</row>
    <row r="338" spans="1:41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</row>
    <row r="339" spans="1:41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</row>
    <row r="340" spans="1:41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</row>
    <row r="341" spans="1: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</row>
    <row r="342" spans="1:41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</row>
    <row r="343" spans="1:41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</row>
    <row r="344" spans="1:41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</row>
    <row r="345" spans="1:41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</row>
    <row r="346" spans="1:41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</row>
    <row r="347" spans="1:41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</row>
    <row r="348" spans="1:41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</row>
    <row r="349" spans="1:41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</row>
    <row r="350" spans="1:41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</row>
    <row r="351" spans="1:4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</row>
    <row r="352" spans="1:41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</row>
    <row r="353" spans="1:41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</row>
    <row r="354" spans="1:41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</row>
    <row r="355" spans="1:41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</row>
    <row r="356" spans="1:41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</row>
    <row r="357" spans="1:41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</row>
    <row r="358" spans="1:41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</row>
    <row r="359" spans="1:41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</row>
    <row r="360" spans="1:41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</row>
    <row r="361" spans="1:4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</row>
    <row r="362" spans="1:41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</row>
    <row r="363" spans="1:41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</row>
    <row r="364" spans="1:41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</row>
    <row r="365" spans="1:41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</row>
    <row r="366" spans="1:41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</row>
    <row r="367" spans="1:41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</row>
    <row r="368" spans="1:41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</row>
    <row r="369" spans="1:41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</row>
    <row r="370" spans="1:41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</row>
    <row r="371" spans="1:4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</row>
    <row r="372" spans="1:41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</row>
    <row r="373" spans="1:41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</row>
    <row r="374" spans="1:41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</row>
    <row r="375" spans="1:41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</row>
    <row r="376" spans="1:41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</row>
    <row r="377" spans="1:41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</row>
    <row r="378" spans="1:41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</row>
    <row r="379" spans="1:41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</row>
    <row r="380" spans="1:41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</row>
    <row r="381" spans="1:4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</row>
    <row r="382" spans="1:41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</row>
    <row r="383" spans="1:41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</row>
    <row r="384" spans="1:41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</row>
    <row r="385" spans="1:41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</row>
    <row r="386" spans="1:41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</row>
    <row r="387" spans="1:41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</row>
    <row r="388" spans="1:41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</row>
    <row r="389" spans="1:41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</row>
    <row r="390" spans="1:41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</row>
    <row r="391" spans="1:4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</row>
    <row r="392" spans="1:41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</row>
    <row r="393" spans="1:41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</row>
    <row r="394" spans="1:41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</row>
    <row r="395" spans="1:41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</row>
    <row r="396" spans="1:41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</row>
    <row r="397" spans="1:41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</row>
    <row r="398" spans="1:41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</row>
    <row r="399" spans="1:41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</row>
    <row r="400" spans="1:41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</row>
    <row r="401" spans="1:4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</row>
    <row r="402" spans="1:41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</row>
    <row r="403" spans="1:41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</row>
    <row r="404" spans="1:41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</row>
    <row r="405" spans="1:41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</row>
    <row r="406" spans="1:41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</row>
    <row r="407" spans="1:41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</row>
    <row r="408" spans="1:41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</row>
    <row r="409" spans="1:41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</row>
    <row r="410" spans="1:41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</row>
    <row r="411" spans="1:4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</row>
    <row r="412" spans="1:41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</row>
    <row r="413" spans="1:41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</row>
    <row r="414" spans="1:41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</row>
    <row r="415" spans="1:41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</row>
    <row r="416" spans="1:41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</row>
    <row r="417" spans="1:41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</row>
    <row r="418" spans="1:41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</row>
    <row r="419" spans="1:41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</row>
    <row r="420" spans="1:41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</row>
    <row r="421" spans="1:4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</row>
    <row r="422" spans="1:41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</row>
    <row r="423" spans="1:41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</row>
    <row r="424" spans="1:41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</row>
    <row r="425" spans="1:41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</row>
    <row r="426" spans="1:41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</row>
    <row r="427" spans="1:41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</row>
    <row r="428" spans="1:41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</row>
    <row r="429" spans="1:41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</row>
    <row r="430" spans="1:41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</row>
    <row r="431" spans="1:4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</row>
    <row r="432" spans="1:41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</row>
    <row r="433" spans="1:41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</row>
    <row r="434" spans="1:41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</row>
    <row r="435" spans="1:41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</row>
    <row r="436" spans="1:41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</row>
    <row r="437" spans="1:41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</row>
    <row r="438" spans="1:41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</row>
    <row r="439" spans="1:41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</row>
    <row r="440" spans="1:41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</row>
    <row r="441" spans="1: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</row>
    <row r="442" spans="1:41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</row>
    <row r="443" spans="1:41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</row>
    <row r="444" spans="1:41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</row>
    <row r="445" spans="1:41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</row>
    <row r="446" spans="1:41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</row>
    <row r="447" spans="1:41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</row>
    <row r="448" spans="1:41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</row>
    <row r="449" spans="1:41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</row>
    <row r="450" spans="1:41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</row>
    <row r="451" spans="1:4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</row>
    <row r="452" spans="1:41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</row>
    <row r="453" spans="1:41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</row>
    <row r="454" spans="1:41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</row>
    <row r="455" spans="1:41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</row>
    <row r="456" spans="1:41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</row>
    <row r="457" spans="1:41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</row>
    <row r="458" spans="1:41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</row>
    <row r="459" spans="1:41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</row>
    <row r="460" spans="1:41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</row>
    <row r="461" spans="1:4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</row>
    <row r="462" spans="1:41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</row>
    <row r="463" spans="1:41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</row>
    <row r="464" spans="1:41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</row>
    <row r="465" spans="1:41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</row>
    <row r="466" spans="1:41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</row>
    <row r="467" spans="1:41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</row>
    <row r="468" spans="1:41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</row>
    <row r="469" spans="1:41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</row>
    <row r="470" spans="1:41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</row>
    <row r="471" spans="1:4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</row>
    <row r="472" spans="1:41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</row>
    <row r="473" spans="1:41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</row>
    <row r="474" spans="1:41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</row>
    <row r="475" spans="1:41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</row>
    <row r="476" spans="1:41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</row>
    <row r="477" spans="1:41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</row>
    <row r="478" spans="1:41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</row>
    <row r="479" spans="1:41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</row>
    <row r="480" spans="1:41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</row>
    <row r="481" spans="1:4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</row>
    <row r="482" spans="1:41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</row>
    <row r="483" spans="1:41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</row>
    <row r="484" spans="1:41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</row>
    <row r="485" spans="1:41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</row>
    <row r="486" spans="1:41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</row>
    <row r="487" spans="1:41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</row>
    <row r="488" spans="1:41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</row>
    <row r="489" spans="1:41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</row>
    <row r="490" spans="1:41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</row>
    <row r="491" spans="1:4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</row>
    <row r="492" spans="1:41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</row>
    <row r="493" spans="1:41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</row>
    <row r="494" spans="1:41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</row>
    <row r="495" spans="1:41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</row>
    <row r="496" spans="1:41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</row>
    <row r="497" spans="1:41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</row>
    <row r="498" spans="1:41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</row>
    <row r="499" spans="1:41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</row>
    <row r="500" spans="1:41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</row>
    <row r="501" spans="1:4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</row>
    <row r="502" spans="1:41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</row>
    <row r="503" spans="1:41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</row>
    <row r="504" spans="1:41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</row>
    <row r="505" spans="1:41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</row>
    <row r="506" spans="1:41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</row>
    <row r="507" spans="1:41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</row>
    <row r="508" spans="1:41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</row>
    <row r="509" spans="1:41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</row>
    <row r="510" spans="1:41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</row>
    <row r="511" spans="1:4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</row>
    <row r="512" spans="1:41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</row>
    <row r="513" spans="1:41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</row>
    <row r="514" spans="1:41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</row>
    <row r="515" spans="1:41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</row>
    <row r="516" spans="1:41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</row>
    <row r="517" spans="1:41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</row>
    <row r="518" spans="1:41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</row>
    <row r="519" spans="1:41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</row>
    <row r="520" spans="1:41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</row>
    <row r="521" spans="1:4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</row>
    <row r="522" spans="1:41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</row>
    <row r="523" spans="1:41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</row>
    <row r="524" spans="1:41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</row>
    <row r="525" spans="1:41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</row>
    <row r="526" spans="1:41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</row>
    <row r="527" spans="1:41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</row>
    <row r="528" spans="1:41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</row>
    <row r="529" spans="1:41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</row>
    <row r="530" spans="1:41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</row>
    <row r="531" spans="1:4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</row>
    <row r="532" spans="1:41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</row>
    <row r="533" spans="1:41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</row>
    <row r="534" spans="1:41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</row>
    <row r="535" spans="1:41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</row>
    <row r="536" spans="1:41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</row>
    <row r="537" spans="1:41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</row>
    <row r="538" spans="1:41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</row>
    <row r="539" spans="1:41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</row>
    <row r="540" spans="1:41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</row>
    <row r="541" spans="1: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</row>
    <row r="542" spans="1:41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</row>
    <row r="543" spans="1:41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</row>
    <row r="544" spans="1:41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</row>
    <row r="545" spans="1:41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</row>
    <row r="546" spans="1:41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</row>
    <row r="547" spans="1:41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</row>
    <row r="548" spans="1:41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</row>
    <row r="549" spans="1:41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</row>
    <row r="550" spans="1:41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</row>
    <row r="551" spans="1:4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</row>
    <row r="552" spans="1:41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</row>
    <row r="553" spans="1:41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</row>
    <row r="554" spans="1:41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</row>
    <row r="555" spans="1:41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</row>
    <row r="556" spans="1:41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</row>
    <row r="557" spans="1:41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</row>
    <row r="558" spans="1:41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</row>
    <row r="559" spans="1:41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</row>
    <row r="560" spans="1:41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</row>
    <row r="561" spans="1:4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</row>
    <row r="562" spans="1:41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</row>
    <row r="563" spans="1:41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</row>
    <row r="564" spans="1:41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</row>
    <row r="565" spans="1:41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</row>
    <row r="566" spans="1:41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</row>
    <row r="567" spans="1:41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</row>
    <row r="568" spans="1:41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</row>
    <row r="569" spans="1:41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</row>
    <row r="570" spans="1:41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</row>
    <row r="571" spans="1:4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</row>
    <row r="572" spans="1:41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</row>
    <row r="573" spans="1:41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</row>
    <row r="574" spans="1:41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</row>
    <row r="575" spans="1:41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</row>
    <row r="576" spans="1:41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</row>
    <row r="577" spans="1:41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</row>
    <row r="578" spans="1:41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</row>
    <row r="579" spans="1:41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</row>
    <row r="580" spans="1:41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</row>
    <row r="581" spans="1:4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</row>
    <row r="582" spans="1:41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</row>
    <row r="583" spans="1:41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</row>
    <row r="584" spans="1:41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</row>
    <row r="585" spans="1:41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</row>
    <row r="586" spans="1:41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</row>
    <row r="587" spans="1:41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</row>
    <row r="588" spans="1:41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</row>
    <row r="589" spans="1:41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</row>
    <row r="590" spans="1:41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</row>
    <row r="591" spans="1:4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</row>
    <row r="592" spans="1:41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</row>
    <row r="593" spans="1:41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</row>
    <row r="594" spans="1:41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</row>
    <row r="595" spans="1:41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</row>
    <row r="596" spans="1:41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</row>
    <row r="597" spans="1:41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</row>
    <row r="598" spans="1:41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</row>
    <row r="599" spans="1:41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</row>
    <row r="600" spans="1:41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</row>
    <row r="601" spans="1:4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</row>
    <row r="602" spans="1:41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</row>
    <row r="603" spans="1:41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</row>
    <row r="604" spans="1:41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</row>
    <row r="605" spans="1:41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</row>
    <row r="606" spans="1:41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</row>
    <row r="607" spans="1:41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</row>
    <row r="608" spans="1:41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</row>
    <row r="609" spans="1:41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</row>
    <row r="610" spans="1:41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</row>
    <row r="611" spans="1:4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</row>
    <row r="612" spans="1:41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</row>
    <row r="613" spans="1:41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</row>
    <row r="614" spans="1:41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</row>
    <row r="615" spans="1:41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</row>
    <row r="616" spans="1:41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</row>
    <row r="617" spans="1:41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</row>
    <row r="618" spans="1:41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</row>
    <row r="619" spans="1:41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</row>
    <row r="620" spans="1:41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</row>
    <row r="621" spans="1:4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</row>
    <row r="622" spans="1:41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</row>
    <row r="623" spans="1:41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</row>
    <row r="624" spans="1:41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</row>
    <row r="625" spans="1:41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</row>
    <row r="626" spans="1:41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</row>
    <row r="627" spans="1:41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</row>
    <row r="628" spans="1:41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</row>
    <row r="629" spans="1:41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</row>
    <row r="630" spans="1:41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</row>
    <row r="631" spans="1:4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</row>
    <row r="632" spans="1:41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</row>
    <row r="633" spans="1:41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</row>
    <row r="634" spans="1:41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</row>
    <row r="635" spans="1:41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</row>
    <row r="636" spans="1:41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</row>
    <row r="637" spans="1:41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</row>
    <row r="638" spans="1:41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</row>
    <row r="639" spans="1:41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</row>
    <row r="640" spans="1:41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</row>
    <row r="641" spans="1: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</row>
    <row r="642" spans="1:41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</row>
    <row r="643" spans="1:41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</row>
    <row r="644" spans="1:41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</row>
    <row r="645" spans="1:41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</row>
    <row r="646" spans="1:41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</row>
    <row r="647" spans="1:41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</row>
    <row r="648" spans="1:41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</row>
    <row r="649" spans="1:41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</row>
    <row r="650" spans="1:41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</row>
    <row r="651" spans="1:4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</row>
    <row r="652" spans="1:41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</row>
    <row r="653" spans="1:41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</row>
    <row r="654" spans="1:41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</row>
    <row r="655" spans="1:41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</row>
    <row r="656" spans="1:41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</row>
    <row r="657" spans="1:41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</row>
    <row r="658" spans="1:41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</row>
    <row r="659" spans="1:41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</row>
    <row r="660" spans="1:41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</row>
    <row r="661" spans="1:4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</row>
    <row r="662" spans="1:41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</row>
    <row r="663" spans="1:41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</row>
    <row r="664" spans="1:41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</row>
    <row r="665" spans="1:41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</row>
    <row r="666" spans="1:41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</row>
    <row r="667" spans="1:41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</row>
    <row r="668" spans="1:41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</row>
    <row r="669" spans="1:41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</row>
    <row r="670" spans="1:41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</row>
    <row r="671" spans="1:4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</row>
    <row r="672" spans="1:41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</row>
    <row r="673" spans="1:41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</row>
    <row r="674" spans="1:41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</row>
    <row r="675" spans="1:41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</row>
    <row r="676" spans="1:41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</row>
    <row r="677" spans="1:41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</row>
    <row r="678" spans="1:41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</row>
    <row r="679" spans="1:41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</row>
    <row r="680" spans="1:41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</row>
    <row r="681" spans="1:4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</row>
    <row r="682" spans="1:41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</row>
    <row r="683" spans="1:41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</row>
    <row r="684" spans="1:41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</row>
    <row r="685" spans="1:41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</row>
    <row r="686" spans="1:41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</row>
    <row r="687" spans="1:41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</row>
    <row r="688" spans="1:41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</row>
    <row r="689" spans="1:41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</row>
    <row r="690" spans="1:41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</row>
    <row r="691" spans="1:4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</row>
    <row r="692" spans="1:41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</row>
    <row r="693" spans="1:41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</row>
    <row r="694" spans="1:41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</row>
    <row r="695" spans="1:41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</row>
    <row r="696" spans="1:41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</row>
    <row r="697" spans="1:41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</row>
    <row r="698" spans="1:41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</row>
    <row r="699" spans="1:41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</row>
    <row r="700" spans="1:41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</row>
    <row r="701" spans="1:4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</row>
    <row r="702" spans="1:41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</row>
    <row r="703" spans="1:41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</row>
    <row r="704" spans="1:41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</row>
    <row r="705" spans="1:41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</row>
    <row r="706" spans="1:41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</row>
    <row r="707" spans="1:41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</row>
    <row r="708" spans="1:41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</row>
    <row r="709" spans="1:41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</row>
    <row r="710" spans="1:41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</row>
    <row r="711" spans="1:4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</row>
    <row r="712" spans="1:41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</row>
    <row r="713" spans="1:41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</row>
    <row r="714" spans="1:41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</row>
    <row r="715" spans="1:41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</row>
    <row r="716" spans="1:41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</row>
    <row r="717" spans="1:41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</row>
    <row r="718" spans="1:41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</row>
    <row r="719" spans="1:41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</row>
    <row r="720" spans="1:41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</row>
    <row r="721" spans="1:4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</row>
    <row r="722" spans="1:41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</row>
    <row r="723" spans="1:41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</row>
    <row r="724" spans="1:41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</row>
    <row r="725" spans="1:41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</row>
    <row r="726" spans="1:41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</row>
    <row r="727" spans="1:41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</row>
    <row r="728" spans="1:41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</row>
    <row r="729" spans="1:41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</row>
    <row r="730" spans="1:41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</row>
    <row r="731" spans="1:4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</row>
    <row r="732" spans="1:41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</row>
    <row r="733" spans="1:41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</row>
    <row r="734" spans="1:41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</row>
    <row r="735" spans="1:41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</row>
    <row r="736" spans="1:41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</row>
    <row r="737" spans="1:41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</row>
    <row r="738" spans="1:41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</row>
    <row r="739" spans="1:41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</row>
    <row r="740" spans="1:41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</row>
    <row r="741" spans="1: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</row>
    <row r="742" spans="1:41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</row>
    <row r="743" spans="1:41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</row>
    <row r="744" spans="1:41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</row>
    <row r="745" spans="1:41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</row>
    <row r="746" spans="1:41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</row>
    <row r="747" spans="1:41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</row>
    <row r="748" spans="1:41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</row>
    <row r="749" spans="1:41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</row>
    <row r="750" spans="1:41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</row>
    <row r="751" spans="1:4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</row>
    <row r="752" spans="1:41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</row>
    <row r="753" spans="1:41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</row>
    <row r="754" spans="1:41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</row>
    <row r="755" spans="1:41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</row>
    <row r="756" spans="1:41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</row>
    <row r="757" spans="1:41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</row>
    <row r="758" spans="1:41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</row>
    <row r="759" spans="1:41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</row>
    <row r="760" spans="1:41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</row>
    <row r="761" spans="1:4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</row>
    <row r="762" spans="1:41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</row>
    <row r="763" spans="1:41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</row>
    <row r="764" spans="1:41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</row>
    <row r="765" spans="1:41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</row>
    <row r="766" spans="1:41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</row>
    <row r="767" spans="1:41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</row>
    <row r="768" spans="1:41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</row>
    <row r="769" spans="1:41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</row>
    <row r="770" spans="1:41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</row>
    <row r="771" spans="1:4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</row>
    <row r="772" spans="1:41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</row>
    <row r="773" spans="1:41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</row>
    <row r="774" spans="1:41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</row>
    <row r="775" spans="1:41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</row>
    <row r="776" spans="1:41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</row>
    <row r="777" spans="1:41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</row>
    <row r="778" spans="1:41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</row>
    <row r="779" spans="1:41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</row>
    <row r="780" spans="1:41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</row>
    <row r="781" spans="1:4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</row>
    <row r="782" spans="1:41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</row>
    <row r="783" spans="1:41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</row>
    <row r="784" spans="1:41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</row>
    <row r="785" spans="1:41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</row>
    <row r="786" spans="1:41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</row>
    <row r="787" spans="1:41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</row>
    <row r="788" spans="1:41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</row>
    <row r="789" spans="1:41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</row>
    <row r="790" spans="1:41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</row>
    <row r="791" spans="1:4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</row>
    <row r="792" spans="1:41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</row>
    <row r="793" spans="1:41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</row>
    <row r="794" spans="1:41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</row>
    <row r="795" spans="1:41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</row>
    <row r="796" spans="1:41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</row>
    <row r="797" spans="1:41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</row>
    <row r="798" spans="1:41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</row>
    <row r="799" spans="1:41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</row>
    <row r="800" spans="1:41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</row>
    <row r="801" spans="1:4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</row>
    <row r="802" spans="1:41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</row>
    <row r="803" spans="1:41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</row>
    <row r="804" spans="1:41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</row>
    <row r="805" spans="1:41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</row>
    <row r="806" spans="1:41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</row>
    <row r="807" spans="1:41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</row>
    <row r="808" spans="1:41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</row>
    <row r="809" spans="1:41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</row>
    <row r="810" spans="1:41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</row>
    <row r="811" spans="1:4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</row>
    <row r="812" spans="1:41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</row>
    <row r="813" spans="1:41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</row>
    <row r="814" spans="1:41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</row>
    <row r="815" spans="1:41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</row>
    <row r="816" spans="1:41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</row>
    <row r="817" spans="1:41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</row>
    <row r="818" spans="1:41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</row>
    <row r="819" spans="1:41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</row>
    <row r="820" spans="1:41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</row>
    <row r="821" spans="1:4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</row>
    <row r="822" spans="1:41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</row>
    <row r="823" spans="1:41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</row>
    <row r="824" spans="1:41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</row>
    <row r="825" spans="1:41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</row>
    <row r="826" spans="1:41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</row>
    <row r="827" spans="1:41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</row>
    <row r="828" spans="1:41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</row>
    <row r="829" spans="1:41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</row>
    <row r="830" spans="1:41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</row>
    <row r="831" spans="1:4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</row>
    <row r="832" spans="1:41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</row>
    <row r="833" spans="1:41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</row>
    <row r="834" spans="1:41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</row>
    <row r="835" spans="1:41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</row>
    <row r="836" spans="1:41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</row>
    <row r="837" spans="1:41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</row>
    <row r="838" spans="1:41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</row>
    <row r="839" spans="1:41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</row>
    <row r="840" spans="1:41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</row>
    <row r="841" spans="1: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</row>
    <row r="842" spans="1:41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</row>
    <row r="843" spans="1:41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</row>
    <row r="844" spans="1:41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</row>
    <row r="845" spans="1:41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</row>
    <row r="846" spans="1:41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</row>
    <row r="847" spans="1:41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</row>
    <row r="848" spans="1:41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</row>
    <row r="849" spans="1:41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</row>
    <row r="850" spans="1:41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</row>
    <row r="851" spans="1:4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</row>
    <row r="852" spans="1:41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</row>
    <row r="853" spans="1:41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</row>
    <row r="854" spans="1:41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</row>
    <row r="855" spans="1:41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</row>
    <row r="856" spans="1:41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</row>
    <row r="857" spans="1:41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</row>
    <row r="858" spans="1:41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</row>
    <row r="859" spans="1:41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</row>
    <row r="860" spans="1:41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</row>
    <row r="861" spans="1:4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</row>
    <row r="862" spans="1:41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</row>
    <row r="863" spans="1:41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</row>
    <row r="864" spans="1:41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</row>
    <row r="865" spans="1:41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</row>
    <row r="866" spans="1:41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</row>
    <row r="867" spans="1:41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</row>
    <row r="868" spans="1:41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</row>
    <row r="869" spans="1:41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</row>
    <row r="870" spans="1:41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</row>
    <row r="871" spans="1:4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</row>
    <row r="872" spans="1:41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</row>
    <row r="873" spans="1:41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</row>
    <row r="874" spans="1:41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</row>
    <row r="875" spans="1:41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</row>
    <row r="876" spans="1:41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</row>
    <row r="877" spans="1:41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</row>
    <row r="878" spans="1:41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</row>
    <row r="879" spans="1:41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</row>
    <row r="880" spans="1:41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</row>
    <row r="881" spans="1:4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</row>
    <row r="882" spans="1:41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</row>
    <row r="883" spans="1:41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</row>
    <row r="884" spans="1:41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</row>
    <row r="885" spans="1:41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</row>
    <row r="886" spans="1:41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</row>
    <row r="887" spans="1:41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</row>
    <row r="888" spans="1:41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</row>
    <row r="889" spans="1:41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</row>
    <row r="890" spans="1:41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</row>
    <row r="891" spans="1:4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</row>
    <row r="892" spans="1:41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</row>
    <row r="893" spans="1:41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</row>
    <row r="894" spans="1:41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</row>
    <row r="895" spans="1:41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</row>
    <row r="896" spans="1:41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</row>
    <row r="897" spans="1:41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</row>
    <row r="898" spans="1:41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</row>
    <row r="899" spans="1:41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</row>
    <row r="900" spans="1:41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</row>
    <row r="901" spans="1:4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</row>
    <row r="902" spans="1:41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</row>
    <row r="903" spans="1:41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</row>
    <row r="904" spans="1:41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</row>
    <row r="905" spans="1:41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</row>
    <row r="906" spans="1:41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</row>
    <row r="907" spans="1:41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</row>
    <row r="908" spans="1:41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</row>
    <row r="909" spans="1:41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</row>
    <row r="910" spans="1:41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</row>
    <row r="911" spans="1:4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</row>
    <row r="912" spans="1:41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</row>
    <row r="913" spans="1:41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</row>
    <row r="914" spans="1:41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</row>
    <row r="915" spans="1:41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</row>
    <row r="916" spans="1:41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</row>
    <row r="917" spans="1:41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</row>
    <row r="918" spans="1:41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</row>
    <row r="919" spans="1:41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</row>
    <row r="920" spans="1:41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</row>
    <row r="921" spans="1:4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</row>
    <row r="922" spans="1:41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</row>
    <row r="923" spans="1:41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</row>
    <row r="924" spans="1:41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</row>
    <row r="925" spans="1:41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</row>
    <row r="926" spans="1:41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</row>
    <row r="927" spans="1:41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</row>
    <row r="928" spans="1:41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</row>
    <row r="929" spans="1:41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</row>
    <row r="930" spans="1:41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</row>
    <row r="931" spans="1:4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</row>
    <row r="932" spans="1:41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</row>
    <row r="933" spans="1:41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</row>
    <row r="934" spans="1:41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</row>
    <row r="935" spans="1:41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</row>
    <row r="936" spans="1:41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</row>
    <row r="937" spans="1:41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</row>
    <row r="938" spans="1:41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</row>
    <row r="939" spans="1:41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</row>
    <row r="940" spans="1:41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</row>
    <row r="941" spans="1: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</row>
    <row r="942" spans="1:41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</row>
    <row r="943" spans="1:41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</row>
    <row r="944" spans="1:41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</row>
    <row r="945" spans="1:41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</row>
    <row r="946" spans="1:41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</row>
    <row r="947" spans="1:41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</row>
    <row r="948" spans="1:41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</row>
    <row r="949" spans="1:41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</row>
    <row r="950" spans="1:41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</row>
    <row r="951" spans="1:4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</row>
    <row r="952" spans="1:41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</row>
    <row r="953" spans="1:41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</row>
    <row r="954" spans="1:41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</row>
    <row r="955" spans="1:41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</row>
    <row r="956" spans="1:41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</row>
    <row r="957" spans="1:41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</row>
    <row r="958" spans="1:41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</row>
    <row r="959" spans="1:41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</row>
    <row r="960" spans="1:41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</row>
    <row r="961" spans="1:4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</row>
    <row r="962" spans="1:41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</row>
    <row r="963" spans="1:41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</row>
    <row r="964" spans="1:41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</row>
    <row r="965" spans="1:41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</row>
    <row r="966" spans="1:41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</row>
    <row r="967" spans="1:41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</row>
    <row r="968" spans="1:41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</row>
    <row r="969" spans="1:41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</row>
    <row r="970" spans="1:41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</row>
    <row r="971" spans="1:4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</row>
    <row r="972" spans="1:41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</row>
    <row r="973" spans="1:41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</row>
    <row r="974" spans="1:41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</row>
    <row r="975" spans="1:41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</row>
    <row r="976" spans="1:41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</row>
    <row r="977" spans="1:41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</row>
    <row r="978" spans="1:41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</row>
    <row r="979" spans="1:41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</row>
    <row r="980" spans="1:41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</row>
    <row r="981" spans="1:4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</row>
    <row r="982" spans="1:41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</row>
    <row r="983" spans="1:41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</row>
    <row r="984" spans="1:41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</row>
    <row r="985" spans="1:41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</row>
    <row r="986" spans="1:41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</row>
    <row r="987" spans="1:41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</row>
    <row r="988" spans="1:41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</row>
    <row r="989" spans="1:41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</row>
    <row r="990" spans="1:41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</row>
    <row r="991" spans="1:4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</row>
    <row r="992" spans="1:41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</row>
    <row r="993" spans="1:41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</row>
    <row r="994" spans="1:41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</row>
    <row r="995" spans="1:41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</row>
    <row r="996" spans="1:41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</row>
    <row r="997" spans="1:41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</row>
    <row r="998" spans="1:41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</row>
    <row r="999" spans="1:41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</row>
    <row r="1000" spans="1:41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</row>
    <row r="1001" spans="1:41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</row>
    <row r="1002" spans="1:41" ht="15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</row>
    <row r="1003" spans="1:41" ht="15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</row>
    <row r="1004" spans="1:41" ht="15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</row>
    <row r="1005" spans="1:41" ht="15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</row>
    <row r="1006" spans="1:41" ht="15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</row>
    <row r="1007" spans="1:41" ht="15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</row>
    <row r="1008" spans="1:41" ht="15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</row>
    <row r="1009" spans="1:41" ht="15.7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</row>
    <row r="1010" spans="1:41" ht="15.7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</row>
    <row r="1011" spans="1:41" ht="15.7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</row>
    <row r="1012" spans="1:41" ht="15.7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</row>
    <row r="1013" spans="1:41" ht="15.7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</row>
    <row r="1014" spans="1:41" ht="15.75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</row>
    <row r="1015" spans="1:41" ht="15.75" customHeight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</row>
    <row r="1016" spans="1:41" ht="15.75" customHeight="1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</row>
    <row r="1017" spans="1:41" ht="15.75" customHeight="1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</row>
    <row r="1018" spans="1:41" ht="15.75" customHeight="1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</row>
    <row r="1019" spans="1:41" ht="15.75" customHeight="1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</row>
    <row r="1020" spans="1:41" ht="15.75" customHeight="1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</row>
    <row r="1021" spans="1:41" ht="15.75" customHeight="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</row>
    <row r="1022" spans="1:41" ht="15.75" customHeight="1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</row>
    <row r="1023" spans="1:41" ht="15.75" customHeight="1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</row>
    <row r="1024" spans="1:41" ht="15.75" customHeight="1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</row>
    <row r="1025" spans="1:41" ht="15.75" customHeight="1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</row>
    <row r="1026" spans="1:41" ht="15.75" customHeight="1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</row>
  </sheetData>
  <hyperlinks>
    <hyperlink ref="E42" r:id="rId1" xr:uid="{00000000-0004-0000-0300-000000000000}"/>
  </hyperlinks>
  <pageMargins left="0.7" right="0.7" top="0.75" bottom="0.75" header="0" footer="0"/>
  <pageSetup orientation="landscape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36</vt:i4>
      </vt:variant>
    </vt:vector>
  </HeadingPairs>
  <TitlesOfParts>
    <vt:vector size="40" baseType="lpstr">
      <vt:lpstr>Ship Estimator</vt:lpstr>
      <vt:lpstr>Fleet Value</vt:lpstr>
      <vt:lpstr>Price Models</vt:lpstr>
      <vt:lpstr>LookupTables</vt:lpstr>
      <vt:lpstr>Cf_multiplier</vt:lpstr>
      <vt:lpstr>CO2eCalc</vt:lpstr>
      <vt:lpstr>EU_CO2eLookup</vt:lpstr>
      <vt:lpstr>EU2EUpct</vt:lpstr>
      <vt:lpstr>EU2worldpct</vt:lpstr>
      <vt:lpstr>EUA_24</vt:lpstr>
      <vt:lpstr>EUA_25</vt:lpstr>
      <vt:lpstr>EUA_26</vt:lpstr>
      <vt:lpstr>EUA_27</vt:lpstr>
      <vt:lpstr>EUAfuture25</vt:lpstr>
      <vt:lpstr>EUAfuture26</vt:lpstr>
      <vt:lpstr>EUAfuture27</vt:lpstr>
      <vt:lpstr>EUAprice</vt:lpstr>
      <vt:lpstr>EUCO2_sum</vt:lpstr>
      <vt:lpstr>EUCO2eTotal</vt:lpstr>
      <vt:lpstr>FT_CO2eLOWER</vt:lpstr>
      <vt:lpstr>FT_CO2reduction</vt:lpstr>
      <vt:lpstr>FT_EU2EU_CO2e_X2025LookUpAC</vt:lpstr>
      <vt:lpstr>FT_EU2EU_CO2xLookUpTable</vt:lpstr>
      <vt:lpstr>FT_EU2World_CO2_xLookUpTable</vt:lpstr>
      <vt:lpstr>FT_EU2World_CO2e_X2025LookUpAD</vt:lpstr>
      <vt:lpstr>FT_FraudReductionConservative</vt:lpstr>
      <vt:lpstr>FT_ScrubReduction</vt:lpstr>
      <vt:lpstr>FuelType</vt:lpstr>
      <vt:lpstr>NonEU_voyagePCT</vt:lpstr>
      <vt:lpstr>PortCarbonAnn</vt:lpstr>
      <vt:lpstr>PortDayMT</vt:lpstr>
      <vt:lpstr>PortDayNM</vt:lpstr>
      <vt:lpstr>ROWvoyagePCT</vt:lpstr>
      <vt:lpstr>ScrubberEffect</vt:lpstr>
      <vt:lpstr>SeaCarbonAnn</vt:lpstr>
      <vt:lpstr>SeaDayMT</vt:lpstr>
      <vt:lpstr>SeaDayNM</vt:lpstr>
      <vt:lpstr>SeaFuelType</vt:lpstr>
      <vt:lpstr>SeaNM</vt:lpstr>
      <vt:lpstr>ShipTypes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jacob.knol@data-net.io</cp:lastModifiedBy>
  <dcterms:modified xsi:type="dcterms:W3CDTF">2025-05-21T15:39:02Z</dcterms:modified>
</cp:coreProperties>
</file>