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anic Dataset" sheetId="1" r:id="rId4"/>
    <sheet state="visible" name="LIST OF FUNCTIONS" sheetId="2" r:id="rId5"/>
    <sheet state="visible" name="Note" sheetId="3" r:id="rId6"/>
    <sheet state="visible" name="IS FUNCTIONS" sheetId="4" r:id="rId7"/>
    <sheet state="visible" name="CONDITIONAL" sheetId="5" r:id="rId8"/>
    <sheet state="visible" name="MATHEMATICAL" sheetId="6" r:id="rId9"/>
    <sheet state="visible" name="FIND &amp; SEARCH" sheetId="7" r:id="rId10"/>
    <sheet state="visible" name="LOOKUP" sheetId="8" r:id="rId11"/>
    <sheet state="visible" name="REFERENCE" sheetId="9" r:id="rId12"/>
    <sheet state="visible" name="DATE &amp; TIME" sheetId="10" r:id="rId13"/>
    <sheet state="visible" name="MISC." sheetId="11" r:id="rId14"/>
    <sheet state="visible" name="RANK" sheetId="12" r:id="rId15"/>
    <sheet state="visible" name="LOGICAL" sheetId="13" r:id="rId16"/>
  </sheets>
  <definedNames>
    <definedName name="Sales_Data">REFERENCE!$C$92</definedName>
  </definedNames>
  <calcPr/>
  <extLst>
    <ext uri="GoogleSheetsCustomDataVersion2">
      <go:sheetsCustomData xmlns:go="http://customooxmlschemas.google.com/" r:id="rId17" roundtripDataChecksum="mtx/rx1TwJyVXsjJ8eJHf5HHxUylrSV98gPxWpmDVnE="/>
    </ext>
  </extLst>
</workbook>
</file>

<file path=xl/sharedStrings.xml><?xml version="1.0" encoding="utf-8"?>
<sst xmlns="http://schemas.openxmlformats.org/spreadsheetml/2006/main" count="4597" uniqueCount="2050">
  <si>
    <t>PassengerId</t>
  </si>
  <si>
    <t>Survived</t>
  </si>
  <si>
    <t>Pclass</t>
  </si>
  <si>
    <t>Name</t>
  </si>
  <si>
    <t>Sex</t>
  </si>
  <si>
    <t>Age</t>
  </si>
  <si>
    <t>SibSp</t>
  </si>
  <si>
    <t>Parch</t>
  </si>
  <si>
    <t>Ticket</t>
  </si>
  <si>
    <t>Fare</t>
  </si>
  <si>
    <t>Cabin</t>
  </si>
  <si>
    <t>Embarked</t>
  </si>
  <si>
    <t>Type of Errors</t>
  </si>
  <si>
    <t>Allen, Miss. Elisabeth Walton</t>
  </si>
  <si>
    <t>female</t>
  </si>
  <si>
    <t>B5</t>
  </si>
  <si>
    <t>S</t>
  </si>
  <si>
    <t>Allison, Master. Hudson Trevor</t>
  </si>
  <si>
    <t>male</t>
  </si>
  <si>
    <t>C22 C26</t>
  </si>
  <si>
    <t>Allison, Miss. Helen Loraine</t>
  </si>
  <si>
    <t>Allison, Mrs. Hudson J C (Bessie Waldo Daniels)</t>
  </si>
  <si>
    <t>Anderson, Mr. Harry</t>
  </si>
  <si>
    <t>E12</t>
  </si>
  <si>
    <t>Andrews, Miss. Kornelia Theodosia</t>
  </si>
  <si>
    <t>D7</t>
  </si>
  <si>
    <t>Andrews, Mr. Thomas Jr</t>
  </si>
  <si>
    <t>A36</t>
  </si>
  <si>
    <t>Appleton, Mrs. Edward Dale (Charlotte Lamson)</t>
  </si>
  <si>
    <t>C101</t>
  </si>
  <si>
    <t>Artagaveytia, Mr. Ramon</t>
  </si>
  <si>
    <t>PC 17609</t>
  </si>
  <si>
    <t>C</t>
  </si>
  <si>
    <t>Astor, Mrs. John Jacob (Madeleine Talmadge Force)</t>
  </si>
  <si>
    <t>PC 17757</t>
  </si>
  <si>
    <t>C62 C64</t>
  </si>
  <si>
    <t>Aubart, Mme. Leontine Pauline</t>
  </si>
  <si>
    <t>PC 17477</t>
  </si>
  <si>
    <t>B35</t>
  </si>
  <si>
    <t>Barber, Miss. Ellen "Nellie"</t>
  </si>
  <si>
    <t>Barkworth, Mr. Algernon Henry Wilson</t>
  </si>
  <si>
    <t>A23</t>
  </si>
  <si>
    <t>Baumann, Mr. John D</t>
  </si>
  <si>
    <t>PC 17318</t>
  </si>
  <si>
    <t>Baxter, Mr. Quigg Edmond</t>
  </si>
  <si>
    <t>PC 17558</t>
  </si>
  <si>
    <t>B58 B60</t>
  </si>
  <si>
    <t>Baxter, Mrs. James (Helene DeLaudeniere Chaput)</t>
  </si>
  <si>
    <t>Bazzani, Miss. Albina</t>
  </si>
  <si>
    <t>D15</t>
  </si>
  <si>
    <t>Beckwith, Mr. Richard Leonard</t>
  </si>
  <si>
    <t>D35</t>
  </si>
  <si>
    <t>Beckwith, Mrs. Richard Leonard (Sallie Monypeny)</t>
  </si>
  <si>
    <t>Behr, Mr. Karl Howell</t>
  </si>
  <si>
    <t>C148</t>
  </si>
  <si>
    <t>Bidois, Miss. Rosalie</t>
  </si>
  <si>
    <t>Bishop, Mr. Dickinson H</t>
  </si>
  <si>
    <t>B49</t>
  </si>
  <si>
    <t>Bishop, Mrs. Dickinson H (Helen Walton)</t>
  </si>
  <si>
    <t>Bissette, Miss. Amelia</t>
  </si>
  <si>
    <t>PC 17760</t>
  </si>
  <si>
    <t>C99</t>
  </si>
  <si>
    <t>Bjornstrom-Steffansson, Mr. Mauritz Hakan</t>
  </si>
  <si>
    <t>C52</t>
  </si>
  <si>
    <t>Blackwell, Mr. Stephen Weart</t>
  </si>
  <si>
    <t>T</t>
  </si>
  <si>
    <t>Blank, Mr. Henry</t>
  </si>
  <si>
    <t>A31</t>
  </si>
  <si>
    <t>Bonnell, Miss. Elizabeth</t>
  </si>
  <si>
    <t>C103</t>
  </si>
  <si>
    <t>Bowerman, Miss. Elsie Edith</t>
  </si>
  <si>
    <t>E33</t>
  </si>
  <si>
    <t>Bradley, Mr. George ("George Arthur Brayton")</t>
  </si>
  <si>
    <t>Brewe, Dr. Arthur Jackson</t>
  </si>
  <si>
    <t>Brown, Mrs. James Joseph (Margaret Tobin)</t>
  </si>
  <si>
    <t>PC 17610</t>
  </si>
  <si>
    <t>B4</t>
  </si>
  <si>
    <t>Burns, Miss. Elizabeth Margaret</t>
  </si>
  <si>
    <t>E40</t>
  </si>
  <si>
    <t>Butt, Major. Archibald Willingham</t>
  </si>
  <si>
    <t>B38</t>
  </si>
  <si>
    <t>Cairns, Mr. Alexander</t>
  </si>
  <si>
    <t>Calderhead, Mr. Edward Pennington</t>
  </si>
  <si>
    <t>PC 17476</t>
  </si>
  <si>
    <t>E24</t>
  </si>
  <si>
    <t>Cardeza, Mr. Thomas Drake Martinez</t>
  </si>
  <si>
    <t>PC 17755</t>
  </si>
  <si>
    <t>B51 B53 B55</t>
  </si>
  <si>
    <t>Carlsson, Mr. Frans Olof</t>
  </si>
  <si>
    <t>Carrau, Mr. Francisco M</t>
  </si>
  <si>
    <t>Carter, Master. William Thornton II</t>
  </si>
  <si>
    <t>B96 B98</t>
  </si>
  <si>
    <t>Carter, Miss. Lucile Polk</t>
  </si>
  <si>
    <t>Carter, Mr. William Ernest</t>
  </si>
  <si>
    <t>Carter, Mrs. William Ernest (Lucile Polk)</t>
  </si>
  <si>
    <t>Cavendish, Mr. Tyrell William</t>
  </si>
  <si>
    <t>C46</t>
  </si>
  <si>
    <t>Chaffee, Mr. Herbert Fuller</t>
  </si>
  <si>
    <t>W.E.P. 5734</t>
  </si>
  <si>
    <t>E31</t>
  </si>
  <si>
    <t>Chambers, Mr. Norman Campbell</t>
  </si>
  <si>
    <t>E8</t>
  </si>
  <si>
    <t>Chambers, Mrs. Norman Campbell (Bertha Griggs)</t>
  </si>
  <si>
    <t>Cherry, Miss. Gladys</t>
  </si>
  <si>
    <t>B77</t>
  </si>
  <si>
    <t>Chibnall, Mrs. (Edith Martha Bowerman)</t>
  </si>
  <si>
    <t>Cleaver, Miss. Alice</t>
  </si>
  <si>
    <t>Clifford, Mr. George Quincy</t>
  </si>
  <si>
    <t>A14</t>
  </si>
  <si>
    <t>Colley, Mr. Edward Pomeroy</t>
  </si>
  <si>
    <t>E58</t>
  </si>
  <si>
    <t>Compton, Miss. Sara Rebecca</t>
  </si>
  <si>
    <t>PC 17756</t>
  </si>
  <si>
    <t>E49</t>
  </si>
  <si>
    <t>Crosby, Capt. Edward Gifford</t>
  </si>
  <si>
    <t>WE/P 5735</t>
  </si>
  <si>
    <t>B22</t>
  </si>
  <si>
    <t>Crosby, Miss. Harriet R</t>
  </si>
  <si>
    <t>Cumings, Mrs. John Bradley (Florence Briggs Thayer)</t>
  </si>
  <si>
    <t>PC 17599</t>
  </si>
  <si>
    <t>C85</t>
  </si>
  <si>
    <t xml:space="preserve">Daly, Mr. Peter Denis </t>
  </si>
  <si>
    <t>E17</t>
  </si>
  <si>
    <t>Daniel, Mr. Robert Williams</t>
  </si>
  <si>
    <t>Davidson, Mr. Thornton</t>
  </si>
  <si>
    <t>F.C. 12750</t>
  </si>
  <si>
    <t>B71</t>
  </si>
  <si>
    <t>Dick, Mr. Albert Adrian</t>
  </si>
  <si>
    <t>B20</t>
  </si>
  <si>
    <t>Dick, Mrs. Albert Adrian (Vera Gillespie)</t>
  </si>
  <si>
    <t>Dodge, Master. Washington</t>
  </si>
  <si>
    <t>A34</t>
  </si>
  <si>
    <t>Douglas, Mr. Walter Donald</t>
  </si>
  <si>
    <t>PC 17761</t>
  </si>
  <si>
    <t>C86</t>
  </si>
  <si>
    <t>Duff Gordon, Lady. (Lucille Christiana Sutherland) ("Mrs Morgan")</t>
  </si>
  <si>
    <t>A16</t>
  </si>
  <si>
    <t>Duff Gordon, Sir. Cosmo Edmund ("Mr Morgan")</t>
  </si>
  <si>
    <t>PC 17485</t>
  </si>
  <si>
    <t>A20</t>
  </si>
  <si>
    <t>Endres, Miss. Caroline Louise</t>
  </si>
  <si>
    <t>C45</t>
  </si>
  <si>
    <t>Eustis, Miss. Elizabeth Mussey</t>
  </si>
  <si>
    <t>D20</t>
  </si>
  <si>
    <t>Farthing, Mr. John</t>
  </si>
  <si>
    <t>PC 17483</t>
  </si>
  <si>
    <t>C95</t>
  </si>
  <si>
    <t>Fleming, Miss. Margaret</t>
  </si>
  <si>
    <t>Flynn, Mr. John Irwin ("Irving")</t>
  </si>
  <si>
    <t>PC 17474</t>
  </si>
  <si>
    <t>E25</t>
  </si>
  <si>
    <t>Foreman, Mr. Benjamin Laventall</t>
  </si>
  <si>
    <t>C111</t>
  </si>
  <si>
    <t>Fortune, Miss. Alice Elizabeth</t>
  </si>
  <si>
    <t>C23 C25 C27</t>
  </si>
  <si>
    <t>Fortune, Miss. Mabel Helen</t>
  </si>
  <si>
    <t>Fortune, Mr. Charles Alexander</t>
  </si>
  <si>
    <t>Fortune, Mr. Mark</t>
  </si>
  <si>
    <t>Francatelli, Miss. Laura Mabel</t>
  </si>
  <si>
    <t>E36</t>
  </si>
  <si>
    <t>Frauenthal, Dr. Henry William</t>
  </si>
  <si>
    <t>PC 17611</t>
  </si>
  <si>
    <t>Frauenthal, Mrs. Henry William (Clara Heinsheimer)</t>
  </si>
  <si>
    <t>Frolicher, Miss. Hedwig Margaritha</t>
  </si>
  <si>
    <t>B39</t>
  </si>
  <si>
    <t>Frolicher-Stehli, Mr. Maxmillian</t>
  </si>
  <si>
    <t>B41</t>
  </si>
  <si>
    <t>Fry, Mr. Richard</t>
  </si>
  <si>
    <t>B102</t>
  </si>
  <si>
    <t>Futrelle, Mr. Jacques Heath</t>
  </si>
  <si>
    <t>C123</t>
  </si>
  <si>
    <t>Futrelle, Mrs. Jacques Heath (Lily May Peel)</t>
  </si>
  <si>
    <t>Gee, Mr. Arthur H</t>
  </si>
  <si>
    <t>E63</t>
  </si>
  <si>
    <t>Giglio, Mr. Victor</t>
  </si>
  <si>
    <t>PC 17593</t>
  </si>
  <si>
    <t>B86</t>
  </si>
  <si>
    <t>Goldenberg, Mr. Samuel L</t>
  </si>
  <si>
    <t>C92</t>
  </si>
  <si>
    <t>Goldenberg, Mrs. Samuel L (Edwiga Grabowska)</t>
  </si>
  <si>
    <t>Goldschmidt, Mr. George B</t>
  </si>
  <si>
    <t>PC 17754</t>
  </si>
  <si>
    <t>A5</t>
  </si>
  <si>
    <t>Graham, Miss. Margaret Edith</t>
  </si>
  <si>
    <t>B42</t>
  </si>
  <si>
    <t>Graham, Mr. George Edward</t>
  </si>
  <si>
    <t>PC 17582</t>
  </si>
  <si>
    <t>C91</t>
  </si>
  <si>
    <t>Graham, Mrs. William Thompson (Edith Junkins)</t>
  </si>
  <si>
    <t>C125</t>
  </si>
  <si>
    <t>Greenfield, Mr. William Bertram</t>
  </si>
  <si>
    <t>PC 17759</t>
  </si>
  <si>
    <t>D10 D12</t>
  </si>
  <si>
    <t>Guggenheim, Mr. Benjamin</t>
  </si>
  <si>
    <t>B82 B84</t>
  </si>
  <si>
    <t>Harder, Mr. George Achilles</t>
  </si>
  <si>
    <t>E50</t>
  </si>
  <si>
    <t>Harper, Mr. Henry Sleeper</t>
  </si>
  <si>
    <t>PC 17572</t>
  </si>
  <si>
    <t>D33</t>
  </si>
  <si>
    <t>Harper, Mrs. Henry Sleeper (Myna Haxtun)</t>
  </si>
  <si>
    <t>Harrington, Mr. Charles H</t>
  </si>
  <si>
    <t>Harris, Mr. Henry Birkhardt</t>
  </si>
  <si>
    <t>C83</t>
  </si>
  <si>
    <t>Harris, Mrs. Henry Birkhardt (Irene Wallach)</t>
  </si>
  <si>
    <t>Harrison, Mr. William</t>
  </si>
  <si>
    <t>B94</t>
  </si>
  <si>
    <t>Hassab, Mr. Hammad</t>
  </si>
  <si>
    <t>D49</t>
  </si>
  <si>
    <t>Hawksford, Mr. Walter James</t>
  </si>
  <si>
    <t>D45</t>
  </si>
  <si>
    <t>Hays, Miss. Margaret Bechstein</t>
  </si>
  <si>
    <t>C54</t>
  </si>
  <si>
    <t>Hays, Mrs. Charles Melville (Clara Jennings Gregg)</t>
  </si>
  <si>
    <t>B69</t>
  </si>
  <si>
    <t>Hippach, Miss. Jean Gertrude</t>
  </si>
  <si>
    <t>B18</t>
  </si>
  <si>
    <t>Hippach, Mrs. Louis Albert (Ida Sophia Fischer)</t>
  </si>
  <si>
    <t>Hogeboom, Mrs. John C (Anna Andrews)</t>
  </si>
  <si>
    <t>D11</t>
  </si>
  <si>
    <t>Holverson, Mr. Alexander Oskar</t>
  </si>
  <si>
    <t>Holverson, Mrs. Alexander Oskar (Mary Aline Towner)</t>
  </si>
  <si>
    <t>Homer, Mr. Harry ("Mr E Haven")</t>
  </si>
  <si>
    <t>Hoyt, Mr. Frederick Maxfield</t>
  </si>
  <si>
    <t>C93</t>
  </si>
  <si>
    <t>Hoyt, Mr. William Fisher</t>
  </si>
  <si>
    <t>PC 17600</t>
  </si>
  <si>
    <t>Hoyt, Mrs. Frederick Maxfield (Jane Anne Forby)</t>
  </si>
  <si>
    <t>Icard, Miss. Amelie</t>
  </si>
  <si>
    <t>B28</t>
  </si>
  <si>
    <t>Isham, Miss. Ann Elizabeth</t>
  </si>
  <si>
    <t>PC 17595</t>
  </si>
  <si>
    <t>C49</t>
  </si>
  <si>
    <t>Kent, Mr. Edward Austin</t>
  </si>
  <si>
    <t>B37</t>
  </si>
  <si>
    <t>Kenyon, Mrs. Frederick R (Marion)</t>
  </si>
  <si>
    <t>D21</t>
  </si>
  <si>
    <t>Kimball, Mr. Edwin Nelson Jr</t>
  </si>
  <si>
    <t>D19</t>
  </si>
  <si>
    <t>Klaber, Mr. Herman</t>
  </si>
  <si>
    <t>C124</t>
  </si>
  <si>
    <t>Leader, Dr. Alice (Farnham)</t>
  </si>
  <si>
    <t>D17</t>
  </si>
  <si>
    <t>LeRoy, Miss. Bertha</t>
  </si>
  <si>
    <t>Lesurer, Mr. Gustave J</t>
  </si>
  <si>
    <t>B101</t>
  </si>
  <si>
    <t>Lewy, Mr. Ervin G</t>
  </si>
  <si>
    <t>PC 17612</t>
  </si>
  <si>
    <t>Lines, Miss. Mary Conover</t>
  </si>
  <si>
    <t>PC 17592</t>
  </si>
  <si>
    <t>D28</t>
  </si>
  <si>
    <t>Long, Mr. Milton Clyde</t>
  </si>
  <si>
    <t>D6</t>
  </si>
  <si>
    <t>Longley, Miss. Gretchen Fiske</t>
  </si>
  <si>
    <t>D9</t>
  </si>
  <si>
    <t>Lurette, Miss. Elise</t>
  </si>
  <si>
    <t>PC 17569</t>
  </si>
  <si>
    <t>B80</t>
  </si>
  <si>
    <t>Madill, Miss. Georgette Alexandra</t>
  </si>
  <si>
    <t>Maioni, Miss. Roberta</t>
  </si>
  <si>
    <t>B79</t>
  </si>
  <si>
    <t>Marechal, Mr. Pierre</t>
  </si>
  <si>
    <t>C47</t>
  </si>
  <si>
    <t>Marvin, Mr. Daniel Warner</t>
  </si>
  <si>
    <t>D30</t>
  </si>
  <si>
    <t>Mayne, Mlle. Berthe Antonine ("Mrs de Villiers")</t>
  </si>
  <si>
    <t>PC 17482</t>
  </si>
  <si>
    <t>C90</t>
  </si>
  <si>
    <t>McCarthy, Mr. Timothy J</t>
  </si>
  <si>
    <t>E46</t>
  </si>
  <si>
    <t>McGough, Mr. James Robert</t>
  </si>
  <si>
    <t>PC 17473</t>
  </si>
  <si>
    <t>Meyer, Mr. Edgar Joseph</t>
  </si>
  <si>
    <t>PC 17604</t>
  </si>
  <si>
    <t>Meyer, Mrs. Edgar Joseph (Leila Saks)</t>
  </si>
  <si>
    <t>Millet, Mr. Francis Davis</t>
  </si>
  <si>
    <t>E38</t>
  </si>
  <si>
    <t>Minahan, Dr. William Edward</t>
  </si>
  <si>
    <t>C78</t>
  </si>
  <si>
    <t>Q</t>
  </si>
  <si>
    <t>Minahan, Miss. Daisy E</t>
  </si>
  <si>
    <t>Molson, Mr. Harry Markland</t>
  </si>
  <si>
    <t>C30</t>
  </si>
  <si>
    <t>Natsch, Mr. Charles H</t>
  </si>
  <si>
    <t>PC 17596</t>
  </si>
  <si>
    <t>C118</t>
  </si>
  <si>
    <t>Newell, Miss. Madeleine</t>
  </si>
  <si>
    <t>D36</t>
  </si>
  <si>
    <t>Newell, Miss. Marjorie</t>
  </si>
  <si>
    <t>Newell, Mr. Arthur Webster</t>
  </si>
  <si>
    <t>D48</t>
  </si>
  <si>
    <t>Newsom, Miss. Helen Monypeny</t>
  </si>
  <si>
    <t>D47</t>
  </si>
  <si>
    <t>Nicholson, Mr. Arthur Ernest</t>
  </si>
  <si>
    <t>Ostby, Mr. Engelhart Cornelius</t>
  </si>
  <si>
    <t>B30</t>
  </si>
  <si>
    <t>Parr, Mr. William Henry Marsh</t>
  </si>
  <si>
    <t>Partner, Mr. Austen</t>
  </si>
  <si>
    <t>Pears, Mr. Thomas Clinton</t>
  </si>
  <si>
    <t>C2</t>
  </si>
  <si>
    <t>Pears, Mrs. Thomas (Edith Wearne)</t>
  </si>
  <si>
    <t>Penasco y Castellana, Mr. Victor de Satode</t>
  </si>
  <si>
    <t>PC 17758</t>
  </si>
  <si>
    <t>C65</t>
  </si>
  <si>
    <t>Penasco y Castellana, Mrs. Victor de Satode (Maria Josefa Perez de Soto y Vallejo)</t>
  </si>
  <si>
    <t>Perreault, Miss. Anne</t>
  </si>
  <si>
    <t>B73</t>
  </si>
  <si>
    <t>Peuchen, Major. Arthur Godfrey</t>
  </si>
  <si>
    <t>C104</t>
  </si>
  <si>
    <t>Porter, Mr. Walter Chamberlain</t>
  </si>
  <si>
    <t>C110</t>
  </si>
  <si>
    <t>Potter, Mrs. Thomas Jr (Lily Alexenia Wilson)</t>
  </si>
  <si>
    <t>C50</t>
  </si>
  <si>
    <t>Reuchlin, Jonkheer. John George</t>
  </si>
  <si>
    <t>Ringhini, Mr. Sante</t>
  </si>
  <si>
    <t>Robbins, Mr. Victor</t>
  </si>
  <si>
    <t>Robert, Mrs. Edward Scott (Elisabeth Walton McMillan)</t>
  </si>
  <si>
    <t>B3</t>
  </si>
  <si>
    <t>Roebling, Mr. Washington Augustus II</t>
  </si>
  <si>
    <t>PC 17590</t>
  </si>
  <si>
    <t>A24</t>
  </si>
  <si>
    <t>Romaine, Mr. Charles Hallace ("Mr C Rolmane")</t>
  </si>
  <si>
    <t>Rood, Mr. Hugh Roscoe</t>
  </si>
  <si>
    <t>A32</t>
  </si>
  <si>
    <t>Ross, Mr. John Hugo</t>
  </si>
  <si>
    <t>A10</t>
  </si>
  <si>
    <t>Rothes, the Countess. of (Lucy Noel Martha Dyer-Edwards)</t>
  </si>
  <si>
    <t>Rothschild, Mrs. Martin (Elizabeth L. Barrett)</t>
  </si>
  <si>
    <t>PC 17603</t>
  </si>
  <si>
    <t>Ryerson, Miss. Emily Borie</t>
  </si>
  <si>
    <t>PC 17608</t>
  </si>
  <si>
    <t>B57 B59 B63 B66</t>
  </si>
  <si>
    <t>Ryerson, Miss. Susan Parker "Suzette"</t>
  </si>
  <si>
    <t>Saalfeld, Mr. Adolphe</t>
  </si>
  <si>
    <t>C106</t>
  </si>
  <si>
    <t>Sagesser, Mlle. Emma</t>
  </si>
  <si>
    <t>Serepeca, Miss. Augusta</t>
  </si>
  <si>
    <t>Seward, Mr. Frederic Kimber</t>
  </si>
  <si>
    <t>Shutes, Miss. Elizabeth W</t>
  </si>
  <si>
    <t>Silverthorne, Mr. Spencer Victor</t>
  </si>
  <si>
    <t>PC 17475</t>
  </si>
  <si>
    <t>Silvey, Mr. William Baird</t>
  </si>
  <si>
    <t>E44</t>
  </si>
  <si>
    <t>Silvey, Mrs. William Baird (Alice Munger)</t>
  </si>
  <si>
    <t>Simonius-Blumer, Col. Oberst Alfons</t>
  </si>
  <si>
    <t>A26</t>
  </si>
  <si>
    <t>Sloper, Mr. William Thompson</t>
  </si>
  <si>
    <t>A6</t>
  </si>
  <si>
    <t>Smart, Mr. John Montgomery</t>
  </si>
  <si>
    <t>Smith, Mr. James Clinch</t>
  </si>
  <si>
    <t>A7</t>
  </si>
  <si>
    <t>Smith, Mr. Richard William</t>
  </si>
  <si>
    <t>A19</t>
  </si>
  <si>
    <t>Spedden, Mrs. Frederic Oakley (Margaretta Corning Stone)</t>
  </si>
  <si>
    <t>E34</t>
  </si>
  <si>
    <t>Spencer, Mrs. William Augustus (Marie Eugenie)</t>
  </si>
  <si>
    <t>B78</t>
  </si>
  <si>
    <t>Stahelin-Maeglin, Dr. Max</t>
  </si>
  <si>
    <t>B50</t>
  </si>
  <si>
    <t>Stead, Mr. William Thomas</t>
  </si>
  <si>
    <t>C87</t>
  </si>
  <si>
    <t>Stephenson, Mrs. Walter Bertram (Martha Eustis)</t>
  </si>
  <si>
    <t>Stewart, Mr. Albert A</t>
  </si>
  <si>
    <t>PC 17605</t>
  </si>
  <si>
    <t>Stone, Mrs. George Nelson (Martha Evelyn)</t>
  </si>
  <si>
    <t>Sutton, Mr. Frederick</t>
  </si>
  <si>
    <t>D50</t>
  </si>
  <si>
    <t>Swift, Mrs. Frederick Joel (Margaret Welles Barron)</t>
  </si>
  <si>
    <t>Taussig, Miss. Ruth</t>
  </si>
  <si>
    <t>E68</t>
  </si>
  <si>
    <t>Taussig, Mr. Emil</t>
  </si>
  <si>
    <t>E67</t>
  </si>
  <si>
    <t>Taussig, Mrs. Emil (Tillie Mandelbaum)</t>
  </si>
  <si>
    <t>Taylor, Mr. Elmer Zebley</t>
  </si>
  <si>
    <t>C126</t>
  </si>
  <si>
    <t>Taylor, Mrs. Elmer Zebley (Juliet Cummins Wright)</t>
  </si>
  <si>
    <t>Thayer, Mr. John Borland</t>
  </si>
  <si>
    <t>C68</t>
  </si>
  <si>
    <t>Thayer, Mr. John Borland Jr</t>
  </si>
  <si>
    <t>C70</t>
  </si>
  <si>
    <t>Thayer, Mrs. John Borland (Marian Longstreth Morris)</t>
  </si>
  <si>
    <t>Thorne, Mrs. Gertrude Maybelle</t>
  </si>
  <si>
    <t>PC 17585</t>
  </si>
  <si>
    <t>Uruchurtu, Don. Manuel E</t>
  </si>
  <si>
    <t>PC 17601</t>
  </si>
  <si>
    <t>Van der hoef, Mr. Wyckoff</t>
  </si>
  <si>
    <t>B19</t>
  </si>
  <si>
    <t>Walker, Mr. William Anderson</t>
  </si>
  <si>
    <t>D46</t>
  </si>
  <si>
    <t>Ward, Miss. Anna</t>
  </si>
  <si>
    <t>Warren, Mrs. Frank Manley (Anna Sophia Atkinson)</t>
  </si>
  <si>
    <t>D37</t>
  </si>
  <si>
    <t>Weir, Col. John</t>
  </si>
  <si>
    <t>White, Mr. Percival Wayland</t>
  </si>
  <si>
    <t>D26</t>
  </si>
  <si>
    <t>White, Mr. Richard Frasar</t>
  </si>
  <si>
    <t>Wick, Miss. Mary Natalie</t>
  </si>
  <si>
    <t>C7</t>
  </si>
  <si>
    <t>Wick, Mrs. George Dennick (Mary Hitchcock)</t>
  </si>
  <si>
    <t>Widener, Mr. Harry Elkins</t>
  </si>
  <si>
    <t>C82</t>
  </si>
  <si>
    <t>Williams, Mr. Charles Duane</t>
  </si>
  <si>
    <t>PC 17597</t>
  </si>
  <si>
    <t>Williams-Lambert, Mr. Fletcher Fellows</t>
  </si>
  <si>
    <t>C128</t>
  </si>
  <si>
    <t>Woolner, Mr. Hugh</t>
  </si>
  <si>
    <t>Wright, Mr. George</t>
  </si>
  <si>
    <t>Young, Miss. Marie Grice</t>
  </si>
  <si>
    <t>C32</t>
  </si>
  <si>
    <t>Abelson, Mr. Samuel</t>
  </si>
  <si>
    <t>P/PP 3381</t>
  </si>
  <si>
    <t>Abelson, Mrs. Samuel (Hannah Wizosky)</t>
  </si>
  <si>
    <t>Andrew, Mr. Edgardo Samuel</t>
  </si>
  <si>
    <t>Angle, Mrs. William A (Florence "Mary" Agnes Hughes)</t>
  </si>
  <si>
    <t>Bailey, Mr. Percy Andrew</t>
  </si>
  <si>
    <t>Ball, Mrs. (Ada E Hall)</t>
  </si>
  <si>
    <t>D</t>
  </si>
  <si>
    <t>Banfield, Mr. Frederick James</t>
  </si>
  <si>
    <t>C.A./SOTON 34068</t>
  </si>
  <si>
    <t>Bateman, Rev. Robert James</t>
  </si>
  <si>
    <t>S.O.P. 1166</t>
  </si>
  <si>
    <t>Beane, Mr. Edward</t>
  </si>
  <si>
    <t>Beane, Mrs. Edward (Ethel Clarke)</t>
  </si>
  <si>
    <t>Becker, Master. Richard F</t>
  </si>
  <si>
    <t>F4</t>
  </si>
  <si>
    <t>Becker, Miss. Marion Louise</t>
  </si>
  <si>
    <t>Beesley, Mr. Lawrence</t>
  </si>
  <si>
    <t>D56</t>
  </si>
  <si>
    <t>Berriman, Mr. William John</t>
  </si>
  <si>
    <t>Bracken, Mr. James H</t>
  </si>
  <si>
    <t>Brown, Miss. Amelia "Mildred"</t>
  </si>
  <si>
    <t>F33</t>
  </si>
  <si>
    <t>Brown, Mr. Thomas William Solomon</t>
  </si>
  <si>
    <t>Brown, Mrs. Thomas William Solomon (Elizabeth Catherine Ford)</t>
  </si>
  <si>
    <t>Bryhl, Mr. Kurt Arnold Gottfrid</t>
  </si>
  <si>
    <t>Buss, Miss. Kate</t>
  </si>
  <si>
    <t>Butler, Mr. Reginald Fenton</t>
  </si>
  <si>
    <t>Byles, Rev. Thomas Roussel Davids</t>
  </si>
  <si>
    <t>Bystrom, Mrs. (Karolina)</t>
  </si>
  <si>
    <t>Caldwell, Master. Alden Gates</t>
  </si>
  <si>
    <t>Caldwell, Mrs. Albert Francis (Sylvia Mae Harbaugh)</t>
  </si>
  <si>
    <t>Cameron, Miss. Clear Annie</t>
  </si>
  <si>
    <t>F.C.C. 13528</t>
  </si>
  <si>
    <t>Campbell, Mr. William</t>
  </si>
  <si>
    <t>Carbines, Mr. William</t>
  </si>
  <si>
    <t>Carter, Mrs. Ernest Courtenay (Lilian Hughes)</t>
  </si>
  <si>
    <t>Carter, Rev. Ernest Courtenay</t>
  </si>
  <si>
    <t>Chapman, Mr. Charles Henry</t>
  </si>
  <si>
    <t>Chapman, Mr. John Henry</t>
  </si>
  <si>
    <t>SC/AH 29037</t>
  </si>
  <si>
    <t>Christy, Miss. Julie Rachel</t>
  </si>
  <si>
    <t>Clarke, Mrs. Charles V (Ada Maria Winfield)</t>
  </si>
  <si>
    <t>Coleridge, Mr. Reginald Charles</t>
  </si>
  <si>
    <t>W./C. 14263</t>
  </si>
  <si>
    <t>Collander, Mr. Erik Gustaf</t>
  </si>
  <si>
    <t>Collyer, Miss. Marjorie "Lottie"</t>
  </si>
  <si>
    <t>C.A. 31921</t>
  </si>
  <si>
    <t>Collyer, Mr. Harvey</t>
  </si>
  <si>
    <t>Collyer, Mrs. Harvey (Charlotte Annie Tate)</t>
  </si>
  <si>
    <t>Cunningham, Mr. Alfred Fleming</t>
  </si>
  <si>
    <t>Davies, Master. John Morgan Jr</t>
  </si>
  <si>
    <t>C.A. 33112</t>
  </si>
  <si>
    <t>Davies, Mr. Charles Henry</t>
  </si>
  <si>
    <t>S.O.C. 14879</t>
  </si>
  <si>
    <t>Davis, Miss. Mary</t>
  </si>
  <si>
    <t>del Carlo, Mr. Sebastiano</t>
  </si>
  <si>
    <t>SC/PARIS 2167</t>
  </si>
  <si>
    <t>Doling, Miss. Elsie</t>
  </si>
  <si>
    <t>Doling, Mrs. John T (Ada Julia Bone)</t>
  </si>
  <si>
    <t>Downton, Mr. William James</t>
  </si>
  <si>
    <t>Drew, Mrs. James Vivian (Lulu Thorne Christian)</t>
  </si>
  <si>
    <t>Duran y More, Miss. Asuncion</t>
  </si>
  <si>
    <t>SC/PARIS 2149</t>
  </si>
  <si>
    <t>Eitemiller, Mr. George Floyd</t>
  </si>
  <si>
    <t>Fahlstrom, Mr. Arne Jonas</t>
  </si>
  <si>
    <t>Faunthorpe, Mrs. Lizzie (Elizabeth Anne Wilkinson)</t>
  </si>
  <si>
    <t>Fox, Mr. Stanley Hubert</t>
  </si>
  <si>
    <t>Frost, Mr. Anthony Wood "Archie"</t>
  </si>
  <si>
    <t>Funk, Miss. Annie Clemmer</t>
  </si>
  <si>
    <t>Fynney, Mr. Joseph J</t>
  </si>
  <si>
    <t>Gale, Mr. Shadrach</t>
  </si>
  <si>
    <t>Garside, Miss. Ethel</t>
  </si>
  <si>
    <t>Gaskell, Mr. Alfred</t>
  </si>
  <si>
    <t>Gavey, Mr. Lawrence</t>
  </si>
  <si>
    <t>Giles, Mr. Frederick Edward</t>
  </si>
  <si>
    <t>Gill, Mr. John William</t>
  </si>
  <si>
    <t>Gillespie, Mr. William Henry</t>
  </si>
  <si>
    <t>Givard, Mr. Hans Kristensen</t>
  </si>
  <si>
    <t>Greenberg, Mr. Samuel</t>
  </si>
  <si>
    <t>Hale, Mr. Reginald</t>
  </si>
  <si>
    <t>Hamalainen, Master. Viljo</t>
  </si>
  <si>
    <t>Hamalainen, Mrs. William (Anna)</t>
  </si>
  <si>
    <t>Harper, Miss. Annie Jessie "Nina"</t>
  </si>
  <si>
    <t>Harper, Rev. John</t>
  </si>
  <si>
    <t>Harris, Mr. George</t>
  </si>
  <si>
    <t>S.W./PP 752</t>
  </si>
  <si>
    <t>Harris, Mr. Walter</t>
  </si>
  <si>
    <t>W/C 14208</t>
  </si>
  <si>
    <t>Hart, Miss. Eva Miriam</t>
  </si>
  <si>
    <t>F.C.C. 13529</t>
  </si>
  <si>
    <t>Hart, Mr. Benjamin</t>
  </si>
  <si>
    <t>Hart, Mrs. Benjamin (Esther Ada Bloomfield)</t>
  </si>
  <si>
    <t>Herman, Miss. Alice</t>
  </si>
  <si>
    <t>Herman, Mrs. Samuel (Jane Laver)</t>
  </si>
  <si>
    <t xml:space="preserve">Hewlett, Mrs. (Mary D Kingcome) </t>
  </si>
  <si>
    <t>Hickman, Mr. Leonard Mark</t>
  </si>
  <si>
    <t>Hickman, Mr. Lewis</t>
  </si>
  <si>
    <t>Hickman, Mr. Stanley George</t>
  </si>
  <si>
    <t>Hocking, Mr. Richard George</t>
  </si>
  <si>
    <t>Hocking, Mrs. Elizabeth (Eliza Needs)</t>
  </si>
  <si>
    <t>Hodges, Mr. Henry Price</t>
  </si>
  <si>
    <t>Hold, Mr. Stephen</t>
  </si>
  <si>
    <t>Hood, Mr. Ambrose Jr</t>
  </si>
  <si>
    <t>Hosono, Mr. Masabumi</t>
  </si>
  <si>
    <t>Hunt, Mr. George Henry</t>
  </si>
  <si>
    <t>SCO/W 1585</t>
  </si>
  <si>
    <t>Ilett, Miss. Bertha</t>
  </si>
  <si>
    <t>SO/C 14885</t>
  </si>
  <si>
    <t>Jacobsohn, Mr. Sidney Samuel</t>
  </si>
  <si>
    <t>Jacobsohn, Mrs. Sidney Samuel (Amy Frances Christy)</t>
  </si>
  <si>
    <t>Jarvis, Mr. John Denzil</t>
  </si>
  <si>
    <t>Jenkin, Mr. Stephen Curnow</t>
  </si>
  <si>
    <t>C.A. 33111</t>
  </si>
  <si>
    <t>Jerwan, Mrs. Amin S (Marie Marthe Thuillard)</t>
  </si>
  <si>
    <t>SC/AH Basle 541</t>
  </si>
  <si>
    <t>Kantor, Mr. Sinai</t>
  </si>
  <si>
    <t>Kantor, Mrs. Sinai (Miriam Sternin)</t>
  </si>
  <si>
    <t>Keane, Miss. Nora A</t>
  </si>
  <si>
    <t>E101</t>
  </si>
  <si>
    <t>Kelly, Mrs. Florence "Fannie"</t>
  </si>
  <si>
    <t>Kirkland, Rev. Charles Leonard</t>
  </si>
  <si>
    <t>Knight, Mr. Robert J</t>
  </si>
  <si>
    <t>Kvillner, Mr. Johan Henrik Johannesson</t>
  </si>
  <si>
    <t>C.A. 18723</t>
  </si>
  <si>
    <t>Lahtinen, Mrs. William (Anna Sylfven)</t>
  </si>
  <si>
    <t>Laroche, Miss. Simonne Marie Anne Andree</t>
  </si>
  <si>
    <t>SC/Paris 2123</t>
  </si>
  <si>
    <t>Laroche, Mr. Joseph Philippe Lemercier</t>
  </si>
  <si>
    <t>Laroche, Mrs. Joseph (Juliette Marie Louise Lafargue)</t>
  </si>
  <si>
    <t>Lehmann, Miss. Bertha</t>
  </si>
  <si>
    <t>SC 1748</t>
  </si>
  <si>
    <t>Leitch, Miss. Jessie Wills</t>
  </si>
  <si>
    <t>Lemore, Mrs. (Amelia Milley)</t>
  </si>
  <si>
    <t>C.A. 34260</t>
  </si>
  <si>
    <t>Levy, Mr. Rene Jacques</t>
  </si>
  <si>
    <t>SC/Paris 2163</t>
  </si>
  <si>
    <t>Leyson, Mr. Robert William Norman</t>
  </si>
  <si>
    <t>C.A. 29566</t>
  </si>
  <si>
    <t>Louch, Mrs. Charles Alexander (Alice Adelaide Slow)</t>
  </si>
  <si>
    <t>SC/AH 3085</t>
  </si>
  <si>
    <t>Mack, Mrs. (Mary)</t>
  </si>
  <si>
    <t>S.O./P.P. 3</t>
  </si>
  <si>
    <t>E77</t>
  </si>
  <si>
    <t>Mallet, Master. Andre</t>
  </si>
  <si>
    <t>S.C./PARIS 2079</t>
  </si>
  <si>
    <t>Mallet, Mr. Albert</t>
  </si>
  <si>
    <t>Matthews, Mr. William John</t>
  </si>
  <si>
    <t>McKane, Mr. Peter David</t>
  </si>
  <si>
    <t>Mellinger, Miss. Madeleine Violet</t>
  </si>
  <si>
    <t>Mellinger, Mrs. (Elizabeth Anne Maidment)</t>
  </si>
  <si>
    <t>Mellors, Mr. William John</t>
  </si>
  <si>
    <t>SW/PP 751</t>
  </si>
  <si>
    <t>Meyer, Mr. August</t>
  </si>
  <si>
    <t>Milling, Mr. Jacob Christian</t>
  </si>
  <si>
    <t>Mitchell, Mr. Henry Michael</t>
  </si>
  <si>
    <t>C.A. 24580</t>
  </si>
  <si>
    <t>Montvila, Rev. Juozas</t>
  </si>
  <si>
    <t>Moraweck, Dr. Ernest</t>
  </si>
  <si>
    <t>Morley, Mr. Henry Samuel ("Mr Henry Marshall")</t>
  </si>
  <si>
    <t>Mudd, Mr. Thomas Charles</t>
  </si>
  <si>
    <t>Nasser, Mr. Nicholas</t>
  </si>
  <si>
    <t>Nasser, Mrs. Nicholas (Adele Achem)</t>
  </si>
  <si>
    <t>Navratil, Master. Edmond Roger</t>
  </si>
  <si>
    <t>F2</t>
  </si>
  <si>
    <t>Navratil, Master. Michel M</t>
  </si>
  <si>
    <t>Navratil, Mr. Michel ("Louis M Hoffman")</t>
  </si>
  <si>
    <t>Nicholls, Mr. Joseph Charles</t>
  </si>
  <si>
    <t>Norman, Mr. Robert Douglas</t>
  </si>
  <si>
    <t>Nye, Mrs. (Elizabeth Ramell)</t>
  </si>
  <si>
    <t>C.A. 29395</t>
  </si>
  <si>
    <t>Otter, Mr. Richard</t>
  </si>
  <si>
    <t>Padro y Manent, Mr. Julian</t>
  </si>
  <si>
    <t>SC/PARIS 2146</t>
  </si>
  <si>
    <t>Pain, Dr. Alfred</t>
  </si>
  <si>
    <t>Parkes, Mr. Francis "Frank"</t>
  </si>
  <si>
    <t>Parrish, Mrs. (Lutie Davis)</t>
  </si>
  <si>
    <t>Pengelly, Mr. Frederick William</t>
  </si>
  <si>
    <t>Pernot, Mr. Rene</t>
  </si>
  <si>
    <t>SC/PARIS 2131</t>
  </si>
  <si>
    <t>Phillips, Miss. Kate Florence ("Mrs Kate Louise Phillips Marshall")</t>
  </si>
  <si>
    <t>Pinsky, Mrs. (Rosa)</t>
  </si>
  <si>
    <t>Ponesell, Mr. Martin</t>
  </si>
  <si>
    <t>Quick, Miss. Phyllis May</t>
  </si>
  <si>
    <t>Quick, Mrs. Frederick Charles (Jane Richards)</t>
  </si>
  <si>
    <t>Reeves, Mr. David</t>
  </si>
  <si>
    <t>C.A. 17248</t>
  </si>
  <si>
    <t>Renouf, Mr. Peter Henry</t>
  </si>
  <si>
    <t>Renouf, Mrs. Peter Henry (Lillian Jefferys)</t>
  </si>
  <si>
    <t>Reynaldo, Ms. Encarnacion</t>
  </si>
  <si>
    <t>Richard, Mr. Emile</t>
  </si>
  <si>
    <t>SC/PARIS 2133</t>
  </si>
  <si>
    <t>Richards, Master. George Sibley</t>
  </si>
  <si>
    <t>Richards, Master. William Rowe</t>
  </si>
  <si>
    <t>Richards, Mrs. Sidney (Emily Hocking)</t>
  </si>
  <si>
    <t>Ridsdale, Miss. Lucy</t>
  </si>
  <si>
    <t>W./C. 14258</t>
  </si>
  <si>
    <t>Rugg, Miss. Emily</t>
  </si>
  <si>
    <t>C.A. 31026</t>
  </si>
  <si>
    <t>Sedgwick, Mr. Charles Frederick Waddington</t>
  </si>
  <si>
    <t>Sharp, Mr. Percival James R</t>
  </si>
  <si>
    <t>Shelley, Mrs. William (Imanita Parrish Hall)</t>
  </si>
  <si>
    <t>Silven, Miss. Lyyli Karoliina</t>
  </si>
  <si>
    <t>Sinkkonen, Miss. Anna</t>
  </si>
  <si>
    <t>Sjostedt, Mr. Ernst Adolf</t>
  </si>
  <si>
    <t>Slayter, Miss. Hilda Mary</t>
  </si>
  <si>
    <t>Slemen, Mr. Richard James</t>
  </si>
  <si>
    <t>Smith, Miss. Marion Elsie</t>
  </si>
  <si>
    <t>Sobey, Mr. Samuel James Hayden</t>
  </si>
  <si>
    <t>C.A. 29178</t>
  </si>
  <si>
    <t>Toomey, Miss. Ellen</t>
  </si>
  <si>
    <t>F.C.C. 13531</t>
  </si>
  <si>
    <t>Troupiansky, Mr. Moses Aaron</t>
  </si>
  <si>
    <t>Trout, Mrs. William H (Jessie L)</t>
  </si>
  <si>
    <t>Troutt, Miss. Edwina Celia "Winnie"</t>
  </si>
  <si>
    <t>Turpin, Mr. William John Robert</t>
  </si>
  <si>
    <t>Turpin, Mrs. William John Robert (Dorothy Ann Wonnacott)</t>
  </si>
  <si>
    <t>Watson, Mr. Ennis Hastings</t>
  </si>
  <si>
    <t>Watt, Mrs. James (Elizabeth "Bessie" Inglis Milne)</t>
  </si>
  <si>
    <t>C.A. 33595</t>
  </si>
  <si>
    <t>Webber, Miss. Susan</t>
  </si>
  <si>
    <t>Weisz, Mrs. Leopold (Mathilde Francoise Pede)</t>
  </si>
  <si>
    <t>Wells, Miss. Joan</t>
  </si>
  <si>
    <t>West, Miss. Constance Mirium</t>
  </si>
  <si>
    <t>C.A. 34651</t>
  </si>
  <si>
    <t>West, Mr. Edwy Arthur</t>
  </si>
  <si>
    <t>West, Mrs. Edwy Arthur (Ada Mary Worth)</t>
  </si>
  <si>
    <t>Wheadon, Mr. Edward H</t>
  </si>
  <si>
    <t>C.A. 24579</t>
  </si>
  <si>
    <t>Wilhelms, Mr. Charles</t>
  </si>
  <si>
    <t>Williams, Mr. Charles Eugene</t>
  </si>
  <si>
    <t>Yrois, Miss. Henriette ("Mrs Harbeck")</t>
  </si>
  <si>
    <t>Abbing, Mr. Anthony</t>
  </si>
  <si>
    <t>C.A. 5547</t>
  </si>
  <si>
    <t>Abbott, Mr. Rossmore Edward</t>
  </si>
  <si>
    <t>C.A. 2673</t>
  </si>
  <si>
    <t>Abbott, Mrs. Stanton (Rosa Hunt)</t>
  </si>
  <si>
    <t>Adahl, Mr. Mauritz Nils Martin</t>
  </si>
  <si>
    <t>C 7076</t>
  </si>
  <si>
    <t>Adams, Mr. John</t>
  </si>
  <si>
    <t>Ahlin, Mrs. Johan (Johanna Persdotter Larsson)</t>
  </si>
  <si>
    <t>Aks, Mrs. Sam (Leah Rosen)</t>
  </si>
  <si>
    <t>Albimona, Mr. Nassef Cassem</t>
  </si>
  <si>
    <t>Alexander, Mr. William</t>
  </si>
  <si>
    <t>Alhomaki, Mr. Ilmari Rudolf</t>
  </si>
  <si>
    <t>SOTON/O2 3101287</t>
  </si>
  <si>
    <t>Ali, Mr. Ahmed</t>
  </si>
  <si>
    <t>SOTON/O.Q. 3101311</t>
  </si>
  <si>
    <t>Ali, Mr. William</t>
  </si>
  <si>
    <t>SOTON/O.Q. 3101312</t>
  </si>
  <si>
    <t>Allen, Mr. William Henry</t>
  </si>
  <si>
    <t>Allum, Mr. Owen George</t>
  </si>
  <si>
    <t>Andersen-Jensen, Miss. Carla Christine Nielsine</t>
  </si>
  <si>
    <t>Andersson, Master. Sigvard Harald Elias</t>
  </si>
  <si>
    <t>Andersson, Miss. Ebba Iris Alfrida</t>
  </si>
  <si>
    <t>Andersson, Miss. Ellis Anna Maria</t>
  </si>
  <si>
    <t>Andersson, Miss. Erna Alexandra</t>
  </si>
  <si>
    <t>Andersson, Miss. Ingeborg Constanzia</t>
  </si>
  <si>
    <t>Andersson, Miss. Sigrid Elisabeth</t>
  </si>
  <si>
    <t>Andersson, Mr. Anders Johan</t>
  </si>
  <si>
    <t>Andersson, Mr. August Edvard ("Wennerstrom")</t>
  </si>
  <si>
    <t>Andersson, Mrs. Anders Johan (Alfrida Konstantia Brogren)</t>
  </si>
  <si>
    <t>Andreasson, Mr. Paul Edvin</t>
  </si>
  <si>
    <t>Arnold-Franchi, Mr. Josef</t>
  </si>
  <si>
    <t>Arnold-Franchi, Mrs. Josef (Josefine Franchi)</t>
  </si>
  <si>
    <t>Asim, Mr. Adola</t>
  </si>
  <si>
    <t>SOTON/O.Q. 3101310</t>
  </si>
  <si>
    <t>Asplund, Master. Clarence Gustaf Hugo</t>
  </si>
  <si>
    <t>Asplund, Master. Edvin Rojj Felix</t>
  </si>
  <si>
    <t>Asplund, Miss. Lillian Gertrud</t>
  </si>
  <si>
    <t>Asplund, Mrs. Carl Oscar (Selma Augusta Emilia Johansson)</t>
  </si>
  <si>
    <t>Attalah, Miss. Malake</t>
  </si>
  <si>
    <t>Attalah, Mr. Sleiman</t>
  </si>
  <si>
    <t>Augustsson, Mr. Albert</t>
  </si>
  <si>
    <t>Ayoub, Miss. Banoura</t>
  </si>
  <si>
    <t>Backstrom, Mr. Karl Alfred</t>
  </si>
  <si>
    <t>Backstrom, Mrs. Karl Alfred (Maria Mathilda Gustafsson)</t>
  </si>
  <si>
    <t>Baclini, Miss. Eugenie</t>
  </si>
  <si>
    <t>Baclini, Miss. Helene Barbara</t>
  </si>
  <si>
    <t>Baclini, Miss. Marie Catherine</t>
  </si>
  <si>
    <t>Baclini, Mrs. Solomon (Latifa Qurban)</t>
  </si>
  <si>
    <t>Badt, Mr. Mohamed</t>
  </si>
  <si>
    <t>Balkic, Mr. Cerin</t>
  </si>
  <si>
    <t>Barah, Mr. Hanna Assi</t>
  </si>
  <si>
    <t>Barbara, Miss. Saiide</t>
  </si>
  <si>
    <t>Barbara, Mrs. (Catherine David)</t>
  </si>
  <si>
    <t>Barton, Mr. David John</t>
  </si>
  <si>
    <t>Beavan, Mr. William Thomas</t>
  </si>
  <si>
    <t>Bengtsson, Mr. John Viktor</t>
  </si>
  <si>
    <t>Berglund, Mr. Karl Ivar Sven</t>
  </si>
  <si>
    <t>PP 4348</t>
  </si>
  <si>
    <t>Betros, Mr. Tannous</t>
  </si>
  <si>
    <t>Bing, Mr. Lee</t>
  </si>
  <si>
    <t>Birkeland, Mr. Hans Martin Monsen</t>
  </si>
  <si>
    <t>Bostandyeff, Mr. Guentcho</t>
  </si>
  <si>
    <t>Boulos, Miss. Nourelain</t>
  </si>
  <si>
    <t>Boulos, Mr. Hanna</t>
  </si>
  <si>
    <t>Boulos, Mrs. Joseph (Sultana)</t>
  </si>
  <si>
    <t>Bourke, Miss. Mary</t>
  </si>
  <si>
    <t>Bourke, Mr. John</t>
  </si>
  <si>
    <t>Bourke, Mrs. John (Catherine)</t>
  </si>
  <si>
    <t>Bowen, Mr. David John "Dai"</t>
  </si>
  <si>
    <t>Braund, Mr. Lewis Richard</t>
  </si>
  <si>
    <t>Braund, Mr. Owen Harris</t>
  </si>
  <si>
    <t>A/5 21171</t>
  </si>
  <si>
    <t>Brocklebank, Mr. William Alfred</t>
  </si>
  <si>
    <t>Burke, Mr. Jeremiah</t>
  </si>
  <si>
    <t>Cacic, Miss. Marija</t>
  </si>
  <si>
    <t>Cacic, Mr. Luka</t>
  </si>
  <si>
    <t>Calic, Mr. Jovo</t>
  </si>
  <si>
    <t>Calic, Mr. Petar</t>
  </si>
  <si>
    <t>Canavan, Miss. Mary</t>
  </si>
  <si>
    <t>Cann, Mr. Ernest Charles</t>
  </si>
  <si>
    <t>A./5. 2152</t>
  </si>
  <si>
    <t>Caram, Mrs. Joseph (Maria Elias)</t>
  </si>
  <si>
    <t>Carlsson, Mr. August Sigfrid</t>
  </si>
  <si>
    <t>Carr, Miss. Helen "Ellen"</t>
  </si>
  <si>
    <t>Celotti, Mr. Francesco</t>
  </si>
  <si>
    <t>Charters, Mr. David</t>
  </si>
  <si>
    <t>A/5. 13032</t>
  </si>
  <si>
    <t>Chip, Mr. Chang</t>
  </si>
  <si>
    <t>Christmann, Mr. Emil</t>
  </si>
  <si>
    <t>Chronopoulos, Mr. Apostolos</t>
  </si>
  <si>
    <t>Coelho, Mr. Domingos Fernandeo</t>
  </si>
  <si>
    <t>SOTON/O.Q. 3101307</t>
  </si>
  <si>
    <t>Cohen, Mr. Gurshon "Gus"</t>
  </si>
  <si>
    <t>A/5 3540</t>
  </si>
  <si>
    <t>Coleff, Mr. Peju</t>
  </si>
  <si>
    <t>Coleff, Mr. Satio</t>
  </si>
  <si>
    <t>Connaghton, Mr. Michael</t>
  </si>
  <si>
    <t>Connolly, Miss. Kate</t>
  </si>
  <si>
    <t>Connors, Mr. Patrick</t>
  </si>
  <si>
    <t>Cook, Mr. Jacob</t>
  </si>
  <si>
    <t>A/5 3536</t>
  </si>
  <si>
    <t>Cor, Mr. Liudevit</t>
  </si>
  <si>
    <t>Corn, Mr. Harry</t>
  </si>
  <si>
    <t>SOTON/OQ 392090</t>
  </si>
  <si>
    <t>Coutts, Master. Eden Leslie "Neville"</t>
  </si>
  <si>
    <t>C.A. 37671</t>
  </si>
  <si>
    <t>Coutts, Master. William Loch "William"</t>
  </si>
  <si>
    <t>Coxon, Mr. Daniel</t>
  </si>
  <si>
    <t>Crease, Mr. Ernest James</t>
  </si>
  <si>
    <t>S.P. 3464</t>
  </si>
  <si>
    <t>Cribb, Mr. John Hatfield</t>
  </si>
  <si>
    <t>Culumovic, Mr. Jeso</t>
  </si>
  <si>
    <t>Dahl, Mr. Karl Edwart</t>
  </si>
  <si>
    <t>Dahlberg, Miss. Gerda Ulrika</t>
  </si>
  <si>
    <t>Dakic, Mr. Branko</t>
  </si>
  <si>
    <t>Daly, Mr. Eugene Patrick</t>
  </si>
  <si>
    <t>Danbom, Mr. Ernst Gilbert</t>
  </si>
  <si>
    <t>Danbom, Mrs. Ernst Gilbert (Anna Sigrid Maria Brogren)</t>
  </si>
  <si>
    <t>Danoff, Mr. Yoto</t>
  </si>
  <si>
    <t>Dantcheff, Mr. Ristiu</t>
  </si>
  <si>
    <t>Davies, Mr. Alfred J</t>
  </si>
  <si>
    <t>A/4 48871</t>
  </si>
  <si>
    <t>Davison, Mrs. Thomas Henry (Mary E Finck)</t>
  </si>
  <si>
    <t>de Messemaeker, Mrs. Guillaume Joseph (Emma)</t>
  </si>
  <si>
    <t>de Mulder, Mr. Theodore</t>
  </si>
  <si>
    <t>de Pelsmaeker, Mr. Alfons</t>
  </si>
  <si>
    <t>Dean, Master. Bertram Vere</t>
  </si>
  <si>
    <t>C.A. 2315</t>
  </si>
  <si>
    <t>Dean, Mr. Bertram Frank</t>
  </si>
  <si>
    <t>Denkoff, Mr. Mitto</t>
  </si>
  <si>
    <t>Dennis, Mr. Samuel</t>
  </si>
  <si>
    <t>A/5 21172</t>
  </si>
  <si>
    <t>Devaney, Miss. Margaret Delia</t>
  </si>
  <si>
    <t>Dimic, Mr. Jovan</t>
  </si>
  <si>
    <t>Doharr, Mr. Tannous</t>
  </si>
  <si>
    <t>Dooley, Mr. Patrick</t>
  </si>
  <si>
    <t>Dorking, Mr. Edward Arthur</t>
  </si>
  <si>
    <t>A/5. 10482</t>
  </si>
  <si>
    <t>Dowdell, Miss. Elizabeth</t>
  </si>
  <si>
    <t>Drazenoic, Mr. Jozef</t>
  </si>
  <si>
    <t>Duane, Mr. Frank</t>
  </si>
  <si>
    <t>Edvardsson, Mr. Gustaf Hjalmar</t>
  </si>
  <si>
    <t>Eklund, Mr. Hans Linus</t>
  </si>
  <si>
    <t>Ekstrom, Mr. Johan</t>
  </si>
  <si>
    <t>Elias, Mr. Dibo</t>
  </si>
  <si>
    <t>Elias, Mr. Joseph Jr</t>
  </si>
  <si>
    <t>Elias, Mr. Tannous</t>
  </si>
  <si>
    <t>Elsbury, Mr. William James</t>
  </si>
  <si>
    <t>A/5 3902</t>
  </si>
  <si>
    <t>Emanuel, Miss. Virginia Ethel</t>
  </si>
  <si>
    <t>Emir, Mr. Farred Chehab</t>
  </si>
  <si>
    <t>Farrell, Mr. James</t>
  </si>
  <si>
    <t>Fischer, Mr. Eberhard Thelander</t>
  </si>
  <si>
    <t>Flynn, Mr. James</t>
  </si>
  <si>
    <t>Flynn, Mr. John</t>
  </si>
  <si>
    <t>Foo, Mr. Choong</t>
  </si>
  <si>
    <t>Ford, Miss. Doolina Margaret "Daisy"</t>
  </si>
  <si>
    <t>W./C. 6608</t>
  </si>
  <si>
    <t>Ford, Miss. Robina Maggie "Ruby"</t>
  </si>
  <si>
    <t>Ford, Mr. William Neal</t>
  </si>
  <si>
    <t>Ford, Mrs. Edward (Margaret Ann Watson)</t>
  </si>
  <si>
    <t>Gallagher, Mr. Martin</t>
  </si>
  <si>
    <t>Garfirth, Mr. John</t>
  </si>
  <si>
    <t>Gheorgheff, Mr. Stanio</t>
  </si>
  <si>
    <t>Gilinski, Mr. Eliezer</t>
  </si>
  <si>
    <t>Gilnagh, Miss. Katherine "Katie"</t>
  </si>
  <si>
    <t>Glynn, Miss. Mary Agatha</t>
  </si>
  <si>
    <t>Goldsmith, Master. Frank John William "Frankie"</t>
  </si>
  <si>
    <t>Goldsmith, Mr. Frank John</t>
  </si>
  <si>
    <t>Goldsmith, Mrs. Frank John (Emily Alice Brown)</t>
  </si>
  <si>
    <t>Goncalves, Mr. Manuel Estanslas</t>
  </si>
  <si>
    <t>SOTON/O.Q. 3101306</t>
  </si>
  <si>
    <t>Goodwin, Master. Harold Victor</t>
  </si>
  <si>
    <t>CA 2144</t>
  </si>
  <si>
    <t>Goodwin, Master. Sidney Leonard</t>
  </si>
  <si>
    <t>Goodwin, Master. William Frederick</t>
  </si>
  <si>
    <t>Goodwin, Miss. Lillian Amy</t>
  </si>
  <si>
    <t>Goodwin, Mr. Charles Edward</t>
  </si>
  <si>
    <t>Goodwin, Mrs. Frederick (Augusta Tyler)</t>
  </si>
  <si>
    <t>Green, Mr. George Henry</t>
  </si>
  <si>
    <t>Gronnestad, Mr. Daniel Danielsen</t>
  </si>
  <si>
    <t>Gustafsson, Mr. Alfred Ossian</t>
  </si>
  <si>
    <t>Gustafsson, Mr. Anders Vilhelm</t>
  </si>
  <si>
    <t>Gustafsson, Mr. Johan Birger</t>
  </si>
  <si>
    <t>Gustafsson, Mr. Karl Gideon</t>
  </si>
  <si>
    <t>Haas, Miss. Aloisia</t>
  </si>
  <si>
    <t>Hagland, Mr. Ingvald Olai Olsen</t>
  </si>
  <si>
    <t>Hagland, Mr. Konrad Mathias Reiersen</t>
  </si>
  <si>
    <t>Hakkarainen, Mr. Pekka Pietari</t>
  </si>
  <si>
    <t>STON/O2. 3101279</t>
  </si>
  <si>
    <t>Hakkarainen, Mrs. Pekka Pietari (Elin Matilda Dolck)</t>
  </si>
  <si>
    <t>Hampe, Mr. Leon</t>
  </si>
  <si>
    <t>Hanna, Mr. Mansour</t>
  </si>
  <si>
    <t>Hansen, Mr. Claus Peter</t>
  </si>
  <si>
    <t>Hansen, Mr. Henrik Juul</t>
  </si>
  <si>
    <t>Hansen, Mr. Henry Damsgaard</t>
  </si>
  <si>
    <t>Harknett, Miss. Alice Phoebe</t>
  </si>
  <si>
    <t>W./C. 6609</t>
  </si>
  <si>
    <t>Harmer, Mr. Abraham (David Lishin)</t>
  </si>
  <si>
    <t>Hart, Mr. Henry</t>
  </si>
  <si>
    <t>Hassan, Mr. Houssein G N</t>
  </si>
  <si>
    <t>Healy, Miss. Hanora "Nora"</t>
  </si>
  <si>
    <t>Hedman, Mr. Oskar Arvid</t>
  </si>
  <si>
    <t>Hegarty, Miss. Hanora "Nora"</t>
  </si>
  <si>
    <t>Heikkinen, Miss. Laina</t>
  </si>
  <si>
    <t>STON/O2. 3101282</t>
  </si>
  <si>
    <t>Heininen, Miss. Wendla Maria</t>
  </si>
  <si>
    <t>STON/O2. 3101290</t>
  </si>
  <si>
    <t>Hendekovic, Mr. Ignjac</t>
  </si>
  <si>
    <t>Henry, Miss. Delia</t>
  </si>
  <si>
    <t>Hirvonen, Miss. Hildur E</t>
  </si>
  <si>
    <t>Holm, Mr. John Fredrik Alexander</t>
  </si>
  <si>
    <t>C 7075</t>
  </si>
  <si>
    <t>Honkanen, Miss. Eliina</t>
  </si>
  <si>
    <t>STON/O2. 3101283</t>
  </si>
  <si>
    <t>Horgan, Mr. John</t>
  </si>
  <si>
    <t>Humblen, Mr. Adolf Mathias Nicolai Olsen</t>
  </si>
  <si>
    <t>F G63</t>
  </si>
  <si>
    <t>Ibrahim Shawah, Mr. Yousseff</t>
  </si>
  <si>
    <t>Ilmakangas, Miss. Pieta Sofia</t>
  </si>
  <si>
    <t>STON/O2. 3101271</t>
  </si>
  <si>
    <t>Ivanoff, Mr. Kanio</t>
  </si>
  <si>
    <t>Jalsevac, Mr. Ivan</t>
  </si>
  <si>
    <t>Jansson, Mr. Carl Olof</t>
  </si>
  <si>
    <t>Jardin, Mr. Jose Neto</t>
  </si>
  <si>
    <t>SOTON/O.Q. 3101305</t>
  </si>
  <si>
    <t>Jensen, Mr. Hans Peder</t>
  </si>
  <si>
    <t>Jensen, Mr. Niels Peder</t>
  </si>
  <si>
    <t>Jensen, Mr. Svend Lauritz</t>
  </si>
  <si>
    <t>Jermyn, Miss. Annie</t>
  </si>
  <si>
    <t>Johannesen-Bratthammer, Mr. Bernt</t>
  </si>
  <si>
    <t>Johanson, Mr. Jakob Alfred</t>
  </si>
  <si>
    <t>Johansson, Mr. Erik</t>
  </si>
  <si>
    <t>Johansson, Mr. Gustaf Joel</t>
  </si>
  <si>
    <t>Johansson, Mr. Karl Johan</t>
  </si>
  <si>
    <t>Johnson, Master. Harold Theodor</t>
  </si>
  <si>
    <t>Johnson, Miss. Eleanor Ileen</t>
  </si>
  <si>
    <t>Johnson, Mr. Alfred</t>
  </si>
  <si>
    <t>LINE</t>
  </si>
  <si>
    <t>Johnson, Mr. Malkolm Joackim</t>
  </si>
  <si>
    <t>Johnson, Mr. William Cahoone Jr</t>
  </si>
  <si>
    <t>Johnson, Mrs. Oscar W (Elisabeth Vilhelmina Berg)</t>
  </si>
  <si>
    <t>Johnston, Miss. Catherine Helen "Carrie"</t>
  </si>
  <si>
    <t>W./C. 6607</t>
  </si>
  <si>
    <t>Johnston, Mr. Andrew G</t>
  </si>
  <si>
    <t>Jonkoff, Mr. Lalio</t>
  </si>
  <si>
    <t>Jonsson, Mr. Carl</t>
  </si>
  <si>
    <t>Jussila, Miss. Katriina</t>
  </si>
  <si>
    <t>Jussila, Miss. Mari Aina</t>
  </si>
  <si>
    <t>Jussila, Mr. Eiriik</t>
  </si>
  <si>
    <t>STON/O 2. 3101286</t>
  </si>
  <si>
    <t>Kallio, Mr. Nikolai Erland</t>
  </si>
  <si>
    <t>STON/O 2. 3101274</t>
  </si>
  <si>
    <t>Kalvik, Mr. Johannes Halvorsen</t>
  </si>
  <si>
    <t>Karaic, Mr. Milan</t>
  </si>
  <si>
    <t>Karlsson, Mr. Nils August</t>
  </si>
  <si>
    <t>Karun, Miss. Manca</t>
  </si>
  <si>
    <t>Kassem, Mr. Fared</t>
  </si>
  <si>
    <t>Keane, Mr. Andrew "Andy"</t>
  </si>
  <si>
    <t>Keefe, Mr. Arthur</t>
  </si>
  <si>
    <t>Kelly, Miss. Anna Katherine "Annie Kate"</t>
  </si>
  <si>
    <t>Kelly, Miss. Mary</t>
  </si>
  <si>
    <t>Kelly, Mr. James</t>
  </si>
  <si>
    <t>Kiernan, Mr. Philip</t>
  </si>
  <si>
    <t>Kilgannon, Mr. Thomas J</t>
  </si>
  <si>
    <t>Kink, Mr. Vincenz</t>
  </si>
  <si>
    <t>Kink-Heilmann, Miss. Luise Gretchen</t>
  </si>
  <si>
    <t>Klasen, Mr. Klas Albin</t>
  </si>
  <si>
    <t>Kraeff, Mr. Theodor</t>
  </si>
  <si>
    <t>Lahoud, Mr. Sarkis</t>
  </si>
  <si>
    <t>Laitinen, Miss. Kristina Sofia</t>
  </si>
  <si>
    <t>Laleff, Mr. Kristo</t>
  </si>
  <si>
    <t>Lam, Mr. Ali</t>
  </si>
  <si>
    <t>Lam, Mr. Len</t>
  </si>
  <si>
    <t>Landergren, Miss. Aurora Adelia</t>
  </si>
  <si>
    <t>C 7077</t>
  </si>
  <si>
    <t>Lang, Mr. Fang</t>
  </si>
  <si>
    <t>Larsson, Mr. August Viktor</t>
  </si>
  <si>
    <t>Larsson, Mr. Bengt Edvin</t>
  </si>
  <si>
    <t>Leeni, Mr. Fahim ("Philip Zenni")</t>
  </si>
  <si>
    <t>Lefebre, Master. Henry Forbes</t>
  </si>
  <si>
    <t>Lefebre, Miss. Ida</t>
  </si>
  <si>
    <t>Lefebre, Miss. Jeannie</t>
  </si>
  <si>
    <t>Lefebre, Miss. Mathilde</t>
  </si>
  <si>
    <t>Leinonen, Mr. Antti Gustaf</t>
  </si>
  <si>
    <t>STON/O 2. 3101292</t>
  </si>
  <si>
    <t>Lemberopolous, Mr. Peter L</t>
  </si>
  <si>
    <t>Lennon, Mr. Denis</t>
  </si>
  <si>
    <t>Leonard, Mr. Lionel</t>
  </si>
  <si>
    <t>Lester, Mr. James</t>
  </si>
  <si>
    <t>Lievens, Mr. Rene Aime</t>
  </si>
  <si>
    <t>Lindahl, Miss. Agda Thorilda Viktoria</t>
  </si>
  <si>
    <t>Lindblom, Miss. Augusta Charlotta</t>
  </si>
  <si>
    <t>Lindell, Mr. Edvard Bengtsson</t>
  </si>
  <si>
    <t>Lindqvist, Mr. Eino William</t>
  </si>
  <si>
    <t>STON/O 2. 3101285</t>
  </si>
  <si>
    <t>Ling, Mr. Lee</t>
  </si>
  <si>
    <t>Lobb, Mr. William Arthur</t>
  </si>
  <si>
    <t>A/5. 3336</t>
  </si>
  <si>
    <t>Lobb, Mrs. William Arthur (Cordelia K Stanlick)</t>
  </si>
  <si>
    <t>Lovell, Mr. John Hall ("Henry")</t>
  </si>
  <si>
    <t>A/5 21173</t>
  </si>
  <si>
    <t>Lulic, Mr. Nikola</t>
  </si>
  <si>
    <t>Lundahl, Mr. Johan Svensson</t>
  </si>
  <si>
    <t>Madigan, Miss. Margaret "Maggie"</t>
  </si>
  <si>
    <t>Madsen, Mr. Fridtjof Arne</t>
  </si>
  <si>
    <t>C 17369</t>
  </si>
  <si>
    <t>Maenpaa, Mr. Matti Alexanteri</t>
  </si>
  <si>
    <t>STON/O 2. 3101275</t>
  </si>
  <si>
    <t>Maisner, Mr. Simon</t>
  </si>
  <si>
    <t>A/S 2816</t>
  </si>
  <si>
    <t>Mamee, Mr. Hanna</t>
  </si>
  <si>
    <t>Mangan, Miss. Mary</t>
  </si>
  <si>
    <t>Mannion, Miss. Margareth</t>
  </si>
  <si>
    <t>Markoff, Mr. Marin</t>
  </si>
  <si>
    <t>Markun, Mr. Johann</t>
  </si>
  <si>
    <t>Masselmani, Mrs. Fatima</t>
  </si>
  <si>
    <t>McCormack, Mr. Thomas Joseph</t>
  </si>
  <si>
    <t>McCoy, Miss. Agnes</t>
  </si>
  <si>
    <t>McCoy, Mr. Bernard</t>
  </si>
  <si>
    <t>McDermott, Miss. Brigdet Delia</t>
  </si>
  <si>
    <t>McEvoy, Mr. Michael</t>
  </si>
  <si>
    <t>McGovern, Miss. Mary</t>
  </si>
  <si>
    <t>McGowan, Miss. Anna "Annie"</t>
  </si>
  <si>
    <t>McMahon, Mr. Martin</t>
  </si>
  <si>
    <t>McNamee, Mr. Neal</t>
  </si>
  <si>
    <t>Meanwell, Miss. (Marion Ogden)</t>
  </si>
  <si>
    <t>SOTON/O.Q. 392087</t>
  </si>
  <si>
    <t>Meek, Mrs. Thomas (Annie Louise Rowley)</t>
  </si>
  <si>
    <t>Meo, Mr. Alfonzo</t>
  </si>
  <si>
    <t>A.5. 11206</t>
  </si>
  <si>
    <t>Mernagh, Mr. Robert</t>
  </si>
  <si>
    <t>Mineff, Mr. Ivan</t>
  </si>
  <si>
    <t>Mionoff, Mr. Stoytcho</t>
  </si>
  <si>
    <t>Mitkoff, Mr. Mito</t>
  </si>
  <si>
    <t>Mockler, Miss. Helen Mary "Ellie"</t>
  </si>
  <si>
    <t>Moen, Mr. Sigurd Hansen</t>
  </si>
  <si>
    <t>F G73</t>
  </si>
  <si>
    <t>Moor, Master. Meier</t>
  </si>
  <si>
    <t>E121</t>
  </si>
  <si>
    <t>Moor, Mrs. (Beila)</t>
  </si>
  <si>
    <t>Moore, Mr. Leonard Charles</t>
  </si>
  <si>
    <t>A4. 54510</t>
  </si>
  <si>
    <t>Moran, Miss. Bertha</t>
  </si>
  <si>
    <t>Moran, Mr. Daniel J</t>
  </si>
  <si>
    <t>Moran, Mr. James</t>
  </si>
  <si>
    <t>Morley, Mr. William</t>
  </si>
  <si>
    <t>Morrow, Mr. Thomas Rowan</t>
  </si>
  <si>
    <t>Moss, Mr. Albert Johan</t>
  </si>
  <si>
    <t>Moubarek, Master. Gerios</t>
  </si>
  <si>
    <t>Moubarek, Master. Halim Gonios ("William George")</t>
  </si>
  <si>
    <t>Moussa, Mrs. (Mantoura Boulos)</t>
  </si>
  <si>
    <t>Moutal, Mr. Rahamin Haim</t>
  </si>
  <si>
    <t>Mullens, Miss. Katherine "Katie"</t>
  </si>
  <si>
    <t>Murdlin, Mr. Joseph</t>
  </si>
  <si>
    <t>A./5. 3235</t>
  </si>
  <si>
    <t>Murphy, Miss. Katherine "Kate"</t>
  </si>
  <si>
    <t>Murphy, Miss. Margaret Jane</t>
  </si>
  <si>
    <t>Myhrman, Mr. Pehr Fabian Oliver Malkolm</t>
  </si>
  <si>
    <t>Naidenoff, Mr. Penko</t>
  </si>
  <si>
    <t>Najib, Miss. Adele Kiamie "Jane"</t>
  </si>
  <si>
    <t>Nakid, Miss. Maria ("Mary")</t>
  </si>
  <si>
    <t>Nakid, Mr. Sahid</t>
  </si>
  <si>
    <t>Nankoff, Mr. Minko</t>
  </si>
  <si>
    <t>Nenkoff, Mr. Christo</t>
  </si>
  <si>
    <t>Nicola-Yarred, Master. Elias</t>
  </si>
  <si>
    <t>Nicola-Yarred, Miss. Jamila</t>
  </si>
  <si>
    <t>Nilsson, Miss. Helmina Josefina</t>
  </si>
  <si>
    <t>Nirva, Mr. Iisakki Antino Aijo</t>
  </si>
  <si>
    <t>SOTON/O2 3101272</t>
  </si>
  <si>
    <t>Niskanen, Mr. Juha</t>
  </si>
  <si>
    <t>STON/O 2. 3101289</t>
  </si>
  <si>
    <t>Nosworthy, Mr. Richard Cater</t>
  </si>
  <si>
    <t>A/4. 39886</t>
  </si>
  <si>
    <t>Novel, Mr. Mansouer</t>
  </si>
  <si>
    <t>Nysten, Miss. Anna Sofia</t>
  </si>
  <si>
    <t>Nysveen, Mr. Johan Hansen</t>
  </si>
  <si>
    <t>O'Brien, Mr. Thomas</t>
  </si>
  <si>
    <t>O'Brien, Mr. Timothy</t>
  </si>
  <si>
    <t>O'Brien, Mrs. Thomas (Johanna "Hannah" Godfrey)</t>
  </si>
  <si>
    <t>O'Connell, Mr. Patrick D</t>
  </si>
  <si>
    <t>O'Connor, Mr. Maurice</t>
  </si>
  <si>
    <t>Odahl, Mr. Nils Martin</t>
  </si>
  <si>
    <t>O'Driscoll, Miss. Bridget</t>
  </si>
  <si>
    <t>O'Dwyer, Miss. Ellen "Nellie"</t>
  </si>
  <si>
    <t>Ohman, Miss. Velin</t>
  </si>
  <si>
    <t>O'Leary, Miss. Hanora "Norah"</t>
  </si>
  <si>
    <t>Olsen, Mr. Henry Margido</t>
  </si>
  <si>
    <t>C 4001</t>
  </si>
  <si>
    <t>Olsen, Mr. Karl Siegwart Andreas</t>
  </si>
  <si>
    <t>Olsen, Mr. Ole Martin</t>
  </si>
  <si>
    <t>Fa 265302</t>
  </si>
  <si>
    <t>Olsson, Miss. Elina</t>
  </si>
  <si>
    <t>Olsson, Mr. Nils Johan Goransson</t>
  </si>
  <si>
    <t>Olsvigen, Mr. Thor Anderson</t>
  </si>
  <si>
    <t>Oreskovic, Miss. Marija</t>
  </si>
  <si>
    <t>Oreskovic, Mr. Luka</t>
  </si>
  <si>
    <t>Osen, Mr. Olaf Elon</t>
  </si>
  <si>
    <t>Osman, Mrs. Mara</t>
  </si>
  <si>
    <t>O'Sullivan, Miss. Bridget Mary</t>
  </si>
  <si>
    <t>Palsson, Master. Gosta Leonard</t>
  </si>
  <si>
    <t>Palsson, Miss. Stina Viola</t>
  </si>
  <si>
    <t>Palsson, Miss. Torborg Danira</t>
  </si>
  <si>
    <t>Palsson, Mrs. Nils (Alma Cornelia Berglund)</t>
  </si>
  <si>
    <t>Panula, Master. Eino Viljami</t>
  </si>
  <si>
    <t>Panula, Master. Juha Niilo</t>
  </si>
  <si>
    <t>Panula, Master. Urho Abraham</t>
  </si>
  <si>
    <t>Panula, Mr. Ernesti Arvid</t>
  </si>
  <si>
    <t>Panula, Mr. Jaako Arnold</t>
  </si>
  <si>
    <t>Panula, Mrs. Juha (Maria Emilia Ojala)</t>
  </si>
  <si>
    <t>Pasic, Mr. Jakob</t>
  </si>
  <si>
    <t>Patchett, Mr. George</t>
  </si>
  <si>
    <t>Paulner, Mr. Uscher</t>
  </si>
  <si>
    <t>Pavlovic, Mr. Stefo</t>
  </si>
  <si>
    <t>Peduzzi, Mr. Joseph</t>
  </si>
  <si>
    <t>A/5 2817</t>
  </si>
  <si>
    <t>Pekoniemi, Mr. Edvard</t>
  </si>
  <si>
    <t>STON/O 2. 3101294</t>
  </si>
  <si>
    <t>Perkin, Mr. John Henry</t>
  </si>
  <si>
    <t>A/5 21174</t>
  </si>
  <si>
    <t>Persson, Mr. Ernst Ulrik</t>
  </si>
  <si>
    <t>Peter, Miss. Anna</t>
  </si>
  <si>
    <t>F E69</t>
  </si>
  <si>
    <t>Peter, Mrs. Catherine (Catherine Rizk)</t>
  </si>
  <si>
    <t>Peters, Miss. Katie</t>
  </si>
  <si>
    <t>Petranec, Miss. Matilda</t>
  </si>
  <si>
    <t>Petroff, Mr. Nedelio</t>
  </si>
  <si>
    <t>Petroff, Mr. Pastcho ("Pentcho")</t>
  </si>
  <si>
    <t>Petterson, Mr. Johan Emil</t>
  </si>
  <si>
    <t>Pettersson, Miss. Ellen Natalia</t>
  </si>
  <si>
    <t>Pickard, Mr. Berk (Berk Trembisky)</t>
  </si>
  <si>
    <t>SOTON/O.Q. 392078</t>
  </si>
  <si>
    <t>E10</t>
  </si>
  <si>
    <t>Plotcharsky, Mr. Vasil</t>
  </si>
  <si>
    <t>Radeff, Mr. Alexander</t>
  </si>
  <si>
    <t>Razi, Mr. Raihed</t>
  </si>
  <si>
    <t>Reed, Mr. James George</t>
  </si>
  <si>
    <t>Rekic, Mr. Tido</t>
  </si>
  <si>
    <t>Rice, Master. Arthur</t>
  </si>
  <si>
    <t>Rice, Master. Eric</t>
  </si>
  <si>
    <t>Rice, Master. Eugene</t>
  </si>
  <si>
    <t>Rice, Master. George Hugh</t>
  </si>
  <si>
    <t>Rice, Mrs. William (Margaret Norton)</t>
  </si>
  <si>
    <t>Rintamaki, Mr. Matti</t>
  </si>
  <si>
    <t>STON/O 2. 3101273</t>
  </si>
  <si>
    <t>Risien, Mr. Samuel Beard</t>
  </si>
  <si>
    <t>Robins, Mrs. Alexander A (Grace Charity Laury)</t>
  </si>
  <si>
    <t>A/5. 3337</t>
  </si>
  <si>
    <t>Rogers, Mr. William John</t>
  </si>
  <si>
    <t>S.C./A.4. 23567</t>
  </si>
  <si>
    <t>Rommetvedt, Mr. Knud Paust</t>
  </si>
  <si>
    <t>Rosblom, Mr. Viktor Richard</t>
  </si>
  <si>
    <t>Rosblom, Mrs. Viktor (Helena Wilhelmina)</t>
  </si>
  <si>
    <t>Rouse, Mr. Richard Henry</t>
  </si>
  <si>
    <t>A/5 3594</t>
  </si>
  <si>
    <t>Rush, Mr. Alfred George John</t>
  </si>
  <si>
    <t>A/4. 20589</t>
  </si>
  <si>
    <t>Ryan, Mr. Patrick</t>
  </si>
  <si>
    <t>Saad, Mr. Amin</t>
  </si>
  <si>
    <t>Saad, Mr. Khalil</t>
  </si>
  <si>
    <t>Sadlier, Mr. Matthew</t>
  </si>
  <si>
    <t>Sage, Master. Thomas Henry</t>
  </si>
  <si>
    <t>CA. 2343</t>
  </si>
  <si>
    <t>Sage, Miss. Constance Gladys</t>
  </si>
  <si>
    <t>Sage, Miss. Dorothy Edith "Dolly"</t>
  </si>
  <si>
    <t>Sage, Miss. Stella Anna</t>
  </si>
  <si>
    <t>Sage, Mr. Douglas Bullen</t>
  </si>
  <si>
    <t>Sage, Mr. Frederick</t>
  </si>
  <si>
    <t>Sage, Mr. George John Jr</t>
  </si>
  <si>
    <t>Salkjelsvik, Miss. Anna Kristine</t>
  </si>
  <si>
    <t>Salonen, Mr. Johan Werner</t>
  </si>
  <si>
    <t>Samaan, Mr. Youssef</t>
  </si>
  <si>
    <t>Sandstrom, Miss. Marguerite Rut</t>
  </si>
  <si>
    <t>PP 9549</t>
  </si>
  <si>
    <t>G6</t>
  </si>
  <si>
    <t>Sandstrom, Mrs. Hjalmar (Agnes Charlotta Bengtsson)</t>
  </si>
  <si>
    <t>Saundercock, Mr. William Henry</t>
  </si>
  <si>
    <t>A/5. 2151</t>
  </si>
  <si>
    <t>Sawyer, Mr. Frederick Charles</t>
  </si>
  <si>
    <t>Scanlan, Mr. James</t>
  </si>
  <si>
    <t>Sdycoff, Mr. Todor</t>
  </si>
  <si>
    <t>Sheerlinck, Mr. Jan Baptist</t>
  </si>
  <si>
    <t>Shellard, Mr. Frederick William</t>
  </si>
  <si>
    <t>C.A. 6212</t>
  </si>
  <si>
    <t>Shorney, Mr. Charles Joseph</t>
  </si>
  <si>
    <t>Simmons, Mr. John</t>
  </si>
  <si>
    <t>SOTON/OQ 392082</t>
  </si>
  <si>
    <t>Sirayanian, Mr. Orsen</t>
  </si>
  <si>
    <t>Sirota, Mr. Maurice</t>
  </si>
  <si>
    <t>Sivic, Mr. Husein</t>
  </si>
  <si>
    <t>Sivola, Mr. Antti Wilhelm</t>
  </si>
  <si>
    <t>STON/O 2. 3101280</t>
  </si>
  <si>
    <t>Sjoblom, Miss. Anna Sofia</t>
  </si>
  <si>
    <t>Skoog, Master. Harald</t>
  </si>
  <si>
    <t>Skoog, Master. Karl Thorsten</t>
  </si>
  <si>
    <t>Skoog, Miss. Mabel</t>
  </si>
  <si>
    <t>Skoog, Miss. Margit Elizabeth</t>
  </si>
  <si>
    <t>Skoog, Mr. Wilhelm</t>
  </si>
  <si>
    <t>Skoog, Mrs. William (Anna Bernhardina Karlsson)</t>
  </si>
  <si>
    <t>Slabenoff, Mr. Petco</t>
  </si>
  <si>
    <t>Slocovski, Mr. Selman Francis</t>
  </si>
  <si>
    <t>SOTON/OQ 392086</t>
  </si>
  <si>
    <t>Smiljanic, Mr. Mile</t>
  </si>
  <si>
    <t>Smith, Mr. Thomas</t>
  </si>
  <si>
    <t>Soholt, Mr. Peter Andreas Lauritz Andersen</t>
  </si>
  <si>
    <t>Somerton, Mr. Francis William</t>
  </si>
  <si>
    <t>A.5. 18509</t>
  </si>
  <si>
    <t>Staneff, Mr. Ivan</t>
  </si>
  <si>
    <t>Stankovic, Mr. Ivan</t>
  </si>
  <si>
    <t>Stanley, Miss. Amy Zillah Elsie</t>
  </si>
  <si>
    <t>CA. 2314</t>
  </si>
  <si>
    <t>Stanley, Mr. Edward Roland</t>
  </si>
  <si>
    <t>A/4 45380</t>
  </si>
  <si>
    <t>Stoytcheff, Mr. Ilia</t>
  </si>
  <si>
    <t>Strandberg, Miss. Ida Sofia</t>
  </si>
  <si>
    <t>Stranden, Mr. Juho</t>
  </si>
  <si>
    <t>STON/O 2. 3101288</t>
  </si>
  <si>
    <t>Strom, Miss. Telma Matilda</t>
  </si>
  <si>
    <t>Strom, Mrs. Wilhelm (Elna Matilda Persson)</t>
  </si>
  <si>
    <t>Sunderland, Mr. Victor Francis</t>
  </si>
  <si>
    <t>SOTON/OQ 392089</t>
  </si>
  <si>
    <t>Sundman, Mr. Johan Julian</t>
  </si>
  <si>
    <t>STON/O 2. 3101269</t>
  </si>
  <si>
    <t>Sutehall, Mr. Henry Jr</t>
  </si>
  <si>
    <t>SOTON/OQ 392076</t>
  </si>
  <si>
    <t>Svensson, Mr. Johan</t>
  </si>
  <si>
    <t>Svensson, Mr. Olof</t>
  </si>
  <si>
    <t>Theobald, Mr. Thomas Leonard</t>
  </si>
  <si>
    <t>Thomas, Master. Assad Alexander</t>
  </si>
  <si>
    <t>Thorneycroft, Mr. Percival</t>
  </si>
  <si>
    <t>Thorneycroft, Mrs. Percival (Florence Kate White)</t>
  </si>
  <si>
    <t>Tikkanen, Mr. Juho</t>
  </si>
  <si>
    <t>STON/O 2. 3101293</t>
  </si>
  <si>
    <t>Tobin, Mr. Roger</t>
  </si>
  <si>
    <t>F38</t>
  </si>
  <si>
    <t>Todoroff, Mr. Lalio</t>
  </si>
  <si>
    <t>Tomlin, Mr. Ernest Portage</t>
  </si>
  <si>
    <t>Torber, Mr. Ernst William</t>
  </si>
  <si>
    <t>Tornquist, Mr. William Henry</t>
  </si>
  <si>
    <t>Toufik, Mr. Nakli</t>
  </si>
  <si>
    <t>Touma, Mrs. Darwis (Hanne Youssef Razi)</t>
  </si>
  <si>
    <t>Turcin, Mr. Stjepan</t>
  </si>
  <si>
    <t>Turja, Miss. Anna Sofia</t>
  </si>
  <si>
    <t>Turkula, Mrs. (Hedwig)</t>
  </si>
  <si>
    <t>van Billiard, Mr. Austin Blyler</t>
  </si>
  <si>
    <t>A/5. 851</t>
  </si>
  <si>
    <t>Van Impe, Miss. Catharina</t>
  </si>
  <si>
    <t>Van Impe, Mr. Jean Baptiste</t>
  </si>
  <si>
    <t>Van Impe, Mrs. Jean Baptiste (Rosalie Paula Govaert)</t>
  </si>
  <si>
    <t>van Melkebeke, Mr. Philemon</t>
  </si>
  <si>
    <t>Vande Velde, Mr. Johannes Joseph</t>
  </si>
  <si>
    <t>Vande Walle, Mr. Nestor Cyriel</t>
  </si>
  <si>
    <t>Vanden Steen, Mr. Leo Peter</t>
  </si>
  <si>
    <t>Vander Cruyssen, Mr. Victor</t>
  </si>
  <si>
    <t>Vander Planke, Miss. Augusta Maria</t>
  </si>
  <si>
    <t>Vander Planke, Mr. Leo Edmondus</t>
  </si>
  <si>
    <t>Vander Planke, Mrs. Julius (Emelia Maria Vandemoortele)</t>
  </si>
  <si>
    <t>Vestrom, Miss. Hulda Amanda Adolfina</t>
  </si>
  <si>
    <t>Vovk, Mr. Janko</t>
  </si>
  <si>
    <t>Waelens, Mr. Achille</t>
  </si>
  <si>
    <t>Webber, Mr. James</t>
  </si>
  <si>
    <t>SOTON/OQ 3101316</t>
  </si>
  <si>
    <t>Widegren, Mr. Carl/Charles Peter</t>
  </si>
  <si>
    <t>Wiklund, Mr. Jakob Alfred</t>
  </si>
  <si>
    <t>Willey, Mr. Edward</t>
  </si>
  <si>
    <t>S.O./P.P. 751</t>
  </si>
  <si>
    <t>Williams, Mr. Howard Hugh "Harry"</t>
  </si>
  <si>
    <t>A/5 2466</t>
  </si>
  <si>
    <t>Williams, Mr. Leslie</t>
  </si>
  <si>
    <t>Windelov, Mr. Einar</t>
  </si>
  <si>
    <t>SOTON/OQ 3101317</t>
  </si>
  <si>
    <t>Wiseman, Mr. Phillippe</t>
  </si>
  <si>
    <t>A/4. 34244</t>
  </si>
  <si>
    <t>Yasbeck, Mr. Antoni</t>
  </si>
  <si>
    <t>Yasbeck, Mrs. Antoni (Selini Alexander)</t>
  </si>
  <si>
    <t>Youseff, Mr. Gerious</t>
  </si>
  <si>
    <t>Yousif, Mr. Wazli</t>
  </si>
  <si>
    <t>Yousseff, Mr. Gerious</t>
  </si>
  <si>
    <t>Zabour, Miss. Hileni</t>
  </si>
  <si>
    <t>Zabour, Miss. Thamine</t>
  </si>
  <si>
    <t>Zimmerman, Mr. Leo</t>
  </si>
  <si>
    <t>IS FUNCTIONS</t>
  </si>
  <si>
    <t>MATHEMATICAL</t>
  </si>
  <si>
    <t>CONDITIONAL</t>
  </si>
  <si>
    <t>FIND &amp; SEARCH</t>
  </si>
  <si>
    <t>LOOKUP</t>
  </si>
  <si>
    <t>REFERENCE</t>
  </si>
  <si>
    <t>DATE &amp; TIME</t>
  </si>
  <si>
    <t>STRING</t>
  </si>
  <si>
    <t>MISC.</t>
  </si>
  <si>
    <t>RANK</t>
  </si>
  <si>
    <t>LOGICAL</t>
  </si>
  <si>
    <t>ISBLANK</t>
  </si>
  <si>
    <t>SUM</t>
  </si>
  <si>
    <t>AVERAGEIF</t>
  </si>
  <si>
    <t>FIND</t>
  </si>
  <si>
    <t>MATCH</t>
  </si>
  <si>
    <t>ADDRESS</t>
  </si>
  <si>
    <t>DATE</t>
  </si>
  <si>
    <t>TRIM</t>
  </si>
  <si>
    <t>AREAS</t>
  </si>
  <si>
    <t>AND</t>
  </si>
  <si>
    <t>ISERR</t>
  </si>
  <si>
    <t>AVERAGE</t>
  </si>
  <si>
    <t>SUMIF</t>
  </si>
  <si>
    <t>SEARCH</t>
  </si>
  <si>
    <t>CHOOSE</t>
  </si>
  <si>
    <t>DATEVALUE</t>
  </si>
  <si>
    <t>LEN</t>
  </si>
  <si>
    <t>CHAR</t>
  </si>
  <si>
    <t>RANK.AVG</t>
  </si>
  <si>
    <t>NOT</t>
  </si>
  <si>
    <t>ISERROR</t>
  </si>
  <si>
    <t>AVERAGEA</t>
  </si>
  <si>
    <t>COUNTIF</t>
  </si>
  <si>
    <t>SUBSTITUTE</t>
  </si>
  <si>
    <t>HLOOKUP</t>
  </si>
  <si>
    <t>INDEX</t>
  </si>
  <si>
    <t>TIME</t>
  </si>
  <si>
    <t>ROW</t>
  </si>
  <si>
    <t>CODE</t>
  </si>
  <si>
    <t>RANK.EQ</t>
  </si>
  <si>
    <t>OR</t>
  </si>
  <si>
    <t>ISEVEN</t>
  </si>
  <si>
    <t>COUNT</t>
  </si>
  <si>
    <t>AVERAGEIFS</t>
  </si>
  <si>
    <t>REPLACE</t>
  </si>
  <si>
    <t>VLOOKUP</t>
  </si>
  <si>
    <t>INDIRECT</t>
  </si>
  <si>
    <t>TIMEVALUE</t>
  </si>
  <si>
    <t>LEFT</t>
  </si>
  <si>
    <t>CLEAN</t>
  </si>
  <si>
    <t>XOR</t>
  </si>
  <si>
    <t>ISODD</t>
  </si>
  <si>
    <t>COUNTA</t>
  </si>
  <si>
    <t>SUMIFS</t>
  </si>
  <si>
    <t>OFFSET</t>
  </si>
  <si>
    <t>NOW</t>
  </si>
  <si>
    <t>RIGHT</t>
  </si>
  <si>
    <t>TYPE</t>
  </si>
  <si>
    <t>ISFORMULA</t>
  </si>
  <si>
    <t>MEDIAN</t>
  </si>
  <si>
    <t>COUNTIFS</t>
  </si>
  <si>
    <t>TODAY</t>
  </si>
  <si>
    <t>MID</t>
  </si>
  <si>
    <t>VALUE</t>
  </si>
  <si>
    <t>ISLOGICAL</t>
  </si>
  <si>
    <t>SUMPRODUCT</t>
  </si>
  <si>
    <t>IF</t>
  </si>
  <si>
    <t>YEAR</t>
  </si>
  <si>
    <t>LOWER</t>
  </si>
  <si>
    <t>COLUMN</t>
  </si>
  <si>
    <t>ISNA</t>
  </si>
  <si>
    <t>SUMSQ</t>
  </si>
  <si>
    <t>IFERROR</t>
  </si>
  <si>
    <t>MONTH</t>
  </si>
  <si>
    <t>PROPER</t>
  </si>
  <si>
    <t>ISNUMBER</t>
  </si>
  <si>
    <t>COUNTBLANK</t>
  </si>
  <si>
    <t>IFNA</t>
  </si>
  <si>
    <t>DAY</t>
  </si>
  <si>
    <t>UPPER</t>
  </si>
  <si>
    <t>EXACT</t>
  </si>
  <si>
    <t>ISREF</t>
  </si>
  <si>
    <t>EVEN</t>
  </si>
  <si>
    <t>HOUR</t>
  </si>
  <si>
    <t>CONCAT</t>
  </si>
  <si>
    <t>FORMULATEXT</t>
  </si>
  <si>
    <t>ISTEXT</t>
  </si>
  <si>
    <t>ODD</t>
  </si>
  <si>
    <t>MINUTE</t>
  </si>
  <si>
    <t>REPT</t>
  </si>
  <si>
    <t>ISNONTEXT</t>
  </si>
  <si>
    <t>INT</t>
  </si>
  <si>
    <t>SECOND</t>
  </si>
  <si>
    <t>SHEET</t>
  </si>
  <si>
    <t>LARGE</t>
  </si>
  <si>
    <t>WEEKDAY</t>
  </si>
  <si>
    <t>SHEETS</t>
  </si>
  <si>
    <t>SMALL</t>
  </si>
  <si>
    <t>DAYS</t>
  </si>
  <si>
    <t>TRANSPOSE</t>
  </si>
  <si>
    <t>MAX</t>
  </si>
  <si>
    <t>NETWORKDAYS</t>
  </si>
  <si>
    <t>MAXA</t>
  </si>
  <si>
    <t>WORKDAY</t>
  </si>
  <si>
    <t>MIN</t>
  </si>
  <si>
    <t>MINA</t>
  </si>
  <si>
    <t>MOD</t>
  </si>
  <si>
    <t>RAND</t>
  </si>
  <si>
    <t>RANDBETWEEN</t>
  </si>
  <si>
    <t>SQRT</t>
  </si>
  <si>
    <t>SUBTOTAL</t>
  </si>
  <si>
    <t>Courtesy: ExcelDemy.com</t>
  </si>
  <si>
    <t>Date Format I am using here is UK based. So some of the date values might show as text in your computer. Better to use this workbook at the environment of UK based region system.</t>
  </si>
  <si>
    <t>ISBLANK(value)</t>
  </si>
  <si>
    <t>If a cell is blank, it returns TRUE.</t>
  </si>
  <si>
    <t>If a cell is not blank, it returns FALSE.</t>
  </si>
  <si>
    <t>Values</t>
  </si>
  <si>
    <t>Formulas</t>
  </si>
  <si>
    <t>Result</t>
  </si>
  <si>
    <t>Remarks</t>
  </si>
  <si>
    <t>Orange</t>
  </si>
  <si>
    <t>Cell B7 is not blank, so returns FALSE</t>
  </si>
  <si>
    <t>Cell B8 is not blank, so returns FALSE</t>
  </si>
  <si>
    <t>Cell B9 is not blank, so returns FALSE</t>
  </si>
  <si>
    <t>Cell B10 is blank, so returns TRUE</t>
  </si>
  <si>
    <t xml:space="preserve"> </t>
  </si>
  <si>
    <t>Cell B11 is not blank, it has a space character in it; so returns FALSE</t>
  </si>
  <si>
    <t>King Cobra</t>
  </si>
  <si>
    <t>Cell B12 is not blank, so it returns FALSE</t>
  </si>
  <si>
    <t>Back to LIST OF FUNCTIONS</t>
  </si>
  <si>
    <t>ISERR(value)</t>
  </si>
  <si>
    <t>Checks whether a value is an error (#VALUE!, #REF!, #DIV/0!, #NUM!, #NAME?, or #NULL!) excluding #N/A, and returns TRUE or FALSE</t>
  </si>
  <si>
    <t>Cell B19 has #VALUE! type error, so the formula returns TRUE</t>
  </si>
  <si>
    <t>Cell B20 has #REF! type error, so the formula returns TRUE</t>
  </si>
  <si>
    <t>Cell B21 has #DIV/0!! type error, so the formula returns TRUE</t>
  </si>
  <si>
    <t>Cell B22 has #NUM! type error, so the formula returns TRUE</t>
  </si>
  <si>
    <t>Cell B23 has #NAME? type error, so the formula returns TRUE</t>
  </si>
  <si>
    <t>Cell B24 has #NULL! type error, so the formula returns TRUE</t>
  </si>
  <si>
    <t>Cell B19 has #N/A type error, so the formula returns FALSE</t>
  </si>
  <si>
    <t>Apple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</si>
  <si>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</si>
  <si>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</si>
  <si>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</si>
  <si>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</si>
  <si>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</si>
  <si>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</si>
  <si>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</si>
  <si>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</si>
  <si>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</si>
  <si>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B39 has #N/A type error, so the formula returns TRUE</t>
  </si>
  <si>
    <t>Cell 40 has a text, so the formula returns FALSE</t>
  </si>
  <si>
    <t>ISEVEN(value)</t>
  </si>
  <si>
    <t>Retursn TRUE if the number is even</t>
  </si>
  <si>
    <t>The number is not even, so the formula returns FALSE.</t>
  </si>
  <si>
    <t>The number is even, so the formula returns TRUE.</t>
  </si>
  <si>
    <t>81/9</t>
  </si>
  <si>
    <t>The cell has a text value, so the formula returns the #VALUE! type error.</t>
  </si>
  <si>
    <t>Excel 2013</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</si>
  <si>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</si>
  <si>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</si>
  <si>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</si>
  <si>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</si>
  <si>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</si>
  <si>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</si>
  <si>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The cell B72 holds formula =TODAY(), so the formula returns TRUE.</t>
  </si>
  <si>
    <t>The cell B73 holds a date value, so the formula returns FALSE.</t>
  </si>
  <si>
    <t>The cell B74 holds =NOW() formula, so the formula returns TRUE.</t>
  </si>
  <si>
    <t>Kawser Ahmed</t>
  </si>
  <si>
    <t>The cell B75 holds a text, so the formula returns FALSE.</t>
  </si>
  <si>
    <t>Marissa Kawser</t>
  </si>
  <si>
    <t>The cell B76 holds a text, so the formula returns FALSE.</t>
  </si>
  <si>
    <t>ISLOGICAL(value)</t>
  </si>
  <si>
    <t>Checks whether a values is a logical value (TRUE or FALSE), and returns TRUE or FALSE</t>
  </si>
  <si>
    <t>The cell B84 holds logical value TRUE, so the formula returns TRUE.</t>
  </si>
  <si>
    <t>The cell B85 holds logical value FALSE, so the formula returns TRUE.</t>
  </si>
  <si>
    <t>"TRUE"</t>
  </si>
  <si>
    <t>The cell B86 holds a text value, so the formula returns FALSE.</t>
  </si>
  <si>
    <t>=ISLOGICAL(B1=B2)</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</si>
  <si>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</si>
  <si>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</si>
  <si>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</si>
  <si>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</si>
  <si>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</si>
  <si>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</si>
  <si>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</si>
  <si>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</si>
  <si>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</si>
  <si>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</si>
  <si>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B106 holds a text value, so the formula returns FALSE.</t>
  </si>
  <si>
    <t>Cell B107 holds value 15, so the formula returns TRUE.</t>
  </si>
  <si>
    <t>Cell B108 holds #VALUE! type error, so the formula returns FALSE.</t>
  </si>
  <si>
    <t>Cell B109 holds value 89 (though it is formatted as a text value), so the formula returns TRUE.</t>
  </si>
  <si>
    <t>Cell B110 holds a date value and a date is a number in Excel system, so the formula returns TRUE.</t>
  </si>
  <si>
    <t>ISREF(value)</t>
  </si>
  <si>
    <t>Checks whether a value is a reference, and returns TRUE or FALSE</t>
  </si>
  <si>
    <t>=ISREF(B1)</t>
  </si>
  <si>
    <t>B1 is a cell reference, so the formula returns TRUE.</t>
  </si>
  <si>
    <t>=ISREF(B1: B10)</t>
  </si>
  <si>
    <t>B1: B10 is range reference, so the formula returns TRUE.</t>
  </si>
  <si>
    <t>=ISREF(B1: D4 C1: C5)</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</si>
  <si>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</si>
  <si>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</si>
  <si>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</si>
  <si>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</si>
  <si>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</si>
  <si>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</si>
  <si>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</si>
  <si>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Cell B130 holds a text value, so the formula returns TRUE.</t>
  </si>
  <si>
    <t>21 Wise Men</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</si>
  <si>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</si>
  <si>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</si>
  <si>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</si>
  <si>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</si>
  <si>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</si>
  <si>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Cell B141 holds a non-text value, so the formula returns TRUE.</t>
  </si>
  <si>
    <t>Peter</t>
  </si>
  <si>
    <t>Cell B142 holds a text value, so the formula returns FALSE.</t>
  </si>
  <si>
    <t>Cell B143 holds a non-text value, so the formula returns TRUE.</t>
  </si>
  <si>
    <t>Cell B144 holds a non-text value, so the formula returns TRUE.</t>
  </si>
  <si>
    <t>=AVERAGEIF(range, criteria, [average_range])</t>
  </si>
  <si>
    <t>Finds average (arithmetic mean) for the cells specified by a given condition or criteria</t>
  </si>
  <si>
    <t>Region</t>
  </si>
  <si>
    <t>Sales</t>
  </si>
  <si>
    <t>Formula</t>
  </si>
  <si>
    <t>East</t>
  </si>
  <si>
    <t>Average of all the Sales for East region.</t>
  </si>
  <si>
    <t>West</t>
  </si>
  <si>
    <t>Average of all the Sales for North region.</t>
  </si>
  <si>
    <t>North</t>
  </si>
  <si>
    <t>Average of all the Sales for North region (including North (New Office) region).</t>
  </si>
  <si>
    <t>South</t>
  </si>
  <si>
    <t>Average of all the Sales for the New Offices.</t>
  </si>
  <si>
    <t>Mid West</t>
  </si>
  <si>
    <t>Average of all the Sales for the values greater than or equal to 4.</t>
  </si>
  <si>
    <t>South New Office</t>
  </si>
  <si>
    <t>Average of all the Sales for the values equal to 5.</t>
  </si>
  <si>
    <t>Average of all the Sales for the values equal to TRUE statement.</t>
  </si>
  <si>
    <t>Average of all the Sales for the values equal to FALSE statement.</t>
  </si>
  <si>
    <t>North New Office</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</si>
  <si>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</si>
  <si>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</si>
  <si>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</si>
  <si>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</si>
  <si>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</si>
  <si>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</si>
  <si>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</si>
  <si>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</si>
  <si>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</si>
  <si>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</si>
  <si>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</si>
  <si>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</si>
  <si>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</si>
  <si>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</si>
  <si>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</si>
  <si>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</si>
  <si>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</si>
  <si>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</si>
  <si>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Count the number of cells with values less than 10 or  greater than 5.</t>
  </si>
  <si>
    <t>AVERAGEIFS(average_range, criteria_range1, criteria1, [criteria_range2, criteria2], [criteria_range3, criteria3], …)</t>
  </si>
  <si>
    <t>Finds average (arithmetic mean) for the cells specified by a given set of conditions or criteria</t>
  </si>
  <si>
    <t>Product</t>
  </si>
  <si>
    <t>Sales Person</t>
  </si>
  <si>
    <t>Quantity Sold</t>
  </si>
  <si>
    <t>Tom</t>
  </si>
  <si>
    <t>Average Quantity Sold of Apple product by Sales Person Tom.</t>
  </si>
  <si>
    <t>Jon</t>
  </si>
  <si>
    <t>Average Quantity Sold of Banana product by Sales Person Marissa. Marissa didn't sell Banana. So #DIV/0! error is showing in the cell.</t>
  </si>
  <si>
    <t>Marissa</t>
  </si>
  <si>
    <t>Average Quantity Sold of Carrot product by Sales Person Marissa.</t>
  </si>
  <si>
    <t>Carrot</t>
  </si>
  <si>
    <t>Kawser</t>
  </si>
  <si>
    <t>Banana</t>
  </si>
  <si>
    <t>Khan</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</si>
  <si>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</si>
  <si>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</si>
  <si>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</si>
  <si>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</si>
  <si>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</si>
  <si>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</si>
  <si>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</si>
  <si>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</si>
  <si>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</si>
  <si>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</si>
  <si>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</si>
  <si>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</si>
  <si>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</si>
  <si>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</si>
  <si>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</si>
  <si>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</si>
  <si>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</si>
  <si>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</si>
  <si>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</si>
  <si>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</si>
  <si>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</si>
  <si>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</si>
  <si>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</si>
  <si>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</si>
  <si>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</si>
  <si>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</si>
  <si>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</si>
  <si>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</si>
  <si>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VLOOKUP function returns #N/A error when it does not find value. When #N/A is returned, IFNA function returns the value of the value_if_na expression.</t>
  </si>
  <si>
    <t>Gulshan</t>
  </si>
  <si>
    <t>Dhamrai</t>
  </si>
  <si>
    <t>Motijheel</t>
  </si>
  <si>
    <t>Khilgaon</t>
  </si>
  <si>
    <t>SUM(number1, [number2], [number3], [number4], …)</t>
  </si>
  <si>
    <t>Adds all the numbers in a range of cells</t>
  </si>
  <si>
    <t>When you take a range as the SUM function's argument, it neglects Text values, and TRUE or FALSE statements.</t>
  </si>
  <si>
    <t xml:space="preserve">In this formula, "5" is first translated into a number, TRUE is translated into 1, and FALSE is translated into 0. </t>
  </si>
  <si>
    <t>5</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</si>
  <si>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</si>
  <si>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</si>
  <si>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</si>
  <si>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</si>
  <si>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</si>
  <si>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</si>
  <si>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</si>
  <si>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</si>
  <si>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</si>
  <si>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r>
      <rPr>
        <rFont val="Calibri"/>
        <color rgb="FF7F7F7F"/>
        <sz val="10.0"/>
      </rPr>
      <t xml:space="preserve">Counts the number of cells in a range that contain </t>
    </r>
    <r>
      <rPr>
        <rFont val="Calibri"/>
        <b/>
        <i/>
        <color rgb="FFFF0000"/>
        <sz val="10.0"/>
      </rPr>
      <t>numbers</t>
    </r>
  </si>
  <si>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</si>
  <si>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</si>
  <si>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</si>
  <si>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</si>
  <si>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</si>
  <si>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MEDIAN(number1, [number2], [number3], …)</t>
  </si>
  <si>
    <t>Returns the median, or the number in the middle of the set of given numbers</t>
  </si>
  <si>
    <t>Data 1</t>
  </si>
  <si>
    <t>Data 2</t>
  </si>
  <si>
    <t>From number 1 to 7, median is 4.</t>
  </si>
  <si>
    <t>From number 1 to 8, median is (4+5)/2 = 4.5</t>
  </si>
  <si>
    <t>For this data set median is 12. Arrange the data set in ascending order, you will get the median.</t>
  </si>
  <si>
    <t>SUMPRODUCT(array1, [array2], [array3], …)</t>
  </si>
  <si>
    <t>Retursn the sum of the products of corresponding ranges or arrays</t>
  </si>
  <si>
    <t>Products</t>
  </si>
  <si>
    <t>4*10 + 5*20 + 6*10 = 200</t>
  </si>
  <si>
    <t>Finds the total Sales by Sales Person Jon in the West Region.</t>
  </si>
  <si>
    <t>Dipa</t>
  </si>
  <si>
    <t>Neri</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</si>
  <si>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</si>
  <si>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</si>
  <si>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</si>
  <si>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</si>
  <si>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</si>
  <si>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</si>
  <si>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</si>
  <si>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</si>
  <si>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Greater than 1.5 and nearest even number  is 2</t>
  </si>
  <si>
    <t>Greater than 3 and nearest even number is 4</t>
  </si>
  <si>
    <t>Rounds 2 to the nearest even integer</t>
  </si>
  <si>
    <t>Less than -1 and nearest even integer is -2</t>
  </si>
  <si>
    <t>ODD(number)</t>
  </si>
  <si>
    <t>Rounds a positive number up and negative number down to the nearest odd integer.</t>
  </si>
  <si>
    <t>Greater than 1.5 and nearest odd number is 2</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</si>
  <si>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</si>
  <si>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</si>
  <si>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</si>
  <si>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</si>
  <si>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</si>
  <si>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</si>
  <si>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</si>
  <si>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</si>
  <si>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</si>
  <si>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</si>
  <si>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</si>
  <si>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</si>
  <si>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</si>
  <si>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</si>
  <si>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</si>
  <si>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</si>
  <si>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</si>
  <si>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</si>
  <si>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</si>
  <si>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</si>
  <si>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range C221: C228, MAX function returns 0.95. It ignores the TRUE, FALSE and Text values.</t>
  </si>
  <si>
    <t>In the same range C221: C228, MAXA function returns 1. It evaluates TRUE statement as 1 and it is the highest value in the range.</t>
  </si>
  <si>
    <t>In the range B221: C228, highest value is 15.</t>
  </si>
  <si>
    <t>MIN(number1, [number2], [number3], [number4], …)</t>
  </si>
  <si>
    <t>Returns the smallest number in a set of values. Ignores logical values and text</t>
  </si>
  <si>
    <t>MINA(value1, [value2], [value3], [value4], …)</t>
  </si>
  <si>
    <t>Returns the smallest value in a set of values. Does not ignore logical values and text. MAXA function evaluates TRUE as 1, FALSE as 0 and any Text value as 0. Empty cells are ignored</t>
  </si>
  <si>
    <t>In the range C256: C263, MIN function returns 0.25.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</si>
  <si>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</si>
  <si>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</si>
  <si>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</si>
  <si>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</si>
  <si>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</si>
  <si>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</si>
  <si>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</si>
  <si>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</si>
  <si>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</si>
  <si>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</si>
  <si>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</si>
  <si>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</si>
  <si>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</si>
  <si>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The formula returns a random number between 100 and 200 in multiples of 10.</t>
  </si>
  <si>
    <t>SQRT(number)</t>
  </si>
  <si>
    <t>Returns the square root of a number</t>
  </si>
  <si>
    <t>Returns the square root of number 49</t>
  </si>
  <si>
    <t>Returns the square root of number 625</t>
  </si>
  <si>
    <t>Returns the square root of number 50</t>
  </si>
  <si>
    <t>Returns #NUM! type error as you cannot find out the square root of a negative number.</t>
  </si>
  <si>
    <t>SUBTOTAL(function_num, ref1, [ref2], [ref3], …)</t>
  </si>
  <si>
    <t>Returns a subtotal in a list or database</t>
  </si>
  <si>
    <t>function_num
(Includes Hidden
Values)</t>
  </si>
  <si>
    <t>function_num
(Ignores Hidden Values)</t>
  </si>
  <si>
    <t>function</t>
  </si>
  <si>
    <t>PRODUCT</t>
  </si>
  <si>
    <t>STDEV</t>
  </si>
  <si>
    <t>STDEVP</t>
  </si>
  <si>
    <t>VAR</t>
  </si>
  <si>
    <t>VARP</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</si>
  <si>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</si>
  <si>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</si>
  <si>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</si>
  <si>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</si>
  <si>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</si>
  <si>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</si>
  <si>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</si>
  <si>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</si>
  <si>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</si>
  <si>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</si>
  <si>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</si>
  <si>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</si>
  <si>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</si>
  <si>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</si>
  <si>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</si>
  <si>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"Jon" come here</t>
  </si>
  <si>
    <t>The "boss" is here</t>
  </si>
  <si>
    <t>Returns the position of the first "R" counting from position 1. "R" and "r" are same here. As SEARCH is not case-sensitive.</t>
  </si>
  <si>
    <t>Position of the first space in the cell B34.</t>
  </si>
  <si>
    <t>Position of the first double quotes in the cell B35.</t>
  </si>
  <si>
    <t>SUBSTITUTE(text, old_text, new_text, [instance_num])</t>
  </si>
  <si>
    <t>Replaces existing text with new text in a text string</t>
  </si>
  <si>
    <t>Quantity Sold Sold</t>
  </si>
  <si>
    <t>"Sold" text is replaced by "Bought" text in every instance.</t>
  </si>
  <si>
    <t>Year 2008</t>
  </si>
  <si>
    <t>"Sold" text is replaced by "Bought" text for the first instance.</t>
  </si>
  <si>
    <t>Year 2009</t>
  </si>
  <si>
    <t>"Sold" text is replaced by "Bought" text for the second stance.</t>
  </si>
  <si>
    <t>"08" text is replaced by "13" text.</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</si>
  <si>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</si>
  <si>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</si>
  <si>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</si>
  <si>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</si>
  <si>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</si>
  <si>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</si>
  <si>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</si>
  <si>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</si>
  <si>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</si>
  <si>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</si>
  <si>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</si>
  <si>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</si>
  <si>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</si>
  <si>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</si>
  <si>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</si>
  <si>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</si>
  <si>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Count1
(Ascending)</t>
  </si>
  <si>
    <t>Count2
(Descending)</t>
  </si>
  <si>
    <t>Count3
(No Order)</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</si>
  <si>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</si>
  <si>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</si>
  <si>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</si>
  <si>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Pears</t>
  </si>
  <si>
    <t>The array is in descending order. And match_type is -1. The formula returns 1 as there is no value as 41 in the array. So the smallest value greater than or equal to 41 is at position 1.</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</si>
  <si>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</si>
  <si>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</si>
  <si>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</si>
  <si>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</si>
  <si>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Serial</t>
  </si>
  <si>
    <t>Part Price</t>
  </si>
  <si>
    <t>Status</t>
  </si>
  <si>
    <t>A001</t>
  </si>
  <si>
    <t>In Stock</t>
  </si>
  <si>
    <t>Looking up value A003 in the range B22: B27 and then showing result from range D22: D27.</t>
  </si>
  <si>
    <t>A002</t>
  </si>
  <si>
    <t>Looking up value 20 in the range C22: C27 and then showing result from range D22: D27.</t>
  </si>
  <si>
    <t>A003</t>
  </si>
  <si>
    <t>Looking up value 25 in the range C22: C27. No value 25. The function matches the nearest smaller values; it is 20. So the formula returns 500 as the result.</t>
  </si>
  <si>
    <t>A004</t>
  </si>
  <si>
    <t>Looking up value 5 in the range C22: C27. No value 5. The function tries to match the nearest smaller values; it does not find. So the formula shows error.</t>
  </si>
  <si>
    <t>A005</t>
  </si>
  <si>
    <t>A006</t>
  </si>
  <si>
    <t>HLOOKUP(lookup_value, table_array, row_index_num, [range_lookup])</t>
  </si>
  <si>
    <t>Looks for a value in the top row of a table or array of values and return the value in the same column from a row you specify</t>
  </si>
  <si>
    <t>Month</t>
  </si>
  <si>
    <t>Axles</t>
  </si>
  <si>
    <t>Bearings</t>
  </si>
  <si>
    <t>Bolts</t>
  </si>
  <si>
    <t>Jan</t>
  </si>
  <si>
    <t>Looks up "Axles" in row 1, and returns the value from row 2 that's in the same column (column C).</t>
  </si>
  <si>
    <t>Feb</t>
  </si>
  <si>
    <t>Looks up "Bearings" in row 1, and returns the value from row 3 that's in the same column (column D).</t>
  </si>
  <si>
    <t>Mar</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</si>
  <si>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</si>
  <si>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</si>
  <si>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</si>
  <si>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</si>
  <si>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</si>
  <si>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</si>
  <si>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</si>
  <si>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</si>
  <si>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</si>
  <si>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</si>
  <si>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</si>
  <si>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In the range C59: F64, the formula looks up "Leal" in the first column, when found it shows the Title of Leal at 3rd column in the same row. FALSE returns an exact match.</t>
  </si>
  <si>
    <t>Fontana</t>
  </si>
  <si>
    <t>Olivier</t>
  </si>
  <si>
    <t>V.P. of Sales</t>
  </si>
  <si>
    <t>In the range B59: F64, the formula looks up value 111 in the frist column, when found it shows the Birth Date at 5th column in the same row. FALSE returns an exact match.</t>
  </si>
  <si>
    <t>Leal</t>
  </si>
  <si>
    <t>Karina</t>
  </si>
  <si>
    <t>There is no ID as 110 in the first column of range B59: F64 and the VLOOKUP function will return an exact match. So the function returns #N/A.</t>
  </si>
  <si>
    <t>Patten</t>
  </si>
  <si>
    <t>Michael</t>
  </si>
  <si>
    <t>Manager</t>
  </si>
  <si>
    <t>There is no ID as 114 in the first column of range B59: F64, but the VLOOKUP function will return an appropriate match, VLOOKUP function returns the Title of ID 111. 111 is the nearest value of 114 and less than 114.</t>
  </si>
  <si>
    <t>Burke</t>
  </si>
  <si>
    <t>Brian</t>
  </si>
  <si>
    <t>Sales Mgr.</t>
  </si>
  <si>
    <t>Sousa</t>
  </si>
  <si>
    <t>Luis</t>
  </si>
  <si>
    <t>TRUE (Approximate Match):</t>
  </si>
  <si>
    <t>If range_lookup is TRUE, VLOOKUP will find the closest match that is less than or equal to the lookup_value in the first column of table_array. The first column of table_array must be sorted in ascending order. This is crucial because VLOOKUP will match the first occurrence it finds that meets the criteria.</t>
  </si>
  <si>
    <t>If an exact match is not found, VLOOKUP uses the closest match below the lookup_value both for numerical and text columns. This is useful for finding approximate matches in data such as tax tables, where you might want to find the tax rate for a particular income bracket.</t>
  </si>
  <si>
    <t>Example: =VLOOKUP(A1, B1:C10, 2, TRUE)</t>
  </si>
  <si>
    <t>ADDRESS(row_num, column_num, [abs_num], [a1], [sheet_text])</t>
  </si>
  <si>
    <t>Creates a cell reference as text, given specified row and column numbers</t>
  </si>
  <si>
    <t>abs_num</t>
  </si>
  <si>
    <t>Returns this type of reference</t>
  </si>
  <si>
    <t>1 or Omitted</t>
  </si>
  <si>
    <t>Absolute</t>
  </si>
  <si>
    <t>Absolute and A1-style reference</t>
  </si>
  <si>
    <t>Absolute Row/ Relative Column</t>
  </si>
  <si>
    <t>Absolute Row, Relative Column and A1-style cell reference.</t>
  </si>
  <si>
    <t>Relative Row/ Absolute Column</t>
  </si>
  <si>
    <t>Absolute Row, Relative Column and R1C1 style cell reference.</t>
  </si>
  <si>
    <t>Relative</t>
  </si>
  <si>
    <t>Absolute and R1C1 style cell reference with workbook and sheet name.</t>
  </si>
  <si>
    <t>Relative and R1C1 style cell referecne with Worksheet name.</t>
  </si>
  <si>
    <t>a1</t>
  </si>
  <si>
    <t>Reference Style</t>
  </si>
  <si>
    <t>TRUE or Omitted</t>
  </si>
  <si>
    <t>A1 Style</t>
  </si>
  <si>
    <t>R1C1 Style</t>
  </si>
  <si>
    <t>CHOOSE(index_num, value1, [value2], [value3], …)</t>
  </si>
  <si>
    <t>Chooses a value or action to perform from a list of values, based on an index number</t>
  </si>
  <si>
    <t>Value of the 3rd list argument (value of cell B23)</t>
  </si>
  <si>
    <t>Excel</t>
  </si>
  <si>
    <t>Value of the 5th list argument (value of cell B25)</t>
  </si>
  <si>
    <t>Excel BI</t>
  </si>
  <si>
    <t>Power Query</t>
  </si>
  <si>
    <t>Power Pivot</t>
  </si>
  <si>
    <t>Power Map</t>
  </si>
  <si>
    <t>Array Form:</t>
  </si>
  <si>
    <t>INDEX(array, row_num, [column_num])</t>
  </si>
  <si>
    <t>Return the value of a specified cell or array of cells</t>
  </si>
  <si>
    <t>Reference Form:</t>
  </si>
  <si>
    <t>INDEX(reference, row_num, [column_num], [area_num])</t>
  </si>
  <si>
    <t>Returns a reference to specified cells</t>
  </si>
  <si>
    <t>Array Form Example</t>
  </si>
  <si>
    <t>Apples</t>
  </si>
  <si>
    <t>Lemons</t>
  </si>
  <si>
    <t xml:space="preserve">INDEX function in Array format. </t>
  </si>
  <si>
    <t>Bananas</t>
  </si>
  <si>
    <t>INDEX function in Array format and entered as Array formula. Returns the entire 1st column of the range.</t>
  </si>
  <si>
    <t>Reference Form Example</t>
  </si>
  <si>
    <t>Fruit 1</t>
  </si>
  <si>
    <t>Price</t>
  </si>
  <si>
    <t>Count</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</si>
  <si>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</si>
  <si>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</si>
  <si>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</si>
  <si>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Oranges</t>
  </si>
  <si>
    <t>Fruit 2</t>
  </si>
  <si>
    <t>Almonds</t>
  </si>
  <si>
    <t>Cashews</t>
  </si>
  <si>
    <t>Peanuts</t>
  </si>
  <si>
    <t>Walnuts</t>
  </si>
  <si>
    <t>INDIRECT(ref_text, [a1])</t>
  </si>
  <si>
    <t>Returns the reference specified by a text string</t>
  </si>
  <si>
    <t>C89</t>
  </si>
  <si>
    <t>In cell B89, there is a cell reference C89. C89 holds data Marissa. So the formula returns Marissa.</t>
  </si>
  <si>
    <t>INDIRECT function is directly referring to cell C90.</t>
  </si>
  <si>
    <t>Same as the first formula.</t>
  </si>
  <si>
    <t>Sales_Data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</si>
  <si>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</si>
  <si>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</si>
  <si>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</si>
  <si>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</si>
  <si>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</si>
  <si>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Reference point is cell B104. Then goes 2 cells up and reach cell B102, then go 2 cells right and reach cell D102, the height and width is 1 and 1. So the formula returns 7</t>
  </si>
  <si>
    <t>Sum of the cells of the range C103: D104</t>
  </si>
  <si>
    <t>Sum of all the cells in the range B101: D108</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</si>
  <si>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</si>
  <si>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</si>
  <si>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</si>
  <si>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</si>
  <si>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</si>
  <si>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</si>
  <si>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</si>
  <si>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</si>
  <si>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25/ 10 / 2015 into the Excel Date-Time system equivalent number</t>
  </si>
  <si>
    <t>Converts the date 22 May,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</si>
  <si>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</si>
  <si>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</si>
  <si>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</si>
  <si>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</si>
  <si>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</si>
  <si>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</si>
  <si>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</si>
  <si>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</si>
  <si>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</si>
  <si>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</si>
  <si>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</si>
  <si>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</si>
  <si>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</si>
  <si>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</si>
  <si>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</si>
  <si>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</si>
  <si>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</si>
  <si>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</si>
  <si>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</si>
  <si>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</si>
  <si>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YEAR, MONTH, DAY, HOUR, MINUTE and SECOND Functions</t>
  </si>
  <si>
    <t>All of these functions take one argument: serial_number</t>
  </si>
  <si>
    <t>Function Name</t>
  </si>
  <si>
    <t>What it does</t>
  </si>
  <si>
    <t>YEAR(…)</t>
  </si>
  <si>
    <t>Returns the year of a date, an integer in the range 1900-9999</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</si>
  <si>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</si>
  <si>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</si>
  <si>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</si>
  <si>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</si>
  <si>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</si>
  <si>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</si>
  <si>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</si>
  <si>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</si>
  <si>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</si>
  <si>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</si>
  <si>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</si>
  <si>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</si>
  <si>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</si>
  <si>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</si>
  <si>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</si>
  <si>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No return type is passed. So it evaluates Sunday as 1, Monday as 2 and so on.</t>
  </si>
  <si>
    <t>Numbers 1 (Monday) through 7 (Sunday).</t>
  </si>
  <si>
    <t>Return type is 16, so the function evaluates Saturday as 1, Sunday as 2 and so on.</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</si>
  <si>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</si>
  <si>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</si>
  <si>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</si>
  <si>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</si>
  <si>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</si>
  <si>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</si>
  <si>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</si>
  <si>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DAYS(end_date, start_date)</t>
  </si>
  <si>
    <t>Returns the number of days between the two dates</t>
  </si>
  <si>
    <t>End Date</t>
  </si>
  <si>
    <t>Start Date</t>
  </si>
  <si>
    <t>Returns the difference between two dates in days.</t>
  </si>
  <si>
    <t>NETWORKDAYS(start_date, end_date, [holidays])</t>
  </si>
  <si>
    <t>Returns the number of whole workdays between two dates</t>
  </si>
  <si>
    <t>Date</t>
  </si>
  <si>
    <t>Description</t>
  </si>
  <si>
    <t>Start date of project</t>
  </si>
  <si>
    <t>The total days you will get to finish the project without considering the holidays.</t>
  </si>
  <si>
    <t>End date of project</t>
  </si>
  <si>
    <t>The total days you will get to finish the project considering the holidays.</t>
  </si>
  <si>
    <t>Holiday</t>
  </si>
  <si>
    <t>WORKDAY(start_date, days, [holidays])</t>
  </si>
  <si>
    <t>Returns the serial number of the date before or after a specified number of workdays</t>
  </si>
  <si>
    <t>Days to Complete the work</t>
  </si>
  <si>
    <t>The finishing date of the work is 7 August, 2015 if you don't consider the holidays.</t>
  </si>
  <si>
    <t>Holidays</t>
  </si>
  <si>
    <t>The finishing date of the work is 10 August, 2015 if you consider the holidays.</t>
  </si>
  <si>
    <t>AREAS(reference)</t>
  </si>
  <si>
    <t>Returns the number of areas in a reference. An area is range of contiguous cells or a single cell</t>
  </si>
  <si>
    <t>Number of areas in the range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</si>
  <si>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</si>
  <si>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</si>
  <si>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</si>
  <si>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</si>
  <si>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</si>
  <si>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</si>
  <si>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</si>
  <si>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</si>
  <si>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</si>
  <si>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</si>
  <si>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CLEAN(text)</t>
  </si>
  <si>
    <t>Removes all non-printable characters from text</t>
  </si>
  <si>
    <t>Examples of Non-Printable Characters are: Tab, New Line characters. Their codes are 9 and 10</t>
  </si>
  <si>
    <t>This formula cleans up the TAB and NEW LINE non-printable characters from the text.</t>
  </si>
  <si>
    <t>TRIM(text)</t>
  </si>
  <si>
    <t>Removes all spaces from a text string except for single spaces between words</t>
  </si>
  <si>
    <t xml:space="preserve">    Excel      Dashboard</t>
  </si>
  <si>
    <t>Removes all the spaces except for single spaces between words</t>
  </si>
  <si>
    <t xml:space="preserve">         Titas        Gas</t>
  </si>
  <si>
    <t>LEN(text)</t>
  </si>
  <si>
    <t>Returns the number of characters in a text string</t>
  </si>
  <si>
    <t>Microsoft Excel</t>
  </si>
  <si>
    <t>Total 15 characters in the cell B30</t>
  </si>
  <si>
    <t>No characters in the cell B31</t>
  </si>
  <si>
    <t xml:space="preserve">    </t>
  </si>
  <si>
    <t>4 Space characters in the cell B32</t>
  </si>
  <si>
    <t>One</t>
  </si>
  <si>
    <t>Before Marissa there are 3 space characters.</t>
  </si>
  <si>
    <t xml:space="preserve">   Marissa</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</si>
  <si>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</si>
  <si>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</si>
  <si>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</si>
  <si>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</si>
  <si>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</si>
  <si>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</si>
  <si>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</si>
  <si>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</si>
  <si>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</si>
  <si>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</si>
  <si>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</si>
  <si>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</si>
  <si>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</si>
  <si>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Not exactly same.</t>
  </si>
  <si>
    <t>eXcel</t>
  </si>
  <si>
    <t xml:space="preserve">Excel </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</si>
  <si>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</si>
  <si>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</si>
  <si>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</si>
  <si>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</si>
  <si>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</si>
  <si>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</si>
  <si>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</si>
  <si>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</si>
  <si>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Returns the specified number of characters from the start of a text string</t>
  </si>
  <si>
    <t>MID(text, start_num, num_chars)</t>
  </si>
  <si>
    <t>Returns the characters from the middle of a text string, given a starting position and length</t>
  </si>
  <si>
    <t>RIGHT(text, [num_chars])</t>
  </si>
  <si>
    <t>Returns the specified number of characters from the end of a text string</t>
  </si>
  <si>
    <t>Results</t>
  </si>
  <si>
    <t>Excel Dashboard</t>
  </si>
  <si>
    <t>Shows the first 5 characters from the cell B106.</t>
  </si>
  <si>
    <t>Shows all the characters from the cell B106.</t>
  </si>
  <si>
    <t>Excel BI Tools</t>
  </si>
  <si>
    <t>Shows only the Dashboard part of cell B106.</t>
  </si>
  <si>
    <t xml:space="preserve">Shows nothing as start_num 50 is not for the cell B106. </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</si>
  <si>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</si>
  <si>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</si>
  <si>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</si>
  <si>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</si>
  <si>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</si>
  <si>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</si>
  <si>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</si>
  <si>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Converts all letters to lowercase.</t>
  </si>
  <si>
    <t>marissa kawser</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</si>
  <si>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</si>
  <si>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</si>
  <si>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</si>
  <si>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</si>
  <si>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</si>
  <si>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</si>
  <si>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</si>
  <si>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</si>
  <si>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The SHEET function syntax has the following arguments.</t>
  </si>
  <si>
    <r>
      <rPr>
        <rFont val="Wingdings"/>
        <color theme="1"/>
        <sz val="10.0"/>
      </rPr>
      <t>n</t>
    </r>
    <r>
      <rPr>
        <rFont val="Calibri"/>
        <color theme="1"/>
        <sz val="10.0"/>
      </rPr>
      <t xml:space="preserve"> </t>
    </r>
    <r>
      <rPr>
        <rFont val="Calibri"/>
        <b/>
        <color theme="1"/>
        <sz val="10.0"/>
      </rPr>
      <t>Value</t>
    </r>
    <r>
      <rPr>
        <rFont val="Calibri"/>
        <color theme="1"/>
        <sz val="10.0"/>
      </rPr>
      <t>    Optional. Value is the name of a sheet or a reference for which you want the sheet number. If value is omitted, SHEET returns the number of the sheet that contains the function.</t>
    </r>
  </si>
  <si>
    <t>Sheet</t>
  </si>
  <si>
    <t>LIST OF FUNCTIONS</t>
  </si>
  <si>
    <t>Showing the Sheet number of "LIST OF FUNCTIONS" worksheet.</t>
  </si>
  <si>
    <t>List of Functions</t>
  </si>
  <si>
    <t>Showing the Sheet number of the current worksheet.</t>
  </si>
  <si>
    <t>Showing the Sheet number where the Sales_Data named range available.</t>
  </si>
  <si>
    <t>Showing the Sheet number of DATE &amp; TIME worksheet.</t>
  </si>
  <si>
    <t>SHEETS([reference])</t>
  </si>
  <si>
    <t>Returns the number of sheets in a reference</t>
  </si>
  <si>
    <t>The SHEETS function syntax has the following arguments.</t>
  </si>
  <si>
    <r>
      <rPr>
        <rFont val="Wingdings"/>
        <color theme="1"/>
        <sz val="10.0"/>
      </rPr>
      <t>n</t>
    </r>
    <r>
      <rPr>
        <rFont val="Calibri"/>
        <color theme="1"/>
        <sz val="10.0"/>
      </rPr>
      <t xml:space="preserve"> </t>
    </r>
    <r>
      <rPr>
        <rFont val="Calibri"/>
        <b/>
        <color theme="1"/>
        <sz val="10.0"/>
      </rPr>
      <t>Reference</t>
    </r>
    <r>
      <rPr>
        <rFont val="Calibri"/>
        <color theme="1"/>
        <sz val="10.0"/>
      </rPr>
      <t>    Optional. Reference is a reference for which you want to know the number of sheets it contains. If Reference is omitted, SHEETS returns the number of sheets in the workbook that contains the function.</t>
    </r>
  </si>
  <si>
    <t>The formula returns the total number of worksheets in this workbook.</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</si>
  <si>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</si>
  <si>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</si>
  <si>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</si>
  <si>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</si>
  <si>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</si>
  <si>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</si>
  <si>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</si>
  <si>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</si>
  <si>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the value in B236. The Text type is indicated by 2.</t>
  </si>
  <si>
    <t>Returns the type of "Mrs. Marissa", which is a Text.</t>
  </si>
  <si>
    <t>100/0 returns an error value. So the formula returns 16.</t>
  </si>
  <si>
    <t>Returns the type of an array constant, which is 64.</t>
  </si>
  <si>
    <t>VALUE(text)</t>
  </si>
  <si>
    <t>Converts a text string that represents a number to a number</t>
  </si>
  <si>
    <t>Converts the value in cell B255 into a number.</t>
  </si>
  <si>
    <t>Converts the value in cell B256 into a number.</t>
  </si>
  <si>
    <t>CELL(info_type, [reference])</t>
  </si>
  <si>
    <t>Returns information about the formatting, location, or contents of the first cell, according to sheet's reading order, in a reference</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</si>
  <si>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</si>
  <si>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</si>
  <si>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</si>
  <si>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</si>
  <si>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RANK function gives duplicate numbers same rank.</t>
  </si>
  <si>
    <t>Order is 1, the values are arranged in ascending order.</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</si>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</sst>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0_);_(* \(#,##0.00\);_(* &quot;-&quot;??_);_(@_)"/>
    <numFmt numFmtId="165" formatCode="_-[$$-409]* #,##0.00_ ;_-[$$-409]* \-#,##0.00\ ;_-[$$-409]* &quot;-&quot;??_ ;_-@_ "/>
    <numFmt numFmtId="166" formatCode="[$-F400]h:mm:ss\ AM/PM"/>
  </numFmts>
  <fonts count="33">
    <font>
      <sz val="11.0"/>
      <color theme="1"/>
      <name val="Calibri"/>
      <scheme val="minor"/>
    </font>
    <font>
      <b/>
      <sz val="11.0"/>
      <color theme="1"/>
      <name val="Calibri"/>
    </font>
    <font>
      <sz val="11.0"/>
      <color theme="1"/>
      <name val="Calibri"/>
    </font>
    <font>
      <b/>
      <sz val="14.0"/>
      <color theme="1"/>
      <name val="Calibri"/>
    </font>
    <font>
      <color theme="1"/>
      <name val="Calibri"/>
      <scheme val="minor"/>
    </font>
    <font>
      <b/>
      <i/>
      <u/>
      <sz val="11.0"/>
      <color theme="1"/>
      <name val="Calibri"/>
    </font>
    <font>
      <vertAlign val="superscript"/>
      <sz val="11.0"/>
      <color theme="1"/>
      <name val="Calibri"/>
    </font>
    <font>
      <b/>
      <sz val="13.0"/>
      <color theme="0"/>
      <name val="Calibri"/>
    </font>
    <font>
      <b/>
      <sz val="13.0"/>
      <color rgb="FFFFFFFF"/>
      <name val="Calibri"/>
    </font>
    <font>
      <sz val="12.0"/>
      <color theme="1"/>
      <name val="Calibri"/>
    </font>
    <font>
      <u/>
      <sz val="10.0"/>
      <color theme="10"/>
      <name val="Calibri"/>
    </font>
    <font>
      <u/>
      <sz val="11.0"/>
      <color theme="10"/>
      <name val="Calibri"/>
    </font>
    <font>
      <u/>
      <sz val="11.0"/>
      <color theme="10"/>
      <name val="Calibri"/>
    </font>
    <font>
      <u/>
      <sz val="11.0"/>
      <color rgb="FF0000FF"/>
      <name val="Calibri"/>
    </font>
    <font>
      <sz val="10.0"/>
      <color theme="1"/>
      <name val="Calibri"/>
    </font>
    <font>
      <u/>
      <sz val="11.0"/>
      <color rgb="FF0000FF"/>
      <name val="Calibri"/>
    </font>
    <font>
      <u/>
      <sz val="11.0"/>
      <color theme="10"/>
      <name val="Calibri"/>
    </font>
    <font>
      <sz val="11.0"/>
      <color rgb="FF0000FF"/>
      <name val="Calibri"/>
    </font>
    <font>
      <sz val="11.0"/>
      <color theme="10"/>
      <name val="Calibri"/>
    </font>
    <font>
      <u/>
      <sz val="11.0"/>
      <color theme="10"/>
      <name val="Calibri"/>
    </font>
    <font>
      <i/>
      <sz val="12.0"/>
      <color rgb="FF7F7F7F"/>
      <name val="Calibri"/>
    </font>
    <font>
      <u/>
      <sz val="11.0"/>
      <color theme="10"/>
      <name val="Calibri"/>
    </font>
    <font>
      <sz val="18.0"/>
      <color rgb="FF1F497D"/>
      <name val="Cambria"/>
    </font>
    <font>
      <sz val="10.0"/>
      <color rgb="FF7F7F7F"/>
      <name val="Calibri"/>
    </font>
    <font>
      <sz val="10.0"/>
      <color theme="0"/>
      <name val="Calibri"/>
    </font>
    <font>
      <u/>
      <sz val="10.0"/>
      <color theme="10"/>
      <name val="Calibri"/>
    </font>
    <font>
      <b/>
      <sz val="10.0"/>
      <color theme="1"/>
      <name val="Calibri"/>
    </font>
    <font>
      <u/>
      <sz val="10.0"/>
      <color theme="10"/>
      <name val="Calibri"/>
    </font>
    <font>
      <sz val="10.0"/>
      <color theme="10"/>
      <name val="Calibri"/>
    </font>
    <font/>
    <font>
      <b/>
      <color theme="1"/>
      <name val="Calibri"/>
      <scheme val="minor"/>
    </font>
    <font>
      <sz val="14.0"/>
      <color theme="8"/>
      <name val="Cambria"/>
    </font>
    <font>
      <sz val="12.0"/>
      <color theme="5"/>
      <name val="Calibri"/>
    </font>
  </fonts>
  <fills count="8">
    <fill>
      <patternFill patternType="none"/>
    </fill>
    <fill>
      <patternFill patternType="lightGray"/>
    </fill>
    <fill>
      <patternFill patternType="solid">
        <fgColor rgb="FFFFFF00"/>
        <bgColor rgb="FFFFFF00"/>
      </patternFill>
    </fill>
    <fill>
      <patternFill patternType="solid">
        <fgColor theme="8"/>
        <bgColor theme="8"/>
      </patternFill>
    </fill>
    <fill>
      <patternFill patternType="solid">
        <fgColor rgb="FFFFFFFF"/>
        <bgColor rgb="FFFFFFFF"/>
      </patternFill>
    </fill>
    <fill>
      <patternFill patternType="solid">
        <fgColor theme="4"/>
        <bgColor theme="4"/>
      </patternFill>
    </fill>
    <fill>
      <patternFill patternType="solid">
        <fgColor rgb="FFB6DDE8"/>
        <bgColor rgb="FFB6DDE8"/>
      </patternFill>
    </fill>
    <fill>
      <patternFill patternType="solid">
        <fgColor rgb="FFE5B8B7"/>
        <bgColor rgb="FFE5B8B7"/>
      </patternFill>
    </fill>
  </fills>
  <borders count="22">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bottom/>
    </border>
    <border>
      <right/>
      <top/>
      <bottom/>
    </border>
    <border>
      <left/>
      <right/>
      <top/>
      <bottom/>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2" fontId="3" numFmtId="0" xfId="0" applyAlignment="1" applyFill="1" applyFont="1">
      <alignment readingOrder="0" shrinkToFit="0" wrapText="1"/>
    </xf>
    <xf borderId="0" fillId="0" fontId="2" numFmtId="0" xfId="0" applyAlignment="1" applyFont="1">
      <alignment readingOrder="0" shrinkToFit="0" wrapText="1"/>
    </xf>
    <xf borderId="0" fillId="0" fontId="2" numFmtId="0" xfId="0" applyFont="1"/>
    <xf borderId="0" fillId="2" fontId="2" numFmtId="0" xfId="0" applyAlignment="1" applyFont="1">
      <alignment vertical="center"/>
    </xf>
    <xf borderId="0" fillId="2" fontId="4" numFmtId="0" xfId="0" applyFont="1"/>
    <xf borderId="0" fillId="0" fontId="5" numFmtId="0" xfId="0" applyFont="1"/>
    <xf borderId="0" fillId="0" fontId="6" numFmtId="0" xfId="0" applyFont="1"/>
    <xf borderId="0" fillId="0" fontId="2" numFmtId="164" xfId="0" applyFont="1" applyNumberFormat="1"/>
    <xf borderId="0" fillId="0" fontId="2" numFmtId="0" xfId="0" applyAlignment="1" applyFont="1">
      <alignment horizontal="right" vertical="top"/>
    </xf>
    <xf borderId="1" fillId="3" fontId="7" numFmtId="0" xfId="0" applyBorder="1" applyFill="1" applyFont="1"/>
    <xf borderId="1" fillId="3" fontId="8" numFmtId="0" xfId="0" applyBorder="1" applyFont="1"/>
    <xf borderId="0" fillId="0" fontId="9" numFmtId="0" xfId="0" applyFont="1"/>
    <xf borderId="1" fillId="0" fontId="10" numFmtId="0" xfId="0" applyBorder="1" applyFont="1"/>
    <xf borderId="1" fillId="2" fontId="11" numFmtId="0" xfId="0" applyBorder="1" applyFont="1"/>
    <xf borderId="1" fillId="0" fontId="12" numFmtId="0" xfId="0" applyBorder="1" applyFont="1"/>
    <xf borderId="1" fillId="2" fontId="13" numFmtId="0" xfId="0" applyBorder="1" applyFont="1"/>
    <xf borderId="0" fillId="0" fontId="14" numFmtId="0" xfId="0" applyFont="1"/>
    <xf borderId="2" fillId="2" fontId="15" numFmtId="0" xfId="0" applyBorder="1" applyFont="1"/>
    <xf borderId="1" fillId="2" fontId="16" numFmtId="0" xfId="0" applyAlignment="1" applyBorder="1" applyFont="1">
      <alignment horizontal="left"/>
    </xf>
    <xf borderId="1" fillId="0" fontId="14" numFmtId="0" xfId="0" applyBorder="1" applyFont="1"/>
    <xf borderId="1" fillId="0" fontId="14" numFmtId="0" xfId="0" applyAlignment="1" applyBorder="1" applyFont="1">
      <alignment horizontal="left"/>
    </xf>
    <xf borderId="1" fillId="2" fontId="17" numFmtId="0" xfId="0" applyBorder="1" applyFont="1"/>
    <xf borderId="1" fillId="4" fontId="18" numFmtId="0" xfId="0" applyBorder="1" applyFill="1" applyFont="1"/>
    <xf borderId="1" fillId="0" fontId="2" numFmtId="0" xfId="0" applyBorder="1" applyFont="1"/>
    <xf borderId="1" fillId="4" fontId="14" numFmtId="0" xfId="0" applyBorder="1" applyFont="1"/>
    <xf borderId="0" fillId="0" fontId="19" numFmtId="0" xfId="0" applyAlignment="1" applyFont="1">
      <alignment horizontal="center"/>
    </xf>
    <xf borderId="1" fillId="0" fontId="20" numFmtId="0" xfId="0" applyAlignment="1" applyBorder="1" applyFont="1">
      <alignment shrinkToFit="0" wrapText="1"/>
    </xf>
    <xf borderId="0" fillId="0" fontId="21" numFmtId="0" xfId="0" applyFont="1"/>
    <xf borderId="3" fillId="0" fontId="22" numFmtId="0" xfId="0" applyBorder="1" applyFont="1"/>
    <xf borderId="4" fillId="0" fontId="14" numFmtId="0" xfId="0" applyBorder="1" applyFont="1"/>
    <xf borderId="5" fillId="0" fontId="14" numFmtId="0" xfId="0" applyBorder="1" applyFont="1"/>
    <xf borderId="6" fillId="0" fontId="23" numFmtId="0" xfId="0" applyBorder="1" applyFont="1"/>
    <xf borderId="0" fillId="0" fontId="23" numFmtId="0" xfId="0" applyFont="1"/>
    <xf borderId="7" fillId="0" fontId="23" numFmtId="0" xfId="0" applyBorder="1" applyFont="1"/>
    <xf borderId="8" fillId="0" fontId="23" numFmtId="0" xfId="0" applyBorder="1" applyFont="1"/>
    <xf borderId="9" fillId="0" fontId="23" numFmtId="0" xfId="0" applyBorder="1" applyFont="1"/>
    <xf borderId="10" fillId="0" fontId="23" numFmtId="0" xfId="0" applyBorder="1" applyFont="1"/>
    <xf borderId="1" fillId="5" fontId="24" numFmtId="0" xfId="0" applyBorder="1" applyFill="1" applyFont="1"/>
    <xf borderId="0" fillId="0" fontId="25" numFmtId="0" xfId="0" applyFont="1"/>
    <xf borderId="0" fillId="0" fontId="26" numFmtId="0" xfId="0" applyFont="1"/>
    <xf borderId="3" fillId="0" fontId="23" numFmtId="0" xfId="0" applyBorder="1" applyFont="1"/>
    <xf borderId="4" fillId="0" fontId="23" numFmtId="0" xfId="0" applyBorder="1" applyFont="1"/>
    <xf borderId="5" fillId="0" fontId="23" numFmtId="0" xfId="0" applyBorder="1" applyFont="1"/>
    <xf borderId="1" fillId="0" fontId="14" numFmtId="14" xfId="0" applyBorder="1" applyFont="1" applyNumberFormat="1"/>
    <xf borderId="1" fillId="0" fontId="14" numFmtId="22" xfId="0" applyBorder="1" applyFont="1" applyNumberFormat="1"/>
    <xf borderId="11" fillId="0" fontId="22" numFmtId="0" xfId="0" applyBorder="1" applyFont="1"/>
    <xf borderId="12" fillId="0" fontId="14" numFmtId="0" xfId="0" applyBorder="1" applyFont="1"/>
    <xf borderId="12" fillId="0" fontId="26" numFmtId="0" xfId="0" applyBorder="1" applyFont="1"/>
    <xf borderId="13" fillId="0" fontId="14" numFmtId="0" xfId="0" applyBorder="1" applyFont="1"/>
    <xf borderId="1" fillId="0" fontId="14" numFmtId="0" xfId="0" applyAlignment="1" applyBorder="1" applyFont="1">
      <alignment shrinkToFit="0" wrapText="1"/>
    </xf>
    <xf borderId="0" fillId="0" fontId="27" numFmtId="0" xfId="0" applyAlignment="1" applyFont="1">
      <alignment horizontal="center"/>
    </xf>
    <xf borderId="1" fillId="0" fontId="14" numFmtId="0" xfId="0" applyAlignment="1" applyBorder="1" applyFont="1">
      <alignment readingOrder="0" shrinkToFit="0" wrapText="1"/>
    </xf>
    <xf borderId="1" fillId="0" fontId="2" numFmtId="0" xfId="0" applyAlignment="1" applyBorder="1" applyFont="1">
      <alignment shrinkToFit="0" wrapText="1"/>
    </xf>
    <xf quotePrefix="1" borderId="1" fillId="0" fontId="14" numFmtId="0" xfId="0" applyBorder="1" applyFont="1"/>
    <xf borderId="0" fillId="0" fontId="28" numFmtId="0" xfId="0" applyAlignment="1" applyFont="1">
      <alignment horizontal="center"/>
    </xf>
    <xf borderId="1" fillId="2" fontId="14" numFmtId="0" xfId="0" applyAlignment="1" applyBorder="1" applyFont="1">
      <alignment readingOrder="0" shrinkToFit="0" wrapText="1"/>
    </xf>
    <xf borderId="1" fillId="5" fontId="24" numFmtId="0" xfId="0" applyAlignment="1" applyBorder="1" applyFont="1">
      <alignment shrinkToFit="0" wrapText="1"/>
    </xf>
    <xf borderId="13" fillId="0" fontId="26" numFmtId="0" xfId="0" applyBorder="1" applyFont="1"/>
    <xf borderId="14" fillId="5" fontId="24" numFmtId="0" xfId="0" applyAlignment="1" applyBorder="1" applyFont="1">
      <alignment horizontal="center"/>
    </xf>
    <xf borderId="15" fillId="0" fontId="29" numFmtId="0" xfId="0" applyBorder="1" applyFont="1"/>
    <xf borderId="16" fillId="5" fontId="24" numFmtId="0" xfId="0" applyAlignment="1" applyBorder="1" applyFont="1">
      <alignment horizontal="center"/>
    </xf>
    <xf borderId="1" fillId="0" fontId="14" numFmtId="0" xfId="0" applyAlignment="1" applyBorder="1" applyFont="1">
      <alignment horizontal="center" vertical="center"/>
    </xf>
    <xf borderId="3" fillId="0" fontId="14" numFmtId="0" xfId="0" applyAlignment="1" applyBorder="1" applyFont="1">
      <alignment horizontal="left" shrinkToFit="0" vertical="center" wrapText="1"/>
    </xf>
    <xf borderId="4" fillId="0" fontId="29" numFmtId="0" xfId="0" applyBorder="1" applyFont="1"/>
    <xf borderId="5" fillId="0" fontId="29" numFmtId="0" xfId="0" applyBorder="1" applyFont="1"/>
    <xf borderId="0" fillId="0" fontId="14" numFmtId="0" xfId="0" applyAlignment="1" applyFont="1">
      <alignment horizontal="left" shrinkToFit="0" vertical="center" wrapText="1"/>
    </xf>
    <xf borderId="0" fillId="0" fontId="2" numFmtId="14" xfId="0" applyFont="1" applyNumberFormat="1"/>
    <xf borderId="0" fillId="0" fontId="30" numFmtId="0" xfId="0" applyAlignment="1" applyFont="1">
      <alignment readingOrder="0"/>
    </xf>
    <xf borderId="0" fillId="0" fontId="4" numFmtId="0" xfId="0" applyFont="1"/>
    <xf borderId="0" fillId="0" fontId="4" numFmtId="0" xfId="0" applyAlignment="1" applyFont="1">
      <alignment readingOrder="0" shrinkToFit="0" wrapText="1"/>
    </xf>
    <xf borderId="0" fillId="0" fontId="4" numFmtId="0" xfId="0" applyAlignment="1" applyFont="1">
      <alignment readingOrder="0"/>
    </xf>
    <xf borderId="1" fillId="5" fontId="24" numFmtId="0" xfId="0" applyAlignment="1" applyBorder="1" applyFont="1">
      <alignment horizontal="center"/>
    </xf>
    <xf borderId="17" fillId="5" fontId="24" numFmtId="0" xfId="0" applyBorder="1" applyFont="1"/>
    <xf borderId="17" fillId="5" fontId="24" numFmtId="0" xfId="0" applyAlignment="1" applyBorder="1" applyFont="1">
      <alignment shrinkToFit="0" wrapText="1"/>
    </xf>
    <xf borderId="3" fillId="0" fontId="14" numFmtId="0" xfId="0" applyAlignment="1" applyBorder="1" applyFont="1">
      <alignment horizontal="center"/>
    </xf>
    <xf borderId="3" fillId="0" fontId="14" numFmtId="0" xfId="0" applyBorder="1" applyFont="1"/>
    <xf borderId="18" fillId="0" fontId="14" numFmtId="0" xfId="0" applyBorder="1" applyFont="1"/>
    <xf borderId="8" fillId="0" fontId="14" numFmtId="0" xfId="0" applyBorder="1" applyFont="1"/>
    <xf borderId="9" fillId="0" fontId="14" numFmtId="0" xfId="0" applyBorder="1" applyFont="1"/>
    <xf borderId="10" fillId="0" fontId="14" numFmtId="0" xfId="0" applyBorder="1" applyFont="1"/>
    <xf borderId="3" fillId="5" fontId="24" numFmtId="0" xfId="0" applyAlignment="1" applyBorder="1" applyFont="1">
      <alignment horizontal="center"/>
    </xf>
    <xf borderId="19" fillId="0" fontId="29" numFmtId="0" xfId="0" applyBorder="1" applyFont="1"/>
    <xf borderId="20" fillId="5" fontId="24" numFmtId="0" xfId="0" applyBorder="1" applyFont="1"/>
    <xf borderId="21" fillId="5" fontId="24" numFmtId="0" xfId="0" applyAlignment="1" applyBorder="1" applyFont="1">
      <alignment shrinkToFit="0" wrapText="1"/>
    </xf>
    <xf borderId="12" fillId="0" fontId="22" numFmtId="0" xfId="0" applyBorder="1" applyFont="1"/>
    <xf borderId="13" fillId="0" fontId="22" numFmtId="0" xfId="0" applyBorder="1" applyFont="1"/>
    <xf borderId="5" fillId="0" fontId="22" numFmtId="0" xfId="0" applyBorder="1" applyFont="1"/>
    <xf borderId="1" fillId="0" fontId="31" numFmtId="0" xfId="0" applyBorder="1" applyFont="1"/>
    <xf borderId="1" fillId="0" fontId="14" numFmtId="165" xfId="0" applyBorder="1" applyFont="1" applyNumberFormat="1"/>
    <xf borderId="1" fillId="0" fontId="14" numFmtId="165" xfId="0" applyAlignment="1" applyBorder="1" applyFont="1" applyNumberFormat="1">
      <alignment horizontal="right"/>
    </xf>
    <xf borderId="1" fillId="0" fontId="14" numFmtId="0" xfId="0" applyAlignment="1" applyBorder="1" applyFont="1">
      <alignment horizontal="right"/>
    </xf>
    <xf borderId="1" fillId="0" fontId="14" numFmtId="19" xfId="0" applyBorder="1" applyFont="1" applyNumberFormat="1"/>
    <xf borderId="1" fillId="0" fontId="14" numFmtId="166" xfId="0" applyBorder="1" applyFont="1" applyNumberFormat="1"/>
    <xf borderId="4" fillId="0" fontId="22" numFmtId="0" xfId="0" applyBorder="1" applyFont="1"/>
    <xf borderId="12" fillId="0" fontId="2" numFmtId="0" xfId="0" applyBorder="1" applyFont="1"/>
    <xf borderId="13" fillId="0" fontId="2" numFmtId="0" xfId="0" applyBorder="1" applyFont="1"/>
    <xf borderId="4" fillId="0" fontId="2" numFmtId="0" xfId="0" applyBorder="1" applyFont="1"/>
    <xf borderId="5" fillId="0" fontId="2" numFmtId="0" xfId="0" applyBorder="1" applyFont="1"/>
    <xf borderId="3" fillId="0" fontId="14" numFmtId="14" xfId="0" applyBorder="1" applyFont="1" applyNumberFormat="1"/>
    <xf borderId="5" fillId="0" fontId="14" numFmtId="0" xfId="0" applyAlignment="1" applyBorder="1" applyFont="1">
      <alignment shrinkToFit="0" wrapText="1"/>
    </xf>
    <xf borderId="1" fillId="0" fontId="14" numFmtId="0" xfId="0" applyAlignment="1" applyBorder="1" applyFont="1">
      <alignment horizontal="center"/>
    </xf>
    <xf borderId="3" fillId="0" fontId="14" numFmtId="14" xfId="0" applyAlignment="1" applyBorder="1" applyFont="1" applyNumberFormat="1">
      <alignment horizontal="left" shrinkToFit="0" wrapText="1"/>
    </xf>
    <xf borderId="3" fillId="0" fontId="14" numFmtId="0" xfId="0" applyAlignment="1" applyBorder="1" applyFont="1">
      <alignment horizontal="left" shrinkToFit="0" wrapText="1"/>
    </xf>
    <xf borderId="3" fillId="0" fontId="14" numFmtId="0" xfId="0" applyAlignment="1" applyBorder="1" applyFont="1">
      <alignment horizontal="center" shrinkToFit="0" wrapText="1"/>
    </xf>
    <xf borderId="21" fillId="5" fontId="24" numFmtId="0" xfId="0" applyBorder="1" applyFont="1"/>
    <xf borderId="3" fillId="0" fontId="14" numFmtId="14" xfId="0" applyAlignment="1" applyBorder="1" applyFont="1" applyNumberFormat="1">
      <alignment horizontal="center"/>
    </xf>
    <xf borderId="1" fillId="0" fontId="14" numFmtId="14" xfId="0" applyAlignment="1" applyBorder="1" applyFont="1" applyNumberFormat="1">
      <alignment shrinkToFit="0" wrapText="1"/>
    </xf>
    <xf borderId="3" fillId="0" fontId="32" numFmtId="0" xfId="0" applyBorder="1" applyFont="1"/>
    <xf borderId="4" fillId="0" fontId="32" numFmtId="0" xfId="0" applyBorder="1" applyFont="1"/>
    <xf borderId="5" fillId="0" fontId="32" numFmtId="0" xfId="0" applyBorder="1" applyFont="1"/>
    <xf borderId="1" fillId="6" fontId="9" numFmtId="0" xfId="0" applyBorder="1" applyFill="1" applyFont="1"/>
    <xf borderId="1" fillId="7" fontId="9" numFmtId="0" xfId="0" applyBorder="1" applyFill="1" applyFont="1"/>
    <xf borderId="1" fillId="6" fontId="9" numFmtId="0" xfId="0" applyAlignment="1" applyBorder="1" applyFont="1">
      <alignment shrinkToFit="0" wrapText="1"/>
    </xf>
    <xf borderId="6" fillId="0" fontId="14" numFmtId="0" xfId="0" applyAlignment="1" applyBorder="1" applyFont="1">
      <alignment shrinkToFit="0" wrapText="1"/>
    </xf>
    <xf borderId="13" fillId="0" fontId="14" numFmtId="0" xfId="0" applyAlignment="1" applyBorder="1" applyFont="1">
      <alignment shrinkToFit="0" wrapText="1"/>
    </xf>
    <xf borderId="0" fillId="0" fontId="14"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13</xdr:row>
      <xdr:rowOff>85725</xdr:rowOff>
    </xdr:from>
    <xdr:ext cx="9810750" cy="2419350"/>
    <xdr:sp>
      <xdr:nvSpPr>
        <xdr:cNvPr id="3" name="Shape 3"/>
        <xdr:cNvSpPr txBox="1"/>
      </xdr:nvSpPr>
      <xdr:spPr>
        <a:xfrm>
          <a:off x="450150" y="2579850"/>
          <a:ext cx="9791700" cy="24003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Cells in range that contain TRUE or FALSE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 cell in average_range is an empty cell, AVERAGEIF ignores it.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range is a blank or text value, AVERAGEIF returns the #DIV0!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 cell in criteria is empty, AVERAGEIF treats it as a 0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no cells in the range meet the criteria, AVERAGEIF returns the #DIV/0!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t>
          </a:r>
          <a:r>
            <a:rPr b="1" i="0" lang="en-US" sz="1100">
              <a:solidFill>
                <a:schemeClr val="dk1"/>
              </a:solidFill>
              <a:latin typeface="Calibri"/>
              <a:ea typeface="Calibri"/>
              <a:cs typeface="Calibri"/>
              <a:sym typeface="Calibri"/>
            </a:rPr>
            <a:t>Average_range</a:t>
          </a:r>
          <a:r>
            <a:rPr b="0" i="0" lang="en-US" sz="1100">
              <a:solidFill>
                <a:schemeClr val="dk1"/>
              </a:solidFill>
              <a:latin typeface="Calibri"/>
              <a:ea typeface="Calibri"/>
              <a:cs typeface="Calibri"/>
              <a:sym typeface="Calibri"/>
            </a:rPr>
            <a:t> does not have to be the same size and shape as </a:t>
          </a:r>
          <a:r>
            <a:rPr b="1" i="0" lang="en-US" sz="1100">
              <a:solidFill>
                <a:schemeClr val="dk1"/>
              </a:solidFill>
              <a:latin typeface="Calibri"/>
              <a:ea typeface="Calibri"/>
              <a:cs typeface="Calibri"/>
              <a:sym typeface="Calibri"/>
            </a:rPr>
            <a:t>range</a:t>
          </a:r>
          <a:r>
            <a:rPr b="0" i="0" lang="en-US" sz="1100">
              <a:solidFill>
                <a:schemeClr val="dk1"/>
              </a:solidFill>
              <a:latin typeface="Calibri"/>
              <a:ea typeface="Calibri"/>
              <a:cs typeface="Calibri"/>
              <a:sym typeface="Calibri"/>
            </a:rPr>
            <a:t>. The actual cells that are averaged are determined by using the top, left cell in </a:t>
          </a:r>
          <a:r>
            <a:rPr b="1" i="0" lang="en-US" sz="1100">
              <a:solidFill>
                <a:schemeClr val="dk1"/>
              </a:solidFill>
              <a:latin typeface="Calibri"/>
              <a:ea typeface="Calibri"/>
              <a:cs typeface="Calibri"/>
              <a:sym typeface="Calibri"/>
            </a:rPr>
            <a:t>average_range</a:t>
          </a:r>
          <a:r>
            <a:rPr b="0" i="0" lang="en-US" sz="1100">
              <a:solidFill>
                <a:schemeClr val="dk1"/>
              </a:solidFill>
              <a:latin typeface="Calibri"/>
              <a:ea typeface="Calibri"/>
              <a:cs typeface="Calibri"/>
              <a:sym typeface="Calibri"/>
            </a:rPr>
            <a:t> as the beginning cell, and then including cells that correspond in size and shape to </a:t>
          </a:r>
          <a:r>
            <a:rPr b="1" i="0" lang="en-US" sz="1100">
              <a:solidFill>
                <a:schemeClr val="dk1"/>
              </a:solidFill>
              <a:latin typeface="Calibri"/>
              <a:ea typeface="Calibri"/>
              <a:cs typeface="Calibri"/>
              <a:sym typeface="Calibri"/>
            </a:rPr>
            <a:t>range</a:t>
          </a:r>
          <a:r>
            <a:rPr b="0" i="0" lang="en-US" sz="1100">
              <a:solidFill>
                <a:schemeClr val="dk1"/>
              </a:solidFill>
              <a:latin typeface="Calibri"/>
              <a:ea typeface="Calibri"/>
              <a:cs typeface="Calibri"/>
              <a:sym typeface="Calibri"/>
            </a:rPr>
            <a:t>.</a:t>
          </a:r>
          <a:endParaRPr sz="1100"/>
        </a:p>
      </xdr:txBody>
    </xdr:sp>
    <xdr:clientData fLocksWithSheet="0"/>
  </xdr:oneCellAnchor>
  <xdr:oneCellAnchor>
    <xdr:from>
      <xdr:col>5</xdr:col>
      <xdr:colOff>-9525</xdr:colOff>
      <xdr:row>43</xdr:row>
      <xdr:rowOff>85725</xdr:rowOff>
    </xdr:from>
    <xdr:ext cx="9801225" cy="1562100"/>
    <xdr:sp>
      <xdr:nvSpPr>
        <xdr:cNvPr id="4" name="Shape 4"/>
        <xdr:cNvSpPr txBox="1"/>
      </xdr:nvSpPr>
      <xdr:spPr>
        <a:xfrm>
          <a:off x="454913" y="3008475"/>
          <a:ext cx="9782175" cy="15430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SUMIF function returns incorrect results when you use it to match strings longer than 255 characters or to the string #VALUE!.</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t>
          </a:r>
          <a:r>
            <a:rPr b="1" i="1" lang="en-US" sz="1100">
              <a:solidFill>
                <a:schemeClr val="dk1"/>
              </a:solidFill>
              <a:latin typeface="Calibri"/>
              <a:ea typeface="Calibri"/>
              <a:cs typeface="Calibri"/>
              <a:sym typeface="Calibri"/>
            </a:rPr>
            <a:t>sum_range</a:t>
          </a:r>
          <a:r>
            <a:rPr b="0" i="0" lang="en-US" sz="1100">
              <a:solidFill>
                <a:schemeClr val="dk1"/>
              </a:solidFill>
              <a:latin typeface="Calibri"/>
              <a:ea typeface="Calibri"/>
              <a:cs typeface="Calibri"/>
              <a:sym typeface="Calibri"/>
            </a:rPr>
            <a:t> argument does not have to be the same size and shape as the </a:t>
          </a:r>
          <a:r>
            <a:rPr b="1" i="1" lang="en-US" sz="1100">
              <a:solidFill>
                <a:schemeClr val="dk1"/>
              </a:solidFill>
              <a:latin typeface="Calibri"/>
              <a:ea typeface="Calibri"/>
              <a:cs typeface="Calibri"/>
              <a:sym typeface="Calibri"/>
            </a:rPr>
            <a:t>range</a:t>
          </a:r>
          <a:r>
            <a:rPr b="0" i="0" lang="en-US" sz="1100">
              <a:solidFill>
                <a:schemeClr val="dk1"/>
              </a:solidFill>
              <a:latin typeface="Calibri"/>
              <a:ea typeface="Calibri"/>
              <a:cs typeface="Calibri"/>
              <a:sym typeface="Calibri"/>
            </a:rPr>
            <a:t> argument. The actual cells that are added are determined by using the upper leftmost cell in the </a:t>
          </a:r>
          <a:r>
            <a:rPr b="1" i="1" lang="en-US" sz="1100">
              <a:solidFill>
                <a:schemeClr val="dk1"/>
              </a:solidFill>
              <a:latin typeface="Calibri"/>
              <a:ea typeface="Calibri"/>
              <a:cs typeface="Calibri"/>
              <a:sym typeface="Calibri"/>
            </a:rPr>
            <a:t>sum_range</a:t>
          </a:r>
          <a:r>
            <a:rPr b="0" i="0" lang="en-US" sz="1100">
              <a:solidFill>
                <a:schemeClr val="dk1"/>
              </a:solidFill>
              <a:latin typeface="Calibri"/>
              <a:ea typeface="Calibri"/>
              <a:cs typeface="Calibri"/>
              <a:sym typeface="Calibri"/>
            </a:rPr>
            <a:t> argument as the beginning cell, and then including cells that correspond in size and shape to the </a:t>
          </a:r>
          <a:r>
            <a:rPr b="1" i="1" lang="en-US" sz="1100">
              <a:solidFill>
                <a:schemeClr val="dk1"/>
              </a:solidFill>
              <a:latin typeface="Calibri"/>
              <a:ea typeface="Calibri"/>
              <a:cs typeface="Calibri"/>
              <a:sym typeface="Calibri"/>
            </a:rPr>
            <a:t>range</a:t>
          </a:r>
          <a:r>
            <a:rPr b="0" i="0" lang="en-US" sz="1100">
              <a:solidFill>
                <a:schemeClr val="dk1"/>
              </a:solidFill>
              <a:latin typeface="Calibri"/>
              <a:ea typeface="Calibri"/>
              <a:cs typeface="Calibri"/>
              <a:sym typeface="Calibri"/>
            </a:rPr>
            <a:t> argument.</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-9525</xdr:colOff>
      <xdr:row>74</xdr:row>
      <xdr:rowOff>85725</xdr:rowOff>
    </xdr:from>
    <xdr:ext cx="9801225" cy="1562100"/>
    <xdr:sp>
      <xdr:nvSpPr>
        <xdr:cNvPr id="5" name="Shape 5"/>
        <xdr:cNvSpPr txBox="1"/>
      </xdr:nvSpPr>
      <xdr:spPr>
        <a:xfrm>
          <a:off x="454913" y="3008475"/>
          <a:ext cx="9782175" cy="15430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COUNTIF function returns incorrect results when you use it to match strings longer than 255 characters. </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Be sure to enclose the </a:t>
          </a:r>
          <a:r>
            <a:rPr b="1" i="1" lang="en-US" sz="1100">
              <a:solidFill>
                <a:schemeClr val="dk1"/>
              </a:solidFill>
              <a:latin typeface="Calibri"/>
              <a:ea typeface="Calibri"/>
              <a:cs typeface="Calibri"/>
              <a:sym typeface="Calibri"/>
            </a:rPr>
            <a:t>criteria</a:t>
          </a:r>
          <a:r>
            <a:rPr b="0" i="0" lang="en-US" sz="1100">
              <a:solidFill>
                <a:schemeClr val="dk1"/>
              </a:solidFill>
              <a:latin typeface="Calibri"/>
              <a:ea typeface="Calibri"/>
              <a:cs typeface="Calibri"/>
              <a:sym typeface="Calibri"/>
            </a:rPr>
            <a:t> argument in quotes.</a:t>
          </a:r>
          <a:endParaRPr sz="1100"/>
        </a:p>
      </xdr:txBody>
    </xdr:sp>
    <xdr:clientData fLocksWithSheet="0"/>
  </xdr:oneCellAnchor>
  <xdr:oneCellAnchor>
    <xdr:from>
      <xdr:col>5</xdr:col>
      <xdr:colOff>-9525</xdr:colOff>
      <xdr:row>100</xdr:row>
      <xdr:rowOff>47625</xdr:rowOff>
    </xdr:from>
    <xdr:ext cx="9801225" cy="2314575"/>
    <xdr:sp>
      <xdr:nvSpPr>
        <xdr:cNvPr id="6" name="Shape 6"/>
        <xdr:cNvSpPr txBox="1"/>
      </xdr:nvSpPr>
      <xdr:spPr>
        <a:xfrm>
          <a:off x="454913" y="2632238"/>
          <a:ext cx="9782175" cy="22955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average_range is a blank or text value, AVERAGEIFS returns the #DIV0!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 cell in a criteria range is empty, AVERAGEIFS treats it as a 0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Cells in range that contain TRUE evaluate as 1; cells in range that contain FALSE evaluate as 0 (zero).</a:t>
          </a:r>
          <a:r>
            <a:rPr b="0" i="0" lang="en-US" sz="1100">
              <a:solidFill>
                <a:srgbClr val="FF0000"/>
              </a:solidFill>
              <a:latin typeface="Calibri"/>
              <a:ea typeface="Calibri"/>
              <a:cs typeface="Calibri"/>
              <a:sym typeface="Calibri"/>
            </a:rPr>
            <a:t> *Remember in AVERAGEIF() function TRUE or FALSE statements were neglected.</a:t>
          </a:r>
          <a:r>
            <a:rPr b="0" i="0" lang="en-US" sz="1100">
              <a:solidFill>
                <a:schemeClr val="dk1"/>
              </a:solidFill>
              <a:latin typeface="Calibri"/>
              <a:ea typeface="Calibri"/>
              <a:cs typeface="Calibri"/>
              <a:sym typeface="Calibri"/>
            </a:rPr>
            <a:t>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Each cell in average_range is used in the average calculation only if all of the corresponding criteria specified are true for that cell.</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Unlike the range and criteria arguments in the AVERAGEIF function, in AVERAGEIFS each criteria_range must be the same size and shape as sum_range.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cells in average_range cannot be translated into numbers, AVERAGEIFS returns the #DIV0!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there are no cells that meet all the criteria, AVERAGEIFS returns the #DIV/0!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-9525</xdr:colOff>
      <xdr:row>146</xdr:row>
      <xdr:rowOff>47625</xdr:rowOff>
    </xdr:from>
    <xdr:ext cx="9801225" cy="1562100"/>
    <xdr:sp>
      <xdr:nvSpPr>
        <xdr:cNvPr id="7" name="Shape 7"/>
        <xdr:cNvSpPr txBox="1"/>
      </xdr:nvSpPr>
      <xdr:spPr>
        <a:xfrm>
          <a:off x="454913" y="3008475"/>
          <a:ext cx="9782175" cy="15430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Each range's criteria is applied one cell at a time. If all of the first cells meet their associated criteria, the count increases by 1. If all of the second cells meet their associated criteria, the count increases by 1 again, and so on until all of the cells are evaluated.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criteria argument is a reference to an empty cell, the </a:t>
          </a:r>
          <a:r>
            <a:rPr b="1" i="0" lang="en-US" sz="1100">
              <a:solidFill>
                <a:schemeClr val="dk1"/>
              </a:solidFill>
              <a:latin typeface="Calibri"/>
              <a:ea typeface="Calibri"/>
              <a:cs typeface="Calibri"/>
              <a:sym typeface="Calibri"/>
            </a:rPr>
            <a:t>COUNTIFS</a:t>
          </a:r>
          <a:r>
            <a:rPr b="0" i="0" lang="en-US" sz="1100">
              <a:solidFill>
                <a:schemeClr val="dk1"/>
              </a:solidFill>
              <a:latin typeface="Calibri"/>
              <a:ea typeface="Calibri"/>
              <a:cs typeface="Calibri"/>
              <a:sym typeface="Calibri"/>
            </a:rPr>
            <a:t> function treats the empty cell as a 0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the wildcard characters— the question mark (?) and asterisk (*) — in criteria. A question mark matches any single character, and an asterisk matches any sequence of characters. If you want to find an actual question mark or asterisk, type a tilde (</a:t>
          </a:r>
          <a:r>
            <a:rPr b="1" i="0" lang="en-US" sz="1100">
              <a:solidFill>
                <a:schemeClr val="dk1"/>
              </a:solidFill>
              <a:latin typeface="Calibri"/>
              <a:ea typeface="Calibri"/>
              <a:cs typeface="Calibri"/>
              <a:sym typeface="Calibri"/>
            </a:rPr>
            <a:t>~</a:t>
          </a:r>
          <a:r>
            <a:rPr b="0" i="0" lang="en-US" sz="1100">
              <a:solidFill>
                <a:schemeClr val="dk1"/>
              </a:solidFill>
              <a:latin typeface="Calibri"/>
              <a:ea typeface="Calibri"/>
              <a:cs typeface="Calibri"/>
              <a:sym typeface="Calibri"/>
            </a:rPr>
            <a:t>) before the character.</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95250</xdr:colOff>
      <xdr:row>186</xdr:row>
      <xdr:rowOff>0</xdr:rowOff>
    </xdr:from>
    <xdr:ext cx="9801225" cy="971550"/>
    <xdr:sp>
      <xdr:nvSpPr>
        <xdr:cNvPr id="8" name="Shape 8"/>
        <xdr:cNvSpPr txBox="1"/>
      </xdr:nvSpPr>
      <xdr:spPr>
        <a:xfrm>
          <a:off x="454913" y="3303750"/>
          <a:ext cx="9782175" cy="9525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Value or Value_if_na is an empty cell, IFNA treats it as an empty string value ("").</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Value is an array formula, IFNA returns an array of results for each cell in the range specified in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8</xdr:row>
      <xdr:rowOff>19050</xdr:rowOff>
    </xdr:from>
    <xdr:ext cx="9639300" cy="923925"/>
    <xdr:sp>
      <xdr:nvSpPr>
        <xdr:cNvPr id="9" name="Shape 9"/>
        <xdr:cNvSpPr txBox="1"/>
      </xdr:nvSpPr>
      <xdr:spPr>
        <a:xfrm>
          <a:off x="535875" y="3327563"/>
          <a:ext cx="9620250" cy="9048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 cell range or reference, only numeric values in the reference or range can be added. Empty cells, logical values like TRUE, or text are ignored.</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23</xdr:row>
      <xdr:rowOff>-9525</xdr:rowOff>
    </xdr:from>
    <xdr:ext cx="9639300" cy="1885950"/>
    <xdr:sp>
      <xdr:nvSpPr>
        <xdr:cNvPr id="10" name="Shape 10"/>
        <xdr:cNvSpPr txBox="1"/>
      </xdr:nvSpPr>
      <xdr:spPr>
        <a:xfrm>
          <a:off x="535875" y="2846550"/>
          <a:ext cx="9620250" cy="18669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either be numbers or names, ranges, or cell references that contain numbers.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 range or cell reference argument contains text, logical values, or empty cells, those values are ignored; however, cells with the value zero are included.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include logical values and text representations of numbers in a reference as part of the calculation, use the </a:t>
          </a:r>
          <a:r>
            <a:rPr b="1" i="0" lang="en-US" sz="1100">
              <a:solidFill>
                <a:schemeClr val="dk1"/>
              </a:solidFill>
              <a:latin typeface="Calibri"/>
              <a:ea typeface="Calibri"/>
              <a:cs typeface="Calibri"/>
              <a:sym typeface="Calibri"/>
            </a:rPr>
            <a:t>AVERAGEA</a:t>
          </a:r>
          <a:r>
            <a:rPr b="0" i="0" lang="en-US" sz="1100">
              <a:solidFill>
                <a:schemeClr val="dk1"/>
              </a:solidFill>
              <a:latin typeface="Calibri"/>
              <a:ea typeface="Calibri"/>
              <a:cs typeface="Calibri"/>
              <a:sym typeface="Calibri"/>
            </a:rPr>
            <a:t> function.</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calculate the average of only the values that meet certain criteria, use the </a:t>
          </a:r>
          <a:r>
            <a:rPr b="1" i="0" lang="en-US" sz="1100">
              <a:solidFill>
                <a:schemeClr val="dk1"/>
              </a:solidFill>
              <a:latin typeface="Calibri"/>
              <a:ea typeface="Calibri"/>
              <a:cs typeface="Calibri"/>
              <a:sym typeface="Calibri"/>
            </a:rPr>
            <a:t>AVERAGEIF</a:t>
          </a:r>
          <a:r>
            <a:rPr b="0" i="0" lang="en-US" sz="1100">
              <a:solidFill>
                <a:schemeClr val="dk1"/>
              </a:solidFill>
              <a:latin typeface="Calibri"/>
              <a:ea typeface="Calibri"/>
              <a:cs typeface="Calibri"/>
              <a:sym typeface="Calibri"/>
            </a:rPr>
            <a:t> function or the </a:t>
          </a:r>
          <a:r>
            <a:rPr b="1" i="0" lang="en-US" sz="1100">
              <a:solidFill>
                <a:schemeClr val="dk1"/>
              </a:solidFill>
              <a:latin typeface="Calibri"/>
              <a:ea typeface="Calibri"/>
              <a:cs typeface="Calibri"/>
              <a:sym typeface="Calibri"/>
            </a:rPr>
            <a:t>AVERAGEIFS</a:t>
          </a:r>
          <a:r>
            <a:rPr b="0" i="0" lang="en-US" sz="1100">
              <a:solidFill>
                <a:schemeClr val="dk1"/>
              </a:solidFill>
              <a:latin typeface="Calibri"/>
              <a:ea typeface="Calibri"/>
              <a:cs typeface="Calibri"/>
              <a:sym typeface="Calibri"/>
            </a:rPr>
            <a:t>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42</xdr:row>
      <xdr:rowOff>0</xdr:rowOff>
    </xdr:from>
    <xdr:ext cx="9639300" cy="2019300"/>
    <xdr:sp>
      <xdr:nvSpPr>
        <xdr:cNvPr id="11" name="Shape 11"/>
        <xdr:cNvSpPr txBox="1"/>
      </xdr:nvSpPr>
      <xdr:spPr>
        <a:xfrm>
          <a:off x="535875" y="2779875"/>
          <a:ext cx="9620250" cy="20002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contain TRUE evaluate as 1; arguments that contain FALSE evaluate as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Array or reference arguments that contain text evaluate as 0 (zero). Empty text ("") evaluates as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do not want to include logical values and text representations of numbers in a reference as part of the calculation, use the AVERAGE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62</xdr:row>
      <xdr:rowOff>0</xdr:rowOff>
    </xdr:from>
    <xdr:ext cx="9639300" cy="1752600"/>
    <xdr:sp>
      <xdr:nvSpPr>
        <xdr:cNvPr id="12" name="Shape 12"/>
        <xdr:cNvSpPr txBox="1"/>
      </xdr:nvSpPr>
      <xdr:spPr>
        <a:xfrm>
          <a:off x="535875" y="2913225"/>
          <a:ext cx="9620250" cy="17335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numbers, dates, or a text representation of numbers (for example, a number enclosed in quotation marks, such as "1")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are not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not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count logical values, text, or error values, use the </a:t>
          </a:r>
          <a:r>
            <a:rPr b="1" i="0" lang="en-US" sz="1100">
              <a:solidFill>
                <a:schemeClr val="dk1"/>
              </a:solidFill>
              <a:latin typeface="Calibri"/>
              <a:ea typeface="Calibri"/>
              <a:cs typeface="Calibri"/>
              <a:sym typeface="Calibri"/>
            </a:rPr>
            <a:t>COUNTA</a:t>
          </a:r>
          <a:r>
            <a:rPr b="0" i="0" lang="en-US" sz="1100">
              <a:solidFill>
                <a:schemeClr val="dk1"/>
              </a:solidFill>
              <a:latin typeface="Calibri"/>
              <a:ea typeface="Calibri"/>
              <a:cs typeface="Calibri"/>
              <a:sym typeface="Calibri"/>
            </a:rPr>
            <a:t> function.</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count only numbers that meet certain criteria, use the </a:t>
          </a:r>
          <a:r>
            <a:rPr b="1" i="0" lang="en-US" sz="1100">
              <a:solidFill>
                <a:schemeClr val="dk1"/>
              </a:solidFill>
              <a:latin typeface="Calibri"/>
              <a:ea typeface="Calibri"/>
              <a:cs typeface="Calibri"/>
              <a:sym typeface="Calibri"/>
            </a:rPr>
            <a:t>COUNTIF</a:t>
          </a:r>
          <a:r>
            <a:rPr b="0" i="0" lang="en-US" sz="1100">
              <a:solidFill>
                <a:schemeClr val="dk1"/>
              </a:solidFill>
              <a:latin typeface="Calibri"/>
              <a:ea typeface="Calibri"/>
              <a:cs typeface="Calibri"/>
              <a:sym typeface="Calibri"/>
            </a:rPr>
            <a:t> function or the </a:t>
          </a:r>
          <a:r>
            <a:rPr b="1" i="0" lang="en-US" sz="1100">
              <a:solidFill>
                <a:schemeClr val="dk1"/>
              </a:solidFill>
              <a:latin typeface="Calibri"/>
              <a:ea typeface="Calibri"/>
              <a:cs typeface="Calibri"/>
              <a:sym typeface="Calibri"/>
            </a:rPr>
            <a:t>COUNTIFS</a:t>
          </a:r>
          <a:r>
            <a:rPr b="0" i="0" lang="en-US" sz="1100">
              <a:solidFill>
                <a:schemeClr val="dk1"/>
              </a:solidFill>
              <a:latin typeface="Calibri"/>
              <a:ea typeface="Calibri"/>
              <a:cs typeface="Calibri"/>
              <a:sym typeface="Calibri"/>
            </a:rPr>
            <a:t>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80</xdr:row>
      <xdr:rowOff>0</xdr:rowOff>
    </xdr:from>
    <xdr:ext cx="9639300" cy="1304925"/>
    <xdr:sp>
      <xdr:nvSpPr>
        <xdr:cNvPr id="13" name="Shape 13"/>
        <xdr:cNvSpPr txBox="1"/>
      </xdr:nvSpPr>
      <xdr:spPr>
        <a:xfrm>
          <a:off x="535875" y="3137063"/>
          <a:ext cx="9620250" cy="12858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400"/>
            <a:buFont typeface="Arial"/>
            <a:buNone/>
          </a:pPr>
          <a:r>
            <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t>
          </a:r>
          <a:r>
            <a:rPr b="1" i="0" lang="en-US" sz="1100">
              <a:solidFill>
                <a:schemeClr val="dk1"/>
              </a:solidFill>
              <a:latin typeface="Calibri"/>
              <a:ea typeface="Calibri"/>
              <a:cs typeface="Calibri"/>
              <a:sym typeface="Calibri"/>
            </a:rPr>
            <a:t>COUNTA</a:t>
          </a:r>
          <a:r>
            <a:rPr b="0" i="0" lang="en-US" sz="1100">
              <a:solidFill>
                <a:schemeClr val="dk1"/>
              </a:solidFill>
              <a:latin typeface="Calibri"/>
              <a:ea typeface="Calibri"/>
              <a:cs typeface="Calibri"/>
              <a:sym typeface="Calibri"/>
            </a:rPr>
            <a:t> function counts cells containing any type of information, including error values and empty text (</a:t>
          </a:r>
          <a:r>
            <a:rPr b="1" i="0" lang="en-US" sz="1100">
              <a:solidFill>
                <a:schemeClr val="dk1"/>
              </a:solidFill>
              <a:latin typeface="Calibri"/>
              <a:ea typeface="Calibri"/>
              <a:cs typeface="Calibri"/>
              <a:sym typeface="Calibri"/>
            </a:rPr>
            <a:t>""</a:t>
          </a:r>
          <a:r>
            <a:rPr b="0" i="0" lang="en-US" sz="1100">
              <a:solidFill>
                <a:schemeClr val="dk1"/>
              </a:solidFill>
              <a:latin typeface="Calibri"/>
              <a:ea typeface="Calibri"/>
              <a:cs typeface="Calibri"/>
              <a:sym typeface="Calibri"/>
            </a:rPr>
            <a:t>). For example, if the range contains a formula that returns an empty string, the </a:t>
          </a:r>
          <a:r>
            <a:rPr b="1" i="0" lang="en-US" sz="1100">
              <a:solidFill>
                <a:schemeClr val="dk1"/>
              </a:solidFill>
              <a:latin typeface="Calibri"/>
              <a:ea typeface="Calibri"/>
              <a:cs typeface="Calibri"/>
              <a:sym typeface="Calibri"/>
            </a:rPr>
            <a:t>COUNTA</a:t>
          </a:r>
          <a:r>
            <a:rPr b="0" i="0" lang="en-US" sz="1100">
              <a:solidFill>
                <a:schemeClr val="dk1"/>
              </a:solidFill>
              <a:latin typeface="Calibri"/>
              <a:ea typeface="Calibri"/>
              <a:cs typeface="Calibri"/>
              <a:sym typeface="Calibri"/>
            </a:rPr>
            <a:t> function counts that value. The </a:t>
          </a:r>
          <a:r>
            <a:rPr b="1" i="0" lang="en-US" sz="1100">
              <a:solidFill>
                <a:schemeClr val="dk1"/>
              </a:solidFill>
              <a:latin typeface="Calibri"/>
              <a:ea typeface="Calibri"/>
              <a:cs typeface="Calibri"/>
              <a:sym typeface="Calibri"/>
            </a:rPr>
            <a:t>COUNTA</a:t>
          </a:r>
          <a:r>
            <a:rPr b="0" i="0" lang="en-US" sz="1100">
              <a:solidFill>
                <a:schemeClr val="dk1"/>
              </a:solidFill>
              <a:latin typeface="Calibri"/>
              <a:ea typeface="Calibri"/>
              <a:cs typeface="Calibri"/>
              <a:sym typeface="Calibri"/>
            </a:rPr>
            <a:t> function does not count empty cells.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do not need to count logical values, text, or error values (in other words, if you want to count only cells that contain numbers), use the </a:t>
          </a:r>
          <a:r>
            <a:rPr b="1" i="0" lang="en-US" sz="1100">
              <a:solidFill>
                <a:schemeClr val="dk1"/>
              </a:solidFill>
              <a:latin typeface="Calibri"/>
              <a:ea typeface="Calibri"/>
              <a:cs typeface="Calibri"/>
              <a:sym typeface="Calibri"/>
            </a:rPr>
            <a:t>COUNT</a:t>
          </a:r>
          <a:r>
            <a:rPr b="0" i="0" lang="en-US" sz="1100">
              <a:solidFill>
                <a:schemeClr val="dk1"/>
              </a:solidFill>
              <a:latin typeface="Calibri"/>
              <a:ea typeface="Calibri"/>
              <a:cs typeface="Calibri"/>
              <a:sym typeface="Calibri"/>
            </a:rPr>
            <a:t> function.</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count only cells that meet certain criteria, use the </a:t>
          </a:r>
          <a:r>
            <a:rPr b="1" i="0" lang="en-US" sz="1100">
              <a:solidFill>
                <a:schemeClr val="dk1"/>
              </a:solidFill>
              <a:latin typeface="Calibri"/>
              <a:ea typeface="Calibri"/>
              <a:cs typeface="Calibri"/>
              <a:sym typeface="Calibri"/>
            </a:rPr>
            <a:t>COUNTIF</a:t>
          </a:r>
          <a:r>
            <a:rPr b="0" i="0" lang="en-US" sz="1100">
              <a:solidFill>
                <a:schemeClr val="dk1"/>
              </a:solidFill>
              <a:latin typeface="Calibri"/>
              <a:ea typeface="Calibri"/>
              <a:cs typeface="Calibri"/>
              <a:sym typeface="Calibri"/>
            </a:rPr>
            <a:t> function or the </a:t>
          </a:r>
          <a:r>
            <a:rPr b="1" i="0" lang="en-US" sz="1100">
              <a:solidFill>
                <a:schemeClr val="dk1"/>
              </a:solidFill>
              <a:latin typeface="Calibri"/>
              <a:ea typeface="Calibri"/>
              <a:cs typeface="Calibri"/>
              <a:sym typeface="Calibri"/>
            </a:rPr>
            <a:t>COUNTIFS</a:t>
          </a:r>
          <a:r>
            <a:rPr b="0" i="0" lang="en-US" sz="1100">
              <a:solidFill>
                <a:schemeClr val="dk1"/>
              </a:solidFill>
              <a:latin typeface="Calibri"/>
              <a:ea typeface="Calibri"/>
              <a:cs typeface="Calibri"/>
              <a:sym typeface="Calibri"/>
            </a:rPr>
            <a:t>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333375</xdr:colOff>
      <xdr:row>116</xdr:row>
      <xdr:rowOff>66675</xdr:rowOff>
    </xdr:from>
    <xdr:ext cx="9648825" cy="1381125"/>
    <xdr:sp>
      <xdr:nvSpPr>
        <xdr:cNvPr id="14" name="Shape 14"/>
        <xdr:cNvSpPr txBox="1"/>
      </xdr:nvSpPr>
      <xdr:spPr>
        <a:xfrm>
          <a:off x="531113" y="3098963"/>
          <a:ext cx="9629775" cy="13620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400"/>
            <a:buFont typeface="Arial"/>
            <a:buNone/>
          </a:pPr>
          <a:r>
            <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array arguments must have the same dimensions. If they do not, SUMPRODUCT returns the #VALUE! error value.</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SUMPRODUCT treats array entries that are not numeric as if they were zeros.</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134</xdr:row>
      <xdr:rowOff>19050</xdr:rowOff>
    </xdr:from>
    <xdr:ext cx="9639300" cy="1276350"/>
    <xdr:sp>
      <xdr:nvSpPr>
        <xdr:cNvPr id="15" name="Shape 15"/>
        <xdr:cNvSpPr txBox="1"/>
      </xdr:nvSpPr>
      <xdr:spPr>
        <a:xfrm>
          <a:off x="535875" y="3151350"/>
          <a:ext cx="9620250" cy="12573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either be numbers or names, arrays, or references that contain numbers.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Numbers,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333375</xdr:colOff>
      <xdr:row>148</xdr:row>
      <xdr:rowOff>57150</xdr:rowOff>
    </xdr:from>
    <xdr:ext cx="9648825" cy="1209675"/>
    <xdr:sp>
      <xdr:nvSpPr>
        <xdr:cNvPr id="16" name="Shape 16"/>
        <xdr:cNvSpPr txBox="1"/>
      </xdr:nvSpPr>
      <xdr:spPr>
        <a:xfrm>
          <a:off x="531113" y="3184688"/>
          <a:ext cx="9629775" cy="11906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Cells with formulas that return "" (empty text) are also counted. Cells with zero values are not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To run this formula, you need to turn off iterative calculation. Here's how:</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1) Click the </a:t>
          </a:r>
          <a:r>
            <a:rPr b="1" i="0" lang="en-US" sz="1100">
              <a:solidFill>
                <a:schemeClr val="dk1"/>
              </a:solidFill>
              <a:latin typeface="Calibri"/>
              <a:ea typeface="Calibri"/>
              <a:cs typeface="Calibri"/>
              <a:sym typeface="Calibri"/>
            </a:rPr>
            <a:t>File</a:t>
          </a:r>
          <a:r>
            <a:rPr b="0" i="0" lang="en-US" sz="1100">
              <a:solidFill>
                <a:schemeClr val="dk1"/>
              </a:solidFill>
              <a:latin typeface="Calibri"/>
              <a:ea typeface="Calibri"/>
              <a:cs typeface="Calibri"/>
              <a:sym typeface="Calibri"/>
            </a:rPr>
            <a:t> tab, and then click </a:t>
          </a:r>
          <a:r>
            <a:rPr b="1" i="0" lang="en-US" sz="1100">
              <a:solidFill>
                <a:schemeClr val="dk1"/>
              </a:solidFill>
              <a:latin typeface="Calibri"/>
              <a:ea typeface="Calibri"/>
              <a:cs typeface="Calibri"/>
              <a:sym typeface="Calibri"/>
            </a:rPr>
            <a:t>Options</a:t>
          </a:r>
          <a:r>
            <a:rPr b="0" i="0" lang="en-US" sz="1100">
              <a:solidFill>
                <a:schemeClr val="dk1"/>
              </a:solidFill>
              <a:latin typeface="Calibri"/>
              <a:ea typeface="Calibri"/>
              <a:cs typeface="Calibri"/>
              <a:sym typeface="Calibri"/>
            </a:rPr>
            <a: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2) Click </a:t>
          </a:r>
          <a:r>
            <a:rPr b="1" i="0" lang="en-US" sz="1100">
              <a:solidFill>
                <a:schemeClr val="dk1"/>
              </a:solidFill>
              <a:latin typeface="Calibri"/>
              <a:ea typeface="Calibri"/>
              <a:cs typeface="Calibri"/>
              <a:sym typeface="Calibri"/>
            </a:rPr>
            <a:t>Formulas</a:t>
          </a:r>
          <a:r>
            <a:rPr b="0" i="0" lang="en-US" sz="1100">
              <a:solidFill>
                <a:schemeClr val="dk1"/>
              </a:solidFill>
              <a:latin typeface="Calibri"/>
              <a:ea typeface="Calibri"/>
              <a:cs typeface="Calibri"/>
              <a:sym typeface="Calibri"/>
            </a:rPr>
            <a:t>, and under </a:t>
          </a:r>
          <a:r>
            <a:rPr b="1" i="0" lang="en-US" sz="1100">
              <a:solidFill>
                <a:schemeClr val="dk1"/>
              </a:solidFill>
              <a:latin typeface="Calibri"/>
              <a:ea typeface="Calibri"/>
              <a:cs typeface="Calibri"/>
              <a:sym typeface="Calibri"/>
            </a:rPr>
            <a:t>Calculation options</a:t>
          </a:r>
          <a:r>
            <a:rPr b="0" i="0" lang="en-US" sz="1100">
              <a:solidFill>
                <a:schemeClr val="dk1"/>
              </a:solidFill>
              <a:latin typeface="Calibri"/>
              <a:ea typeface="Calibri"/>
              <a:cs typeface="Calibri"/>
              <a:sym typeface="Calibri"/>
            </a:rPr>
            <a:t>, clear the </a:t>
          </a:r>
          <a:r>
            <a:rPr b="1" i="0" lang="en-US" sz="1100">
              <a:solidFill>
                <a:schemeClr val="dk1"/>
              </a:solidFill>
              <a:latin typeface="Calibri"/>
              <a:ea typeface="Calibri"/>
              <a:cs typeface="Calibri"/>
              <a:sym typeface="Calibri"/>
            </a:rPr>
            <a:t>Enable iterative calculation</a:t>
          </a:r>
          <a:r>
            <a:rPr b="0" i="0" lang="en-US" sz="1100">
              <a:solidFill>
                <a:schemeClr val="dk1"/>
              </a:solidFill>
              <a:latin typeface="Calibri"/>
              <a:ea typeface="Calibri"/>
              <a:cs typeface="Calibri"/>
              <a:sym typeface="Calibri"/>
            </a:rPr>
            <a:t> check box, then click</a:t>
          </a:r>
          <a:r>
            <a:rPr b="1" i="0" lang="en-US" sz="1100">
              <a:solidFill>
                <a:schemeClr val="dk1"/>
              </a:solidFill>
              <a:latin typeface="Calibri"/>
              <a:ea typeface="Calibri"/>
              <a:cs typeface="Calibri"/>
              <a:sym typeface="Calibri"/>
            </a:rPr>
            <a:t>OK</a:t>
          </a:r>
          <a:r>
            <a:rPr b="0" i="0" lang="en-US" sz="1100">
              <a:solidFill>
                <a:schemeClr val="dk1"/>
              </a:solidFill>
              <a:latin typeface="Calibri"/>
              <a:ea typeface="Calibri"/>
              <a:cs typeface="Calibri"/>
              <a:sym typeface="Calibri"/>
            </a:rPr>
            <a:t>.</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183</xdr:row>
      <xdr:rowOff>95250</xdr:rowOff>
    </xdr:from>
    <xdr:ext cx="9639300" cy="1209675"/>
    <xdr:sp>
      <xdr:nvSpPr>
        <xdr:cNvPr id="17" name="Shape 17"/>
        <xdr:cNvSpPr txBox="1"/>
      </xdr:nvSpPr>
      <xdr:spPr>
        <a:xfrm>
          <a:off x="535875" y="3184688"/>
          <a:ext cx="9620250" cy="11906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number is nonnumeric, ODD returns the #VALUE! error value.</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Regardless of the sign of number, a value is rounded up when adjusted away from zero. If number is an odd integer, no rounding occurs.</a:t>
          </a:r>
          <a:endParaRPr sz="1100"/>
        </a:p>
      </xdr:txBody>
    </xdr:sp>
    <xdr:clientData fLocksWithSheet="0"/>
  </xdr:oneCellAnchor>
  <xdr:oneCellAnchor>
    <xdr:from>
      <xdr:col>5</xdr:col>
      <xdr:colOff>314325</xdr:colOff>
      <xdr:row>166</xdr:row>
      <xdr:rowOff>85725</xdr:rowOff>
    </xdr:from>
    <xdr:ext cx="9696450" cy="1209675"/>
    <xdr:sp>
      <xdr:nvSpPr>
        <xdr:cNvPr id="18" name="Shape 18"/>
        <xdr:cNvSpPr txBox="1"/>
      </xdr:nvSpPr>
      <xdr:spPr>
        <a:xfrm>
          <a:off x="507300" y="3184688"/>
          <a:ext cx="9677400" cy="11906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number is nonnumeric, EVEN returns the #VALUE! error value.</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Regardless of the sign of number, a value is rounded up when adjusted away from zero. If number is an even integer, no rounding occurs.</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207</xdr:row>
      <xdr:rowOff>0</xdr:rowOff>
    </xdr:from>
    <xdr:ext cx="9639300" cy="1133475"/>
    <xdr:sp>
      <xdr:nvSpPr>
        <xdr:cNvPr id="19" name="Shape 19"/>
        <xdr:cNvSpPr txBox="1"/>
      </xdr:nvSpPr>
      <xdr:spPr>
        <a:xfrm>
          <a:off x="535875" y="3222788"/>
          <a:ext cx="9620250" cy="11144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array is empty, LARGE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k ≤ 0 or if k is greater than the number of data points, LARGE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 is the number of data points in a range, then LARGE(array,1) returns the largest value, and LARGE(array,n) returns the smallest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223</xdr:row>
      <xdr:rowOff>47625</xdr:rowOff>
    </xdr:from>
    <xdr:ext cx="9639300" cy="1133475"/>
    <xdr:sp>
      <xdr:nvSpPr>
        <xdr:cNvPr id="20" name="Shape 20"/>
        <xdr:cNvSpPr txBox="1"/>
      </xdr:nvSpPr>
      <xdr:spPr>
        <a:xfrm>
          <a:off x="535875" y="3222788"/>
          <a:ext cx="9620250" cy="11144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array is empty, SMALL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k ≤ 0 or if k exceeds the number of data points, SMALL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 is the number of data points in array, SMALL(array,1) equals the smallest value, and SMALL(array,n) equals the largest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243</xdr:row>
      <xdr:rowOff>-9525</xdr:rowOff>
    </xdr:from>
    <xdr:ext cx="9639300" cy="1581150"/>
    <xdr:sp>
      <xdr:nvSpPr>
        <xdr:cNvPr id="21" name="Shape 21"/>
        <xdr:cNvSpPr txBox="1"/>
      </xdr:nvSpPr>
      <xdr:spPr>
        <a:xfrm>
          <a:off x="535875" y="2998950"/>
          <a:ext cx="9620250" cy="15621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(MAX)</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either be numbers or names, arrays, or references that contain numbers.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arguments contain no numbers, MAX returns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include logical values and text representations of numbers in a reference as part of the calculation, use the MAXA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252</xdr:row>
      <xdr:rowOff>95250</xdr:rowOff>
    </xdr:from>
    <xdr:ext cx="9639300" cy="1828800"/>
    <xdr:sp>
      <xdr:nvSpPr>
        <xdr:cNvPr id="22" name="Shape 22"/>
        <xdr:cNvSpPr txBox="1"/>
      </xdr:nvSpPr>
      <xdr:spPr>
        <a:xfrm>
          <a:off x="535875" y="2875125"/>
          <a:ext cx="9620250" cy="18097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(MAXA)</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contain TRUE evaluate as 1; arguments that contain text or FALSE evaluate as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arguments contain no values, MAXA returns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do not want to include logical values and text representations of numbers in a reference as part of the calculation, use the MAX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278</xdr:row>
      <xdr:rowOff>-9525</xdr:rowOff>
    </xdr:from>
    <xdr:ext cx="9639300" cy="1581150"/>
    <xdr:sp>
      <xdr:nvSpPr>
        <xdr:cNvPr id="23" name="Shape 23"/>
        <xdr:cNvSpPr txBox="1"/>
      </xdr:nvSpPr>
      <xdr:spPr>
        <a:xfrm>
          <a:off x="535875" y="2998950"/>
          <a:ext cx="9620250" cy="15621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(MIN)</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either be numbers or names, arrays, or references that contain numbers.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arguments contain no numbers, MIN returns 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want to include logical values and text representations of numbers in a reference as part of the calculation, use the MINA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-9525</xdr:colOff>
      <xdr:row>287</xdr:row>
      <xdr:rowOff>95250</xdr:rowOff>
    </xdr:from>
    <xdr:ext cx="9639300" cy="1828800"/>
    <xdr:sp>
      <xdr:nvSpPr>
        <xdr:cNvPr id="24" name="Shape 24"/>
        <xdr:cNvSpPr txBox="1"/>
      </xdr:nvSpPr>
      <xdr:spPr>
        <a:xfrm>
          <a:off x="535875" y="2875125"/>
          <a:ext cx="9620250" cy="18097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(MINA)</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contain TRUE evaluate as 1; arguments that contain text or FALSE evaluate as 0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arguments contain no values, MINA returns 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do not want to include logical values and text representations of numbers in a reference as part of the calculation, use the MIN function.</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323850</xdr:colOff>
      <xdr:row>340</xdr:row>
      <xdr:rowOff>9525</xdr:rowOff>
    </xdr:from>
    <xdr:ext cx="9648825" cy="2705100"/>
    <xdr:sp>
      <xdr:nvSpPr>
        <xdr:cNvPr id="25" name="Shape 25"/>
        <xdr:cNvSpPr txBox="1"/>
      </xdr:nvSpPr>
      <xdr:spPr>
        <a:xfrm>
          <a:off x="531113" y="2436975"/>
          <a:ext cx="9629775" cy="26860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there are other subtotals within ref1, ref2,… (or nested subtotals), these nested subtotals are ignored to avoid double counting.</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For the function_num constants from 1 to 11, the SUBTOTAL function includes the values of rows hidden by the</a:t>
          </a:r>
          <a:r>
            <a:rPr b="1" i="0" lang="en-US" sz="1100">
              <a:solidFill>
                <a:schemeClr val="dk1"/>
              </a:solidFill>
              <a:latin typeface="Calibri"/>
              <a:ea typeface="Calibri"/>
              <a:cs typeface="Calibri"/>
              <a:sym typeface="Calibri"/>
            </a:rPr>
            <a:t>Hide Rows</a:t>
          </a:r>
          <a:r>
            <a:rPr b="0" i="0" lang="en-US" sz="1100">
              <a:solidFill>
                <a:schemeClr val="dk1"/>
              </a:solidFill>
              <a:latin typeface="Calibri"/>
              <a:ea typeface="Calibri"/>
              <a:cs typeface="Calibri"/>
              <a:sym typeface="Calibri"/>
            </a:rPr>
            <a:t> command under the </a:t>
          </a:r>
          <a:r>
            <a:rPr b="1" i="0" lang="en-US" sz="1100">
              <a:solidFill>
                <a:schemeClr val="dk1"/>
              </a:solidFill>
              <a:latin typeface="Calibri"/>
              <a:ea typeface="Calibri"/>
              <a:cs typeface="Calibri"/>
              <a:sym typeface="Calibri"/>
            </a:rPr>
            <a:t>Hide &amp; Unhide</a:t>
          </a:r>
          <a:r>
            <a:rPr b="0" i="0" lang="en-US" sz="1100">
              <a:solidFill>
                <a:schemeClr val="dk1"/>
              </a:solidFill>
              <a:latin typeface="Calibri"/>
              <a:ea typeface="Calibri"/>
              <a:cs typeface="Calibri"/>
              <a:sym typeface="Calibri"/>
            </a:rPr>
            <a:t> submenu of the </a:t>
          </a:r>
          <a:r>
            <a:rPr b="1" i="0" lang="en-US" sz="1100">
              <a:solidFill>
                <a:schemeClr val="dk1"/>
              </a:solidFill>
              <a:latin typeface="Calibri"/>
              <a:ea typeface="Calibri"/>
              <a:cs typeface="Calibri"/>
              <a:sym typeface="Calibri"/>
            </a:rPr>
            <a:t>Format</a:t>
          </a:r>
          <a:r>
            <a:rPr b="0" i="0" lang="en-US" sz="1100">
              <a:solidFill>
                <a:schemeClr val="dk1"/>
              </a:solidFill>
              <a:latin typeface="Calibri"/>
              <a:ea typeface="Calibri"/>
              <a:cs typeface="Calibri"/>
              <a:sym typeface="Calibri"/>
            </a:rPr>
            <a:t> command in the </a:t>
          </a:r>
          <a:r>
            <a:rPr b="1" i="0" lang="en-US" sz="1100">
              <a:solidFill>
                <a:schemeClr val="dk1"/>
              </a:solidFill>
              <a:latin typeface="Calibri"/>
              <a:ea typeface="Calibri"/>
              <a:cs typeface="Calibri"/>
              <a:sym typeface="Calibri"/>
            </a:rPr>
            <a:t>Cells</a:t>
          </a:r>
          <a:r>
            <a:rPr b="0" i="0" lang="en-US" sz="1100">
              <a:solidFill>
                <a:schemeClr val="dk1"/>
              </a:solidFill>
              <a:latin typeface="Calibri"/>
              <a:ea typeface="Calibri"/>
              <a:cs typeface="Calibri"/>
              <a:sym typeface="Calibri"/>
            </a:rPr>
            <a:t> group on the</a:t>
          </a:r>
          <a:r>
            <a:rPr b="1" i="0" lang="en-US" sz="1100">
              <a:solidFill>
                <a:schemeClr val="dk1"/>
              </a:solidFill>
              <a:latin typeface="Calibri"/>
              <a:ea typeface="Calibri"/>
              <a:cs typeface="Calibri"/>
              <a:sym typeface="Calibri"/>
            </a:rPr>
            <a:t>Home</a:t>
          </a:r>
          <a:r>
            <a:rPr b="0" i="0" lang="en-US" sz="1100">
              <a:solidFill>
                <a:schemeClr val="dk1"/>
              </a:solidFill>
              <a:latin typeface="Calibri"/>
              <a:ea typeface="Calibri"/>
              <a:cs typeface="Calibri"/>
              <a:sym typeface="Calibri"/>
            </a:rPr>
            <a:t> tab in the Excel desktop application. Use these constants when you want to subtotal hidden and nonhidden numbers in a list. For the function_Num constants from 101 to 111, the SUBTOTAL function ignores values of rows hidden by the </a:t>
          </a:r>
          <a:r>
            <a:rPr b="1" i="0" lang="en-US" sz="1100">
              <a:solidFill>
                <a:schemeClr val="dk1"/>
              </a:solidFill>
              <a:latin typeface="Calibri"/>
              <a:ea typeface="Calibri"/>
              <a:cs typeface="Calibri"/>
              <a:sym typeface="Calibri"/>
            </a:rPr>
            <a:t>Hide Rows</a:t>
          </a:r>
          <a:r>
            <a:rPr b="0" i="0" lang="en-US" sz="1100">
              <a:solidFill>
                <a:schemeClr val="dk1"/>
              </a:solidFill>
              <a:latin typeface="Calibri"/>
              <a:ea typeface="Calibri"/>
              <a:cs typeface="Calibri"/>
              <a:sym typeface="Calibri"/>
            </a:rPr>
            <a:t> command. Use these constants when you want to subtotal only nonhidden numbers in a list.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SUBTOTAL function ignores any rows that are not included in the result of a filter, no matter which function_num value you use.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any of the references are 3-D references, SUBTOTAL returns the #VALUE!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100</xdr:row>
      <xdr:rowOff>-19050</xdr:rowOff>
    </xdr:from>
    <xdr:ext cx="9639300" cy="1447800"/>
    <xdr:sp>
      <xdr:nvSpPr>
        <xdr:cNvPr id="26" name="Shape 26"/>
        <xdr:cNvSpPr txBox="1"/>
      </xdr:nvSpPr>
      <xdr:spPr>
        <a:xfrm>
          <a:off x="535875" y="3065625"/>
          <a:ext cx="9620250" cy="14287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400"/>
            <a:buFont typeface="Arial"/>
            <a:buNone/>
          </a:pPr>
          <a:r>
            <a:t/>
          </a:r>
          <a:endParaRPr b="0" i="0" sz="1400" u="sng" cap="none">
            <a:solidFill>
              <a:schemeClr val="accent4"/>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there is an even number of numbers in the set, then MEDIAN calculates the average of the two numbers in the middle. See the second formula in the example.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can either be numbers or names, arrays, or references that contain numbers.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array or reference argument contains text, logical values, or empty cells, those values are ignored; however, cells with the value zero are included.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Arguments that are error values or text that cannot be translated into numbers cause errors.</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12</xdr:row>
      <xdr:rowOff>-19050</xdr:rowOff>
    </xdr:from>
    <xdr:ext cx="8582025" cy="2505075"/>
    <xdr:sp>
      <xdr:nvSpPr>
        <xdr:cNvPr id="27" name="Shape 27"/>
        <xdr:cNvSpPr txBox="1"/>
      </xdr:nvSpPr>
      <xdr:spPr>
        <a:xfrm>
          <a:off x="1064513" y="2536988"/>
          <a:ext cx="8562975" cy="24860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FIND is case sensitive and don't allow wildcard characters. If you don't want to do a case sensitive search or use wildcard characters, you can use SEARCH.</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find_text is "" (empty text), FIND matches the first character in the search string (that is, the character numbered start_num or 1).</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Find_text cannot contain any wildcard characters.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find_text does not appear in within_text, FIND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start_num is not greater than zero, FIND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start_num is greater than the length of within_text, FIND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-19050</xdr:colOff>
      <xdr:row>41</xdr:row>
      <xdr:rowOff>-9525</xdr:rowOff>
    </xdr:from>
    <xdr:ext cx="8582025" cy="2676525"/>
    <xdr:sp>
      <xdr:nvSpPr>
        <xdr:cNvPr id="28" name="Shape 28"/>
        <xdr:cNvSpPr txBox="1"/>
      </xdr:nvSpPr>
      <xdr:spPr>
        <a:xfrm>
          <a:off x="1064513" y="2451263"/>
          <a:ext cx="8562975" cy="26574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t>
          </a:r>
          <a:r>
            <a:rPr b="1" i="0" lang="en-US" sz="1100">
              <a:solidFill>
                <a:schemeClr val="dk1"/>
              </a:solidFill>
              <a:latin typeface="Calibri"/>
              <a:ea typeface="Calibri"/>
              <a:cs typeface="Calibri"/>
              <a:sym typeface="Calibri"/>
            </a:rPr>
            <a:t>SEARCH</a:t>
          </a:r>
          <a:r>
            <a:rPr b="0" i="0" lang="en-US" sz="1100">
              <a:solidFill>
                <a:schemeClr val="dk1"/>
              </a:solidFill>
              <a:latin typeface="Calibri"/>
              <a:ea typeface="Calibri"/>
              <a:cs typeface="Calibri"/>
              <a:sym typeface="Calibri"/>
            </a:rPr>
            <a:t> functions is not case sensitive. If you want to do a case sensitive search, you can use </a:t>
          </a:r>
          <a:r>
            <a:rPr b="1" i="0" lang="en-US" sz="1100">
              <a:solidFill>
                <a:schemeClr val="dk1"/>
              </a:solidFill>
              <a:latin typeface="Calibri"/>
              <a:ea typeface="Calibri"/>
              <a:cs typeface="Calibri"/>
              <a:sym typeface="Calibri"/>
            </a:rPr>
            <a:t>FIND.</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the wildcard characters — the question mark (</a:t>
          </a:r>
          <a:r>
            <a:rPr b="1" i="0" lang="en-US" sz="1100">
              <a:solidFill>
                <a:schemeClr val="dk1"/>
              </a:solidFill>
              <a:latin typeface="Calibri"/>
              <a:ea typeface="Calibri"/>
              <a:cs typeface="Calibri"/>
              <a:sym typeface="Calibri"/>
            </a:rPr>
            <a:t>?</a:t>
          </a:r>
          <a:r>
            <a:rPr b="0" i="0" lang="en-US" sz="1100">
              <a:solidFill>
                <a:schemeClr val="dk1"/>
              </a:solidFill>
              <a:latin typeface="Calibri"/>
              <a:ea typeface="Calibri"/>
              <a:cs typeface="Calibri"/>
              <a:sym typeface="Calibri"/>
            </a:rPr>
            <a:t>) and asterisk (</a:t>
          </a:r>
          <a:r>
            <a:rPr b="1" i="0" lang="en-US" sz="1100">
              <a:solidFill>
                <a:schemeClr val="dk1"/>
              </a:solidFill>
              <a:latin typeface="Calibri"/>
              <a:ea typeface="Calibri"/>
              <a:cs typeface="Calibri"/>
              <a:sym typeface="Calibri"/>
            </a:rPr>
            <a:t>*</a:t>
          </a:r>
          <a:r>
            <a:rPr b="0" i="0" lang="en-US" sz="1100">
              <a:solidFill>
                <a:schemeClr val="dk1"/>
              </a:solidFill>
              <a:latin typeface="Calibri"/>
              <a:ea typeface="Calibri"/>
              <a:cs typeface="Calibri"/>
              <a:sym typeface="Calibri"/>
            </a:rPr>
            <a:t>) — in the </a:t>
          </a:r>
          <a:r>
            <a:rPr b="1" i="1" lang="en-US" sz="1100">
              <a:solidFill>
                <a:schemeClr val="dk1"/>
              </a:solidFill>
              <a:latin typeface="Calibri"/>
              <a:ea typeface="Calibri"/>
              <a:cs typeface="Calibri"/>
              <a:sym typeface="Calibri"/>
            </a:rPr>
            <a:t>find_text</a:t>
          </a:r>
          <a:r>
            <a:rPr b="0" i="0" lang="en-US" sz="1100">
              <a:solidFill>
                <a:schemeClr val="dk1"/>
              </a:solidFill>
              <a:latin typeface="Calibri"/>
              <a:ea typeface="Calibri"/>
              <a:cs typeface="Calibri"/>
              <a:sym typeface="Calibri"/>
            </a:rPr>
            <a:t> argument. A question mark matches any single character; an asterisk matches any sequence of characters. If you want to find an actual question mark or asterisk, type a tilde (</a:t>
          </a:r>
          <a:r>
            <a:rPr b="1" i="0" lang="en-US" sz="1100">
              <a:solidFill>
                <a:schemeClr val="dk1"/>
              </a:solidFill>
              <a:latin typeface="Calibri"/>
              <a:ea typeface="Calibri"/>
              <a:cs typeface="Calibri"/>
              <a:sym typeface="Calibri"/>
            </a:rPr>
            <a:t>~</a:t>
          </a:r>
          <a:r>
            <a:rPr b="0" i="0" lang="en-US" sz="1100">
              <a:solidFill>
                <a:schemeClr val="dk1"/>
              </a:solidFill>
              <a:latin typeface="Calibri"/>
              <a:ea typeface="Calibri"/>
              <a:cs typeface="Calibri"/>
              <a:sym typeface="Calibri"/>
            </a:rPr>
            <a:t>) before the character.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value of </a:t>
          </a:r>
          <a:r>
            <a:rPr b="1" i="1" lang="en-US" sz="1100">
              <a:solidFill>
                <a:schemeClr val="dk1"/>
              </a:solidFill>
              <a:latin typeface="Calibri"/>
              <a:ea typeface="Calibri"/>
              <a:cs typeface="Calibri"/>
              <a:sym typeface="Calibri"/>
            </a:rPr>
            <a:t>find_text</a:t>
          </a:r>
          <a:r>
            <a:rPr b="0" i="0" lang="en-US" sz="1100">
              <a:solidFill>
                <a:schemeClr val="dk1"/>
              </a:solidFill>
              <a:latin typeface="Calibri"/>
              <a:ea typeface="Calibri"/>
              <a:cs typeface="Calibri"/>
              <a:sym typeface="Calibri"/>
            </a:rPr>
            <a:t> is not found, the #VALUE! error value is returned.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t>
          </a:r>
          <a:r>
            <a:rPr b="1" i="1" lang="en-US" sz="1100">
              <a:solidFill>
                <a:schemeClr val="dk1"/>
              </a:solidFill>
              <a:latin typeface="Calibri"/>
              <a:ea typeface="Calibri"/>
              <a:cs typeface="Calibri"/>
              <a:sym typeface="Calibri"/>
            </a:rPr>
            <a:t>start_num</a:t>
          </a:r>
          <a:r>
            <a:rPr b="0" i="0" lang="en-US" sz="1100">
              <a:solidFill>
                <a:schemeClr val="dk1"/>
              </a:solidFill>
              <a:latin typeface="Calibri"/>
              <a:ea typeface="Calibri"/>
              <a:cs typeface="Calibri"/>
              <a:sym typeface="Calibri"/>
            </a:rPr>
            <a:t> argument is omitted, it is assumed to be 1.</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t>
          </a:r>
          <a:r>
            <a:rPr b="1" i="1" lang="en-US" sz="1100">
              <a:solidFill>
                <a:schemeClr val="dk1"/>
              </a:solidFill>
              <a:latin typeface="Calibri"/>
              <a:ea typeface="Calibri"/>
              <a:cs typeface="Calibri"/>
              <a:sym typeface="Calibri"/>
            </a:rPr>
            <a:t>start_num</a:t>
          </a:r>
          <a:r>
            <a:rPr b="0" i="0" lang="en-US" sz="1100">
              <a:solidFill>
                <a:schemeClr val="dk1"/>
              </a:solidFill>
              <a:latin typeface="Calibri"/>
              <a:ea typeface="Calibri"/>
              <a:cs typeface="Calibri"/>
              <a:sym typeface="Calibri"/>
            </a:rPr>
            <a:t> is not greater than 0 (zero) or is greater than the length of the </a:t>
          </a:r>
          <a:r>
            <a:rPr b="1" i="1" lang="en-US" sz="1100">
              <a:solidFill>
                <a:schemeClr val="dk1"/>
              </a:solidFill>
              <a:latin typeface="Calibri"/>
              <a:ea typeface="Calibri"/>
              <a:cs typeface="Calibri"/>
              <a:sym typeface="Calibri"/>
            </a:rPr>
            <a:t>within_text</a:t>
          </a:r>
          <a:r>
            <a:rPr b="0" i="0" lang="en-US" sz="1100">
              <a:solidFill>
                <a:schemeClr val="dk1"/>
              </a:solidFill>
              <a:latin typeface="Calibri"/>
              <a:ea typeface="Calibri"/>
              <a:cs typeface="Calibri"/>
              <a:sym typeface="Calibri"/>
            </a:rPr>
            <a:t> argument, the #VALUE! error value is returned.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Use </a:t>
          </a:r>
          <a:r>
            <a:rPr b="1" i="1" lang="en-US" sz="1100">
              <a:solidFill>
                <a:schemeClr val="dk1"/>
              </a:solidFill>
              <a:latin typeface="Calibri"/>
              <a:ea typeface="Calibri"/>
              <a:cs typeface="Calibri"/>
              <a:sym typeface="Calibri"/>
            </a:rPr>
            <a:t>start_num</a:t>
          </a:r>
          <a:r>
            <a:rPr b="0" i="0" lang="en-US" sz="1100">
              <a:solidFill>
                <a:schemeClr val="dk1"/>
              </a:solidFill>
              <a:latin typeface="Calibri"/>
              <a:ea typeface="Calibri"/>
              <a:cs typeface="Calibri"/>
              <a:sym typeface="Calibri"/>
            </a:rPr>
            <a:t> to skip a specified number of characters. Using the </a:t>
          </a:r>
          <a:r>
            <a:rPr b="1" i="0" lang="en-US" sz="1100">
              <a:solidFill>
                <a:schemeClr val="dk1"/>
              </a:solidFill>
              <a:latin typeface="Calibri"/>
              <a:ea typeface="Calibri"/>
              <a:cs typeface="Calibri"/>
              <a:sym typeface="Calibri"/>
            </a:rPr>
            <a:t>SEARCH</a:t>
          </a:r>
          <a:r>
            <a:rPr b="0" i="0" lang="en-US" sz="1100">
              <a:solidFill>
                <a:schemeClr val="dk1"/>
              </a:solidFill>
              <a:latin typeface="Calibri"/>
              <a:ea typeface="Calibri"/>
              <a:cs typeface="Calibri"/>
              <a:sym typeface="Calibri"/>
            </a:rPr>
            <a:t> function as an example, suppose you are working with the text string "AYF0093.YoungMensApparel". To find the position of the first "Y" in the descriptive part of the text string, set </a:t>
          </a:r>
          <a:r>
            <a:rPr b="1" i="1" lang="en-US" sz="1100">
              <a:solidFill>
                <a:schemeClr val="dk1"/>
              </a:solidFill>
              <a:latin typeface="Calibri"/>
              <a:ea typeface="Calibri"/>
              <a:cs typeface="Calibri"/>
              <a:sym typeface="Calibri"/>
            </a:rPr>
            <a:t>start_num</a:t>
          </a:r>
          <a:r>
            <a:rPr b="0" i="0" lang="en-US" sz="1100">
              <a:solidFill>
                <a:schemeClr val="dk1"/>
              </a:solidFill>
              <a:latin typeface="Calibri"/>
              <a:ea typeface="Calibri"/>
              <a:cs typeface="Calibri"/>
              <a:sym typeface="Calibri"/>
            </a:rPr>
            <a:t> equal to 8 so that the serial number portion of the text (in this case, "AYF0093") is not searched. The </a:t>
          </a:r>
          <a:r>
            <a:rPr b="1" i="0" lang="en-US" sz="1100">
              <a:solidFill>
                <a:schemeClr val="dk1"/>
              </a:solidFill>
              <a:latin typeface="Calibri"/>
              <a:ea typeface="Calibri"/>
              <a:cs typeface="Calibri"/>
              <a:sym typeface="Calibri"/>
            </a:rPr>
            <a:t>SEARCH</a:t>
          </a:r>
          <a:r>
            <a:rPr b="0" i="0" lang="en-US" sz="1100">
              <a:solidFill>
                <a:schemeClr val="dk1"/>
              </a:solidFill>
              <a:latin typeface="Calibri"/>
              <a:ea typeface="Calibri"/>
              <a:cs typeface="Calibri"/>
              <a:sym typeface="Calibri"/>
            </a:rPr>
            <a:t> function starts the search operation at the eighth character position, finds the character that is specified in the </a:t>
          </a:r>
          <a:r>
            <a:rPr b="1" i="1" lang="en-US" sz="1100">
              <a:solidFill>
                <a:schemeClr val="dk1"/>
              </a:solidFill>
              <a:latin typeface="Calibri"/>
              <a:ea typeface="Calibri"/>
              <a:cs typeface="Calibri"/>
              <a:sym typeface="Calibri"/>
            </a:rPr>
            <a:t>find_text</a:t>
          </a:r>
          <a:r>
            <a:rPr b="0" i="0" lang="en-US" sz="1100">
              <a:solidFill>
                <a:schemeClr val="dk1"/>
              </a:solidFill>
              <a:latin typeface="Calibri"/>
              <a:ea typeface="Calibri"/>
              <a:cs typeface="Calibri"/>
              <a:sym typeface="Calibri"/>
            </a:rPr>
            <a:t> argument at the next position, and returns the number 9. The </a:t>
          </a:r>
          <a:r>
            <a:rPr b="1" i="0" lang="en-US" sz="1100">
              <a:solidFill>
                <a:schemeClr val="dk1"/>
              </a:solidFill>
              <a:latin typeface="Calibri"/>
              <a:ea typeface="Calibri"/>
              <a:cs typeface="Calibri"/>
              <a:sym typeface="Calibri"/>
            </a:rPr>
            <a:t>SEARCH</a:t>
          </a:r>
          <a:r>
            <a:rPr b="0" i="0" lang="en-US" sz="1100">
              <a:solidFill>
                <a:schemeClr val="dk1"/>
              </a:solidFill>
              <a:latin typeface="Calibri"/>
              <a:ea typeface="Calibri"/>
              <a:cs typeface="Calibri"/>
              <a:sym typeface="Calibri"/>
            </a:rPr>
            <a:t> function always returns the number of characters from the start of the </a:t>
          </a:r>
          <a:r>
            <a:rPr b="1" i="1" lang="en-US" sz="1100">
              <a:solidFill>
                <a:schemeClr val="dk1"/>
              </a:solidFill>
              <a:latin typeface="Calibri"/>
              <a:ea typeface="Calibri"/>
              <a:cs typeface="Calibri"/>
              <a:sym typeface="Calibri"/>
            </a:rPr>
            <a:t>within_text</a:t>
          </a:r>
          <a:r>
            <a:rPr b="0" i="0" lang="en-US" sz="1100">
              <a:solidFill>
                <a:schemeClr val="dk1"/>
              </a:solidFill>
              <a:latin typeface="Calibri"/>
              <a:ea typeface="Calibri"/>
              <a:cs typeface="Calibri"/>
              <a:sym typeface="Calibri"/>
            </a:rPr>
            <a:t>argument, counting the characters you skip if the </a:t>
          </a:r>
          <a:r>
            <a:rPr b="1" i="1" lang="en-US" sz="1100">
              <a:solidFill>
                <a:schemeClr val="dk1"/>
              </a:solidFill>
              <a:latin typeface="Calibri"/>
              <a:ea typeface="Calibri"/>
              <a:cs typeface="Calibri"/>
              <a:sym typeface="Calibri"/>
            </a:rPr>
            <a:t>start_num</a:t>
          </a:r>
          <a:r>
            <a:rPr b="0" i="0" lang="en-US" sz="1100">
              <a:solidFill>
                <a:schemeClr val="dk1"/>
              </a:solidFill>
              <a:latin typeface="Calibri"/>
              <a:ea typeface="Calibri"/>
              <a:cs typeface="Calibri"/>
              <a:sym typeface="Calibri"/>
            </a:rPr>
            <a:t> argument is greater than 1.</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28</xdr:row>
      <xdr:rowOff>-19050</xdr:rowOff>
    </xdr:from>
    <xdr:ext cx="7572375" cy="1276350"/>
    <xdr:sp>
      <xdr:nvSpPr>
        <xdr:cNvPr id="29" name="Shape 29"/>
        <xdr:cNvSpPr txBox="1"/>
      </xdr:nvSpPr>
      <xdr:spPr>
        <a:xfrm>
          <a:off x="1569338" y="3151350"/>
          <a:ext cx="7553325" cy="12573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a:t>
          </a:r>
          <a:r>
            <a:rPr b="1" i="0" lang="en-US" sz="1100">
              <a:solidFill>
                <a:schemeClr val="dk1"/>
              </a:solidFill>
              <a:latin typeface="Calibri"/>
              <a:ea typeface="Calibri"/>
              <a:cs typeface="Calibri"/>
              <a:sym typeface="Calibri"/>
            </a:rPr>
            <a:t>LOOKUP</a:t>
          </a:r>
          <a:r>
            <a:rPr b="0" i="0" lang="en-US" sz="1100">
              <a:solidFill>
                <a:schemeClr val="dk1"/>
              </a:solidFill>
              <a:latin typeface="Calibri"/>
              <a:ea typeface="Calibri"/>
              <a:cs typeface="Calibri"/>
              <a:sym typeface="Calibri"/>
            </a:rPr>
            <a:t> function can't find the </a:t>
          </a:r>
          <a:r>
            <a:rPr b="1" i="1" lang="en-US" sz="1100">
              <a:solidFill>
                <a:schemeClr val="dk1"/>
              </a:solidFill>
              <a:latin typeface="Calibri"/>
              <a:ea typeface="Calibri"/>
              <a:cs typeface="Calibri"/>
              <a:sym typeface="Calibri"/>
            </a:rPr>
            <a:t>lookup_value</a:t>
          </a:r>
          <a:r>
            <a:rPr b="0" i="0" lang="en-US" sz="1100">
              <a:solidFill>
                <a:schemeClr val="dk1"/>
              </a:solidFill>
              <a:latin typeface="Calibri"/>
              <a:ea typeface="Calibri"/>
              <a:cs typeface="Calibri"/>
              <a:sym typeface="Calibri"/>
            </a:rPr>
            <a:t>, the function matches the largest value in </a:t>
          </a:r>
          <a:r>
            <a:rPr b="1" i="1" lang="en-US" sz="1100">
              <a:solidFill>
                <a:schemeClr val="dk1"/>
              </a:solidFill>
              <a:latin typeface="Calibri"/>
              <a:ea typeface="Calibri"/>
              <a:cs typeface="Calibri"/>
              <a:sym typeface="Calibri"/>
            </a:rPr>
            <a:t>lookup_vector</a:t>
          </a:r>
          <a:r>
            <a:rPr b="0" i="0" lang="en-US" sz="1100">
              <a:solidFill>
                <a:schemeClr val="dk1"/>
              </a:solidFill>
              <a:latin typeface="Calibri"/>
              <a:ea typeface="Calibri"/>
              <a:cs typeface="Calibri"/>
              <a:sym typeface="Calibri"/>
            </a:rPr>
            <a:t>that is less than or equal to </a:t>
          </a:r>
          <a:r>
            <a:rPr b="1" i="1" lang="en-US" sz="1100">
              <a:solidFill>
                <a:schemeClr val="dk1"/>
              </a:solidFill>
              <a:latin typeface="Calibri"/>
              <a:ea typeface="Calibri"/>
              <a:cs typeface="Calibri"/>
              <a:sym typeface="Calibri"/>
            </a:rPr>
            <a:t>lookup_value</a:t>
          </a:r>
          <a:r>
            <a:rPr b="0" i="0" lang="en-US" sz="1100">
              <a:solidFill>
                <a:schemeClr val="dk1"/>
              </a:solidFill>
              <a:latin typeface="Calibri"/>
              <a:ea typeface="Calibri"/>
              <a:cs typeface="Calibri"/>
              <a:sym typeface="Calibri"/>
            </a:rPr>
            <a: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t>
          </a:r>
          <a:r>
            <a:rPr b="1" i="1" lang="en-US" sz="1100">
              <a:solidFill>
                <a:schemeClr val="dk1"/>
              </a:solidFill>
              <a:latin typeface="Calibri"/>
              <a:ea typeface="Calibri"/>
              <a:cs typeface="Calibri"/>
              <a:sym typeface="Calibri"/>
            </a:rPr>
            <a:t>lookup_value</a:t>
          </a:r>
          <a:r>
            <a:rPr b="0" i="0" lang="en-US" sz="1100">
              <a:solidFill>
                <a:schemeClr val="dk1"/>
              </a:solidFill>
              <a:latin typeface="Calibri"/>
              <a:ea typeface="Calibri"/>
              <a:cs typeface="Calibri"/>
              <a:sym typeface="Calibri"/>
            </a:rPr>
            <a:t> is smaller than the smallest value in </a:t>
          </a:r>
          <a:r>
            <a:rPr b="1" i="1" lang="en-US" sz="1100">
              <a:solidFill>
                <a:schemeClr val="dk1"/>
              </a:solidFill>
              <a:latin typeface="Calibri"/>
              <a:ea typeface="Calibri"/>
              <a:cs typeface="Calibri"/>
              <a:sym typeface="Calibri"/>
            </a:rPr>
            <a:t>lookup_vector</a:t>
          </a:r>
          <a:r>
            <a:rPr b="0" i="0" lang="en-US" sz="1100">
              <a:solidFill>
                <a:schemeClr val="dk1"/>
              </a:solidFill>
              <a:latin typeface="Calibri"/>
              <a:ea typeface="Calibri"/>
              <a:cs typeface="Calibri"/>
              <a:sym typeface="Calibri"/>
            </a:rPr>
            <a:t>, </a:t>
          </a:r>
          <a:r>
            <a:rPr b="1" i="0" lang="en-US" sz="1100">
              <a:solidFill>
                <a:schemeClr val="dk1"/>
              </a:solidFill>
              <a:latin typeface="Calibri"/>
              <a:ea typeface="Calibri"/>
              <a:cs typeface="Calibri"/>
              <a:sym typeface="Calibri"/>
            </a:rPr>
            <a:t>LOOKUP</a:t>
          </a:r>
          <a:r>
            <a:rPr b="0" i="0" lang="en-US" sz="1100">
              <a:solidFill>
                <a:schemeClr val="dk1"/>
              </a:solidFill>
              <a:latin typeface="Calibri"/>
              <a:ea typeface="Calibri"/>
              <a:cs typeface="Calibri"/>
              <a:sym typeface="Calibri"/>
            </a:rPr>
            <a:t> returns the #N/A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180975</xdr:colOff>
      <xdr:row>45</xdr:row>
      <xdr:rowOff>104775</xdr:rowOff>
    </xdr:from>
    <xdr:ext cx="7572375" cy="1343025"/>
    <xdr:sp>
      <xdr:nvSpPr>
        <xdr:cNvPr id="30" name="Shape 30"/>
        <xdr:cNvSpPr txBox="1"/>
      </xdr:nvSpPr>
      <xdr:spPr>
        <a:xfrm>
          <a:off x="1569338" y="3118013"/>
          <a:ext cx="7553325" cy="13239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HLOOKUP can't find lookup_value, and range_lookup is TRUE, it uses the largest value that is less than lookup_value.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lookup_value is smaller than the smallest value in the first row of table_array, HLOOKUP returns the #N/A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24</xdr:row>
      <xdr:rowOff>-19050</xdr:rowOff>
    </xdr:from>
    <xdr:ext cx="7600950" cy="1676400"/>
    <xdr:sp>
      <xdr:nvSpPr>
        <xdr:cNvPr id="31" name="Shape 31"/>
        <xdr:cNvSpPr txBox="1"/>
      </xdr:nvSpPr>
      <xdr:spPr>
        <a:xfrm>
          <a:off x="1555050" y="2951325"/>
          <a:ext cx="7581900" cy="16573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index_num is an array, every value is evaluated when CHOOSE is evaluated.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value arguments to CHOOSE can be range references as well as single values.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For example, the formula:</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=SUM(CHOOSE(2,A1:A10,B1:B10,C1:C10))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evaluates to: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=SUM(B1:B10)</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47</xdr:row>
      <xdr:rowOff>-19050</xdr:rowOff>
    </xdr:from>
    <xdr:ext cx="7600950" cy="1866900"/>
    <xdr:sp>
      <xdr:nvSpPr>
        <xdr:cNvPr id="32" name="Shape 32"/>
        <xdr:cNvSpPr txBox="1"/>
      </xdr:nvSpPr>
      <xdr:spPr>
        <a:xfrm>
          <a:off x="1555050" y="2856075"/>
          <a:ext cx="7581900" cy="18478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(Array Form)</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both the Row_num and Column_num arguments are used, INDEX returns the value in the cell at the intersection of Row_num and Column_num.</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set Row_num or Column_num to 0 (zero), INDEX returns the array of values for the entire column or row, respectively. </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To use values returned as an array, enter the INDEX function as an array formula in a horizontal range of cells for a row, and in a vertical range of cells for a column. To enter an array formula, press CTRL+SHIFT+ENTER.</a:t>
          </a:r>
          <a:endParaRPr sz="1400"/>
        </a:p>
        <a:p>
          <a:pPr indent="0" lvl="0" marL="0" rtl="0" algn="l">
            <a:spcBef>
              <a:spcPts val="0"/>
            </a:spcBef>
            <a:spcAft>
              <a:spcPts val="0"/>
            </a:spcAft>
            <a:buClr>
              <a:schemeClr val="dk1"/>
            </a:buClr>
            <a:buSzPts val="1100"/>
            <a:buFont typeface="Calibri"/>
            <a:buNone/>
          </a:pPr>
          <a:r>
            <a:rPr b="0" i="0" lang="en-US" sz="1100" cap="none">
              <a:solidFill>
                <a:schemeClr val="dk1"/>
              </a:solidFill>
              <a:latin typeface="Calibri"/>
              <a:ea typeface="Calibri"/>
              <a:cs typeface="Calibri"/>
              <a:sym typeface="Calibri"/>
            </a:rPr>
            <a:t>          </a:t>
          </a:r>
          <a:r>
            <a:rPr b="1" i="0" lang="en-US" sz="1100" cap="none">
              <a:solidFill>
                <a:schemeClr val="dk1"/>
              </a:solidFill>
              <a:latin typeface="Calibri"/>
              <a:ea typeface="Calibri"/>
              <a:cs typeface="Calibri"/>
              <a:sym typeface="Calibri"/>
            </a:rPr>
            <a:t>NOTE</a:t>
          </a:r>
          <a:r>
            <a:rPr b="0" i="0" lang="en-US" sz="1100" cap="none">
              <a:solidFill>
                <a:schemeClr val="dk1"/>
              </a:solidFill>
              <a:latin typeface="Calibri"/>
              <a:ea typeface="Calibri"/>
              <a:cs typeface="Calibri"/>
              <a:sym typeface="Calibri"/>
            </a:rPr>
            <a:t> </a:t>
          </a:r>
          <a:r>
            <a:rPr b="0" i="0" lang="en-US" sz="1100">
              <a:solidFill>
                <a:schemeClr val="dk1"/>
              </a:solidFill>
              <a:latin typeface="Calibri"/>
              <a:ea typeface="Calibri"/>
              <a:cs typeface="Calibri"/>
              <a:sym typeface="Calibri"/>
            </a:rPr>
            <a:t>   In Excel Web App, you cannot create array formulas.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Row_num and Column_num must point to a cell within array; otherwise, INDEX returns the #REF!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68</xdr:row>
      <xdr:rowOff>-19050</xdr:rowOff>
    </xdr:from>
    <xdr:ext cx="7600950" cy="2590800"/>
    <xdr:sp>
      <xdr:nvSpPr>
        <xdr:cNvPr id="33" name="Shape 33"/>
        <xdr:cNvSpPr txBox="1"/>
      </xdr:nvSpPr>
      <xdr:spPr>
        <a:xfrm>
          <a:off x="1555050" y="2494125"/>
          <a:ext cx="7581900" cy="25717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(Reference Form)</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After Reference and Area_num have selected a particular range, Row_num and Column_num select a particular cell: Row_num 1 is the first row in the range, Column_num 1 is the first column, and so on. The reference returned by INDEX is the intersection of Row_num and Column_num.</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you set Row_num or Column_num to 0 (zero), INDEX returns the reference for the entire column or row, respectively.</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Row_num, Column_num, and Area_num must point to a cell within reference; otherwise, INDEX returns the #REF! error value. If Row_num and Column_num are omitted, INDEX returns the area in reference specified by Area_num.</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endParaRPr sz="1400"/>
        </a:p>
        <a:p>
          <a:pPr indent="0" lvl="0" marL="0" rtl="0" algn="l">
            <a:spcBef>
              <a:spcPts val="0"/>
            </a:spcBef>
            <a:spcAft>
              <a:spcPts val="0"/>
            </a:spcAft>
            <a:buClr>
              <a:schemeClr val="dk1"/>
            </a:buClr>
            <a:buSzPts val="1100"/>
            <a:buFont typeface="Calibri"/>
            <a:buNone/>
          </a:pPr>
          <a:r>
            <a:rPr b="1" i="0" lang="en-US" sz="1100" cap="none">
              <a:solidFill>
                <a:schemeClr val="dk1"/>
              </a:solidFill>
              <a:latin typeface="Calibri"/>
              <a:ea typeface="Calibri"/>
              <a:cs typeface="Calibri"/>
              <a:sym typeface="Calibri"/>
            </a:rPr>
            <a:t>NOTE</a:t>
          </a:r>
          <a:r>
            <a:rPr b="0" i="0" lang="en-US" sz="1100" cap="none">
              <a:solidFill>
                <a:schemeClr val="dk1"/>
              </a:solidFill>
              <a:latin typeface="Calibri"/>
              <a:ea typeface="Calibri"/>
              <a:cs typeface="Calibri"/>
              <a:sym typeface="Calibri"/>
            </a:rPr>
            <a:t> </a:t>
          </a:r>
          <a:r>
            <a:rPr b="0" i="0" lang="en-US" sz="1100">
              <a:solidFill>
                <a:schemeClr val="dk1"/>
              </a:solidFill>
              <a:latin typeface="Calibri"/>
              <a:ea typeface="Calibri"/>
              <a:cs typeface="Calibri"/>
              <a:sym typeface="Calibri"/>
            </a:rPr>
            <a:t>   The CELL function is not available in Excel Web App.</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104</xdr:row>
      <xdr:rowOff>-19050</xdr:rowOff>
    </xdr:from>
    <xdr:ext cx="7600950" cy="1524000"/>
    <xdr:sp>
      <xdr:nvSpPr>
        <xdr:cNvPr id="34" name="Shape 34"/>
        <xdr:cNvSpPr txBox="1"/>
      </xdr:nvSpPr>
      <xdr:spPr>
        <a:xfrm>
          <a:off x="1555050" y="3027525"/>
          <a:ext cx="7581900" cy="15049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rows and cols offset reference over the edge of the worksheet, OFFSET returns the #REF!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height or width is omitted, it is assumed to be the same height or width as reference.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29</xdr:row>
      <xdr:rowOff>-19050</xdr:rowOff>
    </xdr:from>
    <xdr:ext cx="7724775" cy="962025"/>
    <xdr:sp>
      <xdr:nvSpPr>
        <xdr:cNvPr id="35" name="Shape 35"/>
        <xdr:cNvSpPr txBox="1"/>
      </xdr:nvSpPr>
      <xdr:spPr>
        <a:xfrm>
          <a:off x="1493138" y="3308513"/>
          <a:ext cx="7705725" cy="9429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100"/>
        </a:p>
      </xdr:txBody>
    </xdr:sp>
    <xdr:clientData fLocksWithSheet="0"/>
  </xdr:oneCellAnchor>
  <xdr:oneCellAnchor>
    <xdr:from>
      <xdr:col>6</xdr:col>
      <xdr:colOff>-19050</xdr:colOff>
      <xdr:row>43</xdr:row>
      <xdr:rowOff>-19050</xdr:rowOff>
    </xdr:from>
    <xdr:ext cx="7724775" cy="1104900"/>
    <xdr:sp>
      <xdr:nvSpPr>
        <xdr:cNvPr id="36" name="Shape 36"/>
        <xdr:cNvSpPr txBox="1"/>
      </xdr:nvSpPr>
      <xdr:spPr>
        <a:xfrm>
          <a:off x="1493138" y="3237075"/>
          <a:ext cx="7705725" cy="10858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Date information in time_text is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57</xdr:row>
      <xdr:rowOff>-19050</xdr:rowOff>
    </xdr:from>
    <xdr:ext cx="7724775" cy="1543050"/>
    <xdr:sp>
      <xdr:nvSpPr>
        <xdr:cNvPr id="37" name="Shape 37"/>
        <xdr:cNvSpPr txBox="1"/>
      </xdr:nvSpPr>
      <xdr:spPr>
        <a:xfrm>
          <a:off x="1493138" y="3018000"/>
          <a:ext cx="7705725" cy="15240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Excel stores dates as sequential serial numbers so that they can be used in calculations. By default, January 1, 1900 is serial number 1, and January 1, 2008 is serial number 39448 because it is 39,447 days after January 1, 1900.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Numbers to the right of the decimal point in the serial number represent the time; numbers to the left represent the date. For example, the serial number 0.5 represents the time 12:00 noon.</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results of the </a:t>
          </a:r>
          <a:r>
            <a:rPr b="1" i="0" lang="en-US" sz="1100">
              <a:solidFill>
                <a:schemeClr val="dk1"/>
              </a:solidFill>
              <a:latin typeface="Calibri"/>
              <a:ea typeface="Calibri"/>
              <a:cs typeface="Calibri"/>
              <a:sym typeface="Calibri"/>
            </a:rPr>
            <a:t>NOW</a:t>
          </a:r>
          <a:r>
            <a:rPr b="0" i="0" lang="en-US" sz="1100">
              <a:solidFill>
                <a:schemeClr val="dk1"/>
              </a:solidFill>
              <a:latin typeface="Calibri"/>
              <a:ea typeface="Calibri"/>
              <a:cs typeface="Calibri"/>
              <a:sym typeface="Calibri"/>
            </a:rPr>
            <a:t> function change only when the worksheet is calculated or when a macro that contains the function is run. It is not updated continuously.</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85</xdr:row>
      <xdr:rowOff>-19050</xdr:rowOff>
    </xdr:from>
    <xdr:ext cx="7724775" cy="1543050"/>
    <xdr:sp>
      <xdr:nvSpPr>
        <xdr:cNvPr id="38" name="Shape 38"/>
        <xdr:cNvSpPr txBox="1"/>
      </xdr:nvSpPr>
      <xdr:spPr>
        <a:xfrm>
          <a:off x="1493138" y="3018000"/>
          <a:ext cx="7705725" cy="15240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indent="0" lvl="0" marL="0" rtl="0" algn="l">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109</xdr:row>
      <xdr:rowOff>-19050</xdr:rowOff>
    </xdr:from>
    <xdr:ext cx="7724775" cy="1314450"/>
    <xdr:sp>
      <xdr:nvSpPr>
        <xdr:cNvPr id="39" name="Shape 39"/>
        <xdr:cNvSpPr txBox="1"/>
      </xdr:nvSpPr>
      <xdr:spPr>
        <a:xfrm>
          <a:off x="1493138" y="3132300"/>
          <a:ext cx="7705725" cy="12954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serial_number is out of range for the current date base value, a #NUM! error is returned.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return_type is out of the range specified in the table above, a #NUM! error is returned.</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124</xdr:row>
      <xdr:rowOff>-19050</xdr:rowOff>
    </xdr:from>
    <xdr:ext cx="7724775" cy="1485900"/>
    <xdr:sp>
      <xdr:nvSpPr>
        <xdr:cNvPr id="40" name="Shape 40"/>
        <xdr:cNvSpPr txBox="1"/>
      </xdr:nvSpPr>
      <xdr:spPr>
        <a:xfrm>
          <a:off x="1493138" y="3046575"/>
          <a:ext cx="7705725" cy="14668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both date arguments are numbers, DAYS uses EndDate–StartDate to calculate the number of days in between both dates.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either one of the date arguments is text, that argument is treated as DATEVALUE(date_text) and returns an integer date instead of a time component.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date arguments are numeric values that fall outside the range of valid dates, DAYS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date arguments are strings that cannot be parsed as valid dates, DAYS returns the #VALUE!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155</xdr:row>
      <xdr:rowOff>-19050</xdr:rowOff>
    </xdr:from>
    <xdr:ext cx="7724775" cy="1485900"/>
    <xdr:sp>
      <xdr:nvSpPr>
        <xdr:cNvPr id="41" name="Shape 41"/>
        <xdr:cNvSpPr txBox="1"/>
      </xdr:nvSpPr>
      <xdr:spPr>
        <a:xfrm>
          <a:off x="1493138" y="3046575"/>
          <a:ext cx="7705725" cy="14668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any argument is not a valid date, WORKDAY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start_date plus days yields an invalid date, WORKDAY returns the #NUM!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days is not an integer, it is truncated.</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140</xdr:row>
      <xdr:rowOff>-19050</xdr:rowOff>
    </xdr:from>
    <xdr:ext cx="7724775" cy="1076325"/>
    <xdr:sp>
      <xdr:nvSpPr>
        <xdr:cNvPr id="42" name="Shape 42"/>
        <xdr:cNvSpPr txBox="1"/>
      </xdr:nvSpPr>
      <xdr:spPr>
        <a:xfrm>
          <a:off x="1493138" y="3251363"/>
          <a:ext cx="7705725" cy="10572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2012 is serial number 40909 because it is 40,909 days after January 1, 1900.</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any argument is not a valid date, NETWORKDAYS returns the #VALUE!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87</xdr:row>
      <xdr:rowOff>-19050</xdr:rowOff>
    </xdr:from>
    <xdr:ext cx="7781925" cy="3086100"/>
    <xdr:sp>
      <xdr:nvSpPr>
        <xdr:cNvPr id="43" name="Shape 43"/>
        <xdr:cNvSpPr txBox="1"/>
      </xdr:nvSpPr>
      <xdr:spPr>
        <a:xfrm>
          <a:off x="1464563" y="2246475"/>
          <a:ext cx="7762875" cy="30670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FORMULATEXT function returns what is displayed in the formula bar if you select the referenced cell.</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Reference argument can be to another worksheet or workbook.</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Reference argument is to another workbook that is not open, FORMULATEXT returns the #N/A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Reference argument is to an entire row or column, or to a range or defined name containing more than one cell, FORMULATEXT returns the value in the upper leftmost cell of the row, column, or range.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In the following cases, FORMULATEXT returns the #N/A error value:</a:t>
          </a:r>
          <a:endParaRPr sz="1400"/>
        </a:p>
        <a:p>
          <a:pPr indent="0" lvl="1"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cell used as the Reference argument does not contain a formula.</a:t>
          </a:r>
          <a:endParaRPr sz="1400"/>
        </a:p>
        <a:p>
          <a:pPr indent="0" lvl="1"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formula in the cell is longer than 8192 characters.</a:t>
          </a:r>
          <a:endParaRPr sz="1400"/>
        </a:p>
        <a:p>
          <a:pPr indent="0" lvl="1"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formula can't be displayed in the worksheet; for example, due to worksheet protection.</a:t>
          </a:r>
          <a:endParaRPr sz="1400"/>
        </a:p>
        <a:p>
          <a:pPr indent="0" lvl="1"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An external workbook that contains the formula is not open in Excel.</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Invalid data types used as inputs will produce a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Entering a reference to the cell in which you are entering the function as the argument won't result in a circular reference warning. FORMULATEXT will successfully return the formula as text in the cell.</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122</xdr:row>
      <xdr:rowOff>-19050</xdr:rowOff>
    </xdr:from>
    <xdr:ext cx="7781925" cy="1790700"/>
    <xdr:sp>
      <xdr:nvSpPr>
        <xdr:cNvPr id="44" name="Shape 44"/>
        <xdr:cNvSpPr txBox="1"/>
      </xdr:nvSpPr>
      <xdr:spPr>
        <a:xfrm>
          <a:off x="1464563" y="2894175"/>
          <a:ext cx="7762875" cy="17716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(MID)</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start_num is greater than the length of text, MID returns "" (empty text).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start_num is less than the length of text, but start_num plus num_chars exceeds the length of text, MID returns the characters up to the end of text.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start_num is less than 1, MID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num_chars is negative, MID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num_bytes is negative, MIDB returns the #VALUE!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133</xdr:row>
      <xdr:rowOff>76200</xdr:rowOff>
    </xdr:from>
    <xdr:ext cx="7781925" cy="1219200"/>
    <xdr:sp>
      <xdr:nvSpPr>
        <xdr:cNvPr id="45" name="Shape 45"/>
        <xdr:cNvSpPr txBox="1"/>
      </xdr:nvSpPr>
      <xdr:spPr>
        <a:xfrm>
          <a:off x="1464563" y="3179925"/>
          <a:ext cx="7762875" cy="12001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 (RIGHT)</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Num_chars must be greater than or equal to zero.</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num_chars is greater than the length of text, RIGHT returns all of text.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num_chars is omitted, it is assumed to be 1.</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164</xdr:row>
      <xdr:rowOff>-19050</xdr:rowOff>
    </xdr:from>
    <xdr:ext cx="7781925" cy="1209675"/>
    <xdr:sp>
      <xdr:nvSpPr>
        <xdr:cNvPr id="46" name="Shape 46"/>
        <xdr:cNvSpPr txBox="1"/>
      </xdr:nvSpPr>
      <xdr:spPr>
        <a:xfrm>
          <a:off x="1464563" y="3184688"/>
          <a:ext cx="7762875" cy="11906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number_times is 0 (zero), REPT returns "" (empty text).</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number_times is not an integer, it is truncated.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result of the REPT function cannot be longer than 32,767 characters, or REPT returns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184</xdr:row>
      <xdr:rowOff>-19050</xdr:rowOff>
    </xdr:from>
    <xdr:ext cx="7781925" cy="1895475"/>
    <xdr:sp>
      <xdr:nvSpPr>
        <xdr:cNvPr id="47" name="Shape 47"/>
        <xdr:cNvSpPr txBox="1"/>
      </xdr:nvSpPr>
      <xdr:spPr>
        <a:xfrm>
          <a:off x="1464563" y="2841788"/>
          <a:ext cx="7762875" cy="18764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SHEET includes all worksheets (visible, hidden, or very hidden) in addition to all other sheet types (macro, chart, or dialog sheets).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value argument is not a valid value, SHEET returns the #REF! error value. For example, =SHEET(Sheet1!#REF) will return the #REF!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value argument is a sheet name that is not valid, SHEET returns the #NA error value. For example =SHEET(“badSheetName”) will return the #NA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SHEET is not available in the Object Model (OM) because the Object Model already includes similar functionality.</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205</xdr:row>
      <xdr:rowOff>-19050</xdr:rowOff>
    </xdr:from>
    <xdr:ext cx="7781925" cy="1362075"/>
    <xdr:sp>
      <xdr:nvSpPr>
        <xdr:cNvPr id="48" name="Shape 48"/>
        <xdr:cNvSpPr txBox="1"/>
      </xdr:nvSpPr>
      <xdr:spPr>
        <a:xfrm>
          <a:off x="1464563" y="3108488"/>
          <a:ext cx="7762875" cy="13430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SHEETS includes all worksheets (visible, hidden, or very hidden) in addition to all other sheet types (macro, chart, or dialog sheets).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reference is not a valid value, SHEETS returns the #REF!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SHEETS is not available in the Object Model (OM) because the Object Model already includes similar functionality.</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240</xdr:row>
      <xdr:rowOff>-19050</xdr:rowOff>
    </xdr:from>
    <xdr:ext cx="7781925" cy="1524000"/>
    <xdr:sp>
      <xdr:nvSpPr>
        <xdr:cNvPr id="49" name="Shape 49"/>
        <xdr:cNvSpPr txBox="1"/>
      </xdr:nvSpPr>
      <xdr:spPr>
        <a:xfrm>
          <a:off x="1464563" y="3027525"/>
          <a:ext cx="7762875" cy="15049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TYPE is most useful when you are using functions that can accept different types of data, such as ARGUMENT and INPUT. Use TYPE to find out what type of data is returned by a function or formula.</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cannot use TYPE to determine whether a cell contains a formula. TYPE only determines the type of the resulting, or displayed, value. If value is a cell reference to a cell that contains a formula, TYPE returns the type of the formula's resulting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257</xdr:row>
      <xdr:rowOff>-19050</xdr:rowOff>
    </xdr:from>
    <xdr:ext cx="7781925" cy="1524000"/>
    <xdr:sp>
      <xdr:nvSpPr>
        <xdr:cNvPr id="50" name="Shape 50"/>
        <xdr:cNvSpPr txBox="1"/>
      </xdr:nvSpPr>
      <xdr:spPr>
        <a:xfrm>
          <a:off x="1464563" y="3027525"/>
          <a:ext cx="7762875" cy="15049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Text can be in any of the constant number, date, or time formats recognized by Microsoft Excel. If text is not in one of these formats, VALUE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do not generally need to use the VALUE function in a formula because Excel automatically converts text to numbers as necessary. This function is provided for compatibility with other spreadsheet programs.</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12</xdr:row>
      <xdr:rowOff>-9525</xdr:rowOff>
    </xdr:from>
    <xdr:ext cx="7153275" cy="1495425"/>
    <xdr:sp>
      <xdr:nvSpPr>
        <xdr:cNvPr id="51" name="Shape 51"/>
        <xdr:cNvSpPr txBox="1"/>
      </xdr:nvSpPr>
      <xdr:spPr>
        <a:xfrm>
          <a:off x="1778888" y="3041813"/>
          <a:ext cx="7134225" cy="14763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100"/>
        </a:p>
      </xdr:txBody>
    </xdr:sp>
    <xdr:clientData fLocksWithSheet="0"/>
  </xdr:oneCellAnchor>
  <xdr:oneCellAnchor>
    <xdr:from>
      <xdr:col>6</xdr:col>
      <xdr:colOff>-19050</xdr:colOff>
      <xdr:row>30</xdr:row>
      <xdr:rowOff>-19050</xdr:rowOff>
    </xdr:from>
    <xdr:ext cx="7153275" cy="1162050"/>
    <xdr:sp>
      <xdr:nvSpPr>
        <xdr:cNvPr id="52" name="Shape 52"/>
        <xdr:cNvSpPr txBox="1"/>
      </xdr:nvSpPr>
      <xdr:spPr>
        <a:xfrm>
          <a:off x="1778888" y="3208500"/>
          <a:ext cx="7134225" cy="114300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Order is 0 (zero) or omitted, Excel ranks number as if ref were a list sorted in descending order.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Order is any nonzero value, Excel ranks number as if ref were a list sorted in ascending order.</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46</xdr:row>
      <xdr:rowOff>-19050</xdr:rowOff>
    </xdr:from>
    <xdr:ext cx="7153275" cy="1685925"/>
    <xdr:sp>
      <xdr:nvSpPr>
        <xdr:cNvPr id="53" name="Shape 53"/>
        <xdr:cNvSpPr txBox="1"/>
      </xdr:nvSpPr>
      <xdr:spPr>
        <a:xfrm>
          <a:off x="1778888" y="2946563"/>
          <a:ext cx="7134225" cy="166687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Order is 0 (zero) or omitted, Excel ranks Number as if Ref were a list sorted in descending order.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Order is any nonzero value, Excel ranks Number as if Ref were a list sorted in ascending order.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9</xdr:row>
      <xdr:rowOff>-19050</xdr:rowOff>
    </xdr:from>
    <xdr:ext cx="8048625" cy="1285875"/>
    <xdr:sp>
      <xdr:nvSpPr>
        <xdr:cNvPr id="54" name="Shape 54"/>
        <xdr:cNvSpPr txBox="1"/>
      </xdr:nvSpPr>
      <xdr:spPr>
        <a:xfrm>
          <a:off x="1331213" y="3146588"/>
          <a:ext cx="8029575" cy="12668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arguments must evaluate to logical values, such as TRUE or FALSE, or the arguments must be arrays or references that contain logical values.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array or reference argument contains text or empty cells, those values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specified range contains no logical values, the </a:t>
          </a:r>
          <a:r>
            <a:rPr b="1" i="0" lang="en-US" sz="1100">
              <a:solidFill>
                <a:schemeClr val="dk1"/>
              </a:solidFill>
              <a:latin typeface="Calibri"/>
              <a:ea typeface="Calibri"/>
              <a:cs typeface="Calibri"/>
              <a:sym typeface="Calibri"/>
            </a:rPr>
            <a:t>AND</a:t>
          </a:r>
          <a:r>
            <a:rPr b="0" i="0" lang="en-US" sz="1100">
              <a:solidFill>
                <a:schemeClr val="dk1"/>
              </a:solidFill>
              <a:latin typeface="Calibri"/>
              <a:ea typeface="Calibri"/>
              <a:cs typeface="Calibri"/>
              <a:sym typeface="Calibri"/>
            </a:rPr>
            <a:t> function returns the #VALUE! error value.</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26</xdr:row>
      <xdr:rowOff>-19050</xdr:rowOff>
    </xdr:from>
    <xdr:ext cx="8048625" cy="1285875"/>
    <xdr:sp>
      <xdr:nvSpPr>
        <xdr:cNvPr id="55" name="Shape 55"/>
        <xdr:cNvSpPr txBox="1"/>
      </xdr:nvSpPr>
      <xdr:spPr>
        <a:xfrm>
          <a:off x="1331213" y="3146588"/>
          <a:ext cx="8029575" cy="1266825"/>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array or reference argument contains text or empty cells, those values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specified range contains no logical values, OR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an OR array formula to see if a value occurs in an array. To enter an array formula, press CTRL+SHIFT+ENTER.</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-19050</xdr:colOff>
      <xdr:row>49</xdr:row>
      <xdr:rowOff>-19050</xdr:rowOff>
    </xdr:from>
    <xdr:ext cx="8048625" cy="1409700"/>
    <xdr:sp>
      <xdr:nvSpPr>
        <xdr:cNvPr id="56" name="Shape 56"/>
        <xdr:cNvSpPr txBox="1"/>
      </xdr:nvSpPr>
      <xdr:spPr>
        <a:xfrm>
          <a:off x="1331213" y="3084675"/>
          <a:ext cx="8029575" cy="1390650"/>
        </a:xfrm>
        <a:prstGeom prst="rect">
          <a:avLst/>
        </a:prstGeom>
        <a:solidFill>
          <a:schemeClr val="lt1"/>
        </a:solidFill>
        <a:ln cap="flat" cmpd="sng" w="25400">
          <a:solidFill>
            <a:schemeClr val="accent2"/>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FEFEFE"/>
            </a:buClr>
            <a:buSzPts val="1400"/>
            <a:buFont typeface="Calibri"/>
            <a:buNone/>
          </a:pPr>
          <a:r>
            <a:rPr b="0" i="0" lang="en-US" sz="1400" u="sng" cap="none">
              <a:solidFill>
                <a:srgbClr val="FEFEFE"/>
              </a:solidFill>
              <a:latin typeface="Calibri"/>
              <a:ea typeface="Calibri"/>
              <a:cs typeface="Calibri"/>
              <a:sym typeface="Calibri"/>
            </a:rPr>
            <a:t>Warnings</a:t>
          </a:r>
          <a:endParaRPr sz="1400"/>
        </a:p>
        <a:p>
          <a:pPr indent="0" lvl="0" marL="0" rtl="0" algn="ctr">
            <a:spcBef>
              <a:spcPts val="0"/>
            </a:spcBef>
            <a:spcAft>
              <a:spcPts val="0"/>
            </a:spcAft>
            <a:buSzPts val="1100"/>
            <a:buFont typeface="Arial"/>
            <a:buNone/>
          </a:pPr>
          <a:r>
            <a:t/>
          </a:r>
          <a:endParaRPr b="0" i="0"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an array or reference argument contains text or empty cells, those values are ignored.</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If the specified range contains no logical values, XOR returns the #VALUE! error value.</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You can use an XOR array formula to see if a value occurs in an array. To enter an array formula, press Ctrl+Shift+Enter.</a:t>
          </a:r>
          <a:endParaRPr sz="14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 The result of XOR is TRUE when the number of TRUE inputs is odd and FALSE when the number of TRUE inputs is even.</a:t>
          </a:r>
          <a:endParaRPr sz="1400"/>
        </a:p>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3" width="8.71"/>
    <col customWidth="1" min="4" max="4" width="30.86"/>
    <col customWidth="1" min="5" max="5" width="8.86"/>
    <col customWidth="1" min="6" max="9" width="8.71"/>
    <col customWidth="1" min="10" max="10" width="13.43"/>
    <col customWidth="1" min="11" max="11" width="8.71"/>
    <col customWidth="1" min="12" max="12" width="12.71"/>
    <col customWidth="1" min="13" max="14" width="8.71"/>
    <col customWidth="1" min="15" max="15" width="19.14"/>
    <col customWidth="1" min="16" max="16" width="8.71"/>
    <col customWidth="1" min="17" max="17" width="27.29"/>
    <col customWidth="1" min="18" max="18" width="41.14"/>
    <col customWidth="1" min="19" max="26" width="8.71"/>
  </cols>
  <sheetData>
    <row r="1" ht="22.5" customHeight="1">
      <c r="A1" s="1" t="s">
        <v>0</v>
      </c>
      <c r="B1" s="1" t="s">
        <v>1</v>
      </c>
      <c r="C1" s="1" t="s">
        <v>2</v>
      </c>
      <c r="D1" s="1" t="s">
        <v>3</v>
      </c>
      <c r="E1" s="1" t="s">
        <v>4</v>
      </c>
      <c r="F1" s="1" t="s">
        <v>5</v>
      </c>
      <c r="G1" s="1" t="s">
        <v>6</v>
      </c>
      <c r="H1" s="1" t="s">
        <v>7</v>
      </c>
      <c r="I1" s="1" t="s">
        <v>8</v>
      </c>
      <c r="J1" s="1" t="s">
        <v>9</v>
      </c>
      <c r="K1" s="1" t="s">
        <v>10</v>
      </c>
      <c r="L1" s="1" t="s">
        <v>11</v>
      </c>
      <c r="M1" s="2"/>
      <c r="N1" s="2"/>
      <c r="O1" s="3" t="s">
        <v>12</v>
      </c>
      <c r="P1" s="2"/>
      <c r="Q1" s="2"/>
      <c r="R1" s="4"/>
      <c r="S1" s="4"/>
      <c r="T1" s="2"/>
      <c r="U1" s="2"/>
      <c r="V1" s="2"/>
      <c r="W1" s="2"/>
      <c r="X1" s="2"/>
      <c r="Y1" s="2"/>
      <c r="Z1" s="2"/>
    </row>
    <row r="2" ht="14.25" customHeight="1">
      <c r="A2" s="5">
        <v>731.0</v>
      </c>
      <c r="B2" s="5">
        <v>1.0</v>
      </c>
      <c r="C2" s="5">
        <v>1.0</v>
      </c>
      <c r="D2" s="5" t="s">
        <v>13</v>
      </c>
      <c r="E2" s="5" t="s">
        <v>14</v>
      </c>
      <c r="F2" s="5">
        <v>29.0</v>
      </c>
      <c r="G2" s="5">
        <v>0.0</v>
      </c>
      <c r="H2" s="5">
        <v>0.0</v>
      </c>
      <c r="I2" s="5">
        <v>24160.0</v>
      </c>
      <c r="J2" s="5">
        <v>211.3375</v>
      </c>
      <c r="K2" s="5" t="s">
        <v>15</v>
      </c>
      <c r="L2" s="5" t="s">
        <v>16</v>
      </c>
      <c r="M2" s="5"/>
      <c r="O2" s="6"/>
      <c r="P2" s="5"/>
      <c r="R2" s="5"/>
    </row>
    <row r="3" ht="14.25" customHeight="1">
      <c r="A3" s="5">
        <v>306.0</v>
      </c>
      <c r="B3" s="5">
        <v>1.0</v>
      </c>
      <c r="C3" s="5">
        <v>1.0</v>
      </c>
      <c r="D3" s="5" t="s">
        <v>17</v>
      </c>
      <c r="E3" s="5" t="s">
        <v>18</v>
      </c>
      <c r="F3" s="5">
        <v>0.92</v>
      </c>
      <c r="G3" s="5">
        <v>1.0</v>
      </c>
      <c r="H3" s="5">
        <v>2.0</v>
      </c>
      <c r="I3" s="5">
        <v>113781.0</v>
      </c>
      <c r="J3" s="5">
        <v>151.55</v>
      </c>
      <c r="K3" s="5" t="s">
        <v>19</v>
      </c>
      <c r="L3" s="5" t="s">
        <v>16</v>
      </c>
      <c r="M3" s="5"/>
      <c r="O3" s="6" t="str">
        <f>D8+F8</f>
        <v>#VALUE!</v>
      </c>
      <c r="R3" s="5"/>
    </row>
    <row r="4" ht="14.25" customHeight="1">
      <c r="A4" s="5">
        <v>298.0</v>
      </c>
      <c r="B4" s="5">
        <v>0.0</v>
      </c>
      <c r="C4" s="5">
        <v>1.0</v>
      </c>
      <c r="D4" s="5" t="s">
        <v>20</v>
      </c>
      <c r="E4" s="5" t="s">
        <v>14</v>
      </c>
      <c r="F4" s="5">
        <v>2.0</v>
      </c>
      <c r="G4" s="5">
        <v>1.0</v>
      </c>
      <c r="H4" s="5">
        <v>2.0</v>
      </c>
      <c r="I4" s="5">
        <v>113781.0</v>
      </c>
      <c r="J4" s="5">
        <v>151.55</v>
      </c>
      <c r="K4" s="5" t="s">
        <v>19</v>
      </c>
      <c r="L4" s="5" t="s">
        <v>16</v>
      </c>
      <c r="M4" s="5"/>
      <c r="O4" s="7" t="str">
        <f>VLOOKUP(2,E:F,2)</f>
        <v>#N/A</v>
      </c>
      <c r="P4" s="5"/>
      <c r="Q4" s="5"/>
      <c r="R4" s="5"/>
    </row>
    <row r="5" ht="14.25" customHeight="1">
      <c r="A5" s="5">
        <v>499.0</v>
      </c>
      <c r="B5" s="5">
        <v>0.0</v>
      </c>
      <c r="C5" s="5">
        <v>1.0</v>
      </c>
      <c r="D5" s="5" t="s">
        <v>21</v>
      </c>
      <c r="E5" s="5" t="s">
        <v>14</v>
      </c>
      <c r="F5" s="5">
        <v>25.0</v>
      </c>
      <c r="G5" s="5">
        <v>1.0</v>
      </c>
      <c r="H5" s="5">
        <v>2.0</v>
      </c>
      <c r="I5" s="5">
        <v>113781.0</v>
      </c>
      <c r="J5" s="5">
        <v>151.55</v>
      </c>
      <c r="K5" s="5" t="s">
        <v>19</v>
      </c>
      <c r="L5" s="5" t="s">
        <v>16</v>
      </c>
      <c r="M5" s="5"/>
      <c r="O5" s="7" t="str">
        <f>RANDBETWEEN(fg,R)</f>
        <v>#ERROR!</v>
      </c>
      <c r="P5" s="8"/>
      <c r="Q5" s="9"/>
      <c r="R5" s="5"/>
    </row>
    <row r="6" ht="14.25" customHeight="1">
      <c r="A6" s="5">
        <v>461.0</v>
      </c>
      <c r="B6" s="5">
        <v>1.0</v>
      </c>
      <c r="C6" s="5">
        <v>1.0</v>
      </c>
      <c r="D6" s="5" t="s">
        <v>22</v>
      </c>
      <c r="E6" s="5" t="s">
        <v>18</v>
      </c>
      <c r="F6" s="5">
        <v>48.0</v>
      </c>
      <c r="G6" s="5">
        <v>0.0</v>
      </c>
      <c r="H6" s="5">
        <v>0.0</v>
      </c>
      <c r="I6" s="5">
        <v>19952.0</v>
      </c>
      <c r="J6" s="5">
        <v>26.55</v>
      </c>
      <c r="K6" s="5" t="s">
        <v>23</v>
      </c>
      <c r="L6" s="5" t="s">
        <v>16</v>
      </c>
      <c r="M6" s="5"/>
      <c r="O6" s="7" t="str">
        <f>SUMTG(1,2)</f>
        <v>#NAME?</v>
      </c>
      <c r="Q6" s="10"/>
      <c r="R6" s="5"/>
    </row>
    <row r="7" ht="15.75" customHeight="1">
      <c r="A7" s="5">
        <v>276.0</v>
      </c>
      <c r="B7" s="5">
        <v>1.0</v>
      </c>
      <c r="C7" s="5">
        <v>1.0</v>
      </c>
      <c r="D7" s="5" t="s">
        <v>24</v>
      </c>
      <c r="E7" s="5" t="s">
        <v>14</v>
      </c>
      <c r="F7" s="11">
        <v>63.0</v>
      </c>
      <c r="G7" s="5">
        <v>1.0</v>
      </c>
      <c r="H7" s="5">
        <v>0.0</v>
      </c>
      <c r="I7" s="5">
        <v>13502.0</v>
      </c>
      <c r="J7" s="5">
        <v>77.9583</v>
      </c>
      <c r="K7" s="5" t="s">
        <v>25</v>
      </c>
      <c r="L7" s="5" t="s">
        <v>16</v>
      </c>
      <c r="M7" s="5"/>
      <c r="O7" s="7" t="str">
        <f>VLOOKUP(2,Deleted!A:B,2,0)</f>
        <v>#REF!</v>
      </c>
      <c r="Q7" s="5"/>
      <c r="R7" s="5"/>
    </row>
    <row r="8" ht="14.25" customHeight="1">
      <c r="A8" s="5">
        <v>807.0</v>
      </c>
      <c r="B8" s="5">
        <v>0.0</v>
      </c>
      <c r="C8" s="5">
        <v>1.0</v>
      </c>
      <c r="D8" s="5" t="s">
        <v>26</v>
      </c>
      <c r="E8" s="5" t="s">
        <v>18</v>
      </c>
      <c r="F8" s="5">
        <v>39.0</v>
      </c>
      <c r="G8" s="5">
        <v>0.0</v>
      </c>
      <c r="H8" s="5">
        <v>0.0</v>
      </c>
      <c r="I8" s="5">
        <v>112050.0</v>
      </c>
      <c r="J8" s="5">
        <v>0.0</v>
      </c>
      <c r="K8" s="5" t="s">
        <v>27</v>
      </c>
      <c r="L8" s="5" t="s">
        <v>16</v>
      </c>
      <c r="M8" s="5"/>
      <c r="O8" s="7" t="str">
        <f>SUM(G7,O8)</f>
        <v>#REF!</v>
      </c>
      <c r="P8" s="8"/>
    </row>
    <row r="9" ht="14.25" customHeight="1">
      <c r="A9" s="5">
        <v>572.0</v>
      </c>
      <c r="B9" s="5">
        <v>1.0</v>
      </c>
      <c r="C9" s="5">
        <v>1.0</v>
      </c>
      <c r="D9" s="5" t="s">
        <v>28</v>
      </c>
      <c r="E9" s="5" t="s">
        <v>14</v>
      </c>
      <c r="F9" s="5">
        <v>53.0</v>
      </c>
      <c r="G9" s="5">
        <v>2.0</v>
      </c>
      <c r="H9" s="5">
        <v>0.0</v>
      </c>
      <c r="I9" s="5">
        <v>11769.0</v>
      </c>
      <c r="J9" s="5">
        <v>51.4792</v>
      </c>
      <c r="K9" s="5" t="s">
        <v>29</v>
      </c>
      <c r="L9" s="5" t="s">
        <v>16</v>
      </c>
      <c r="M9" s="5"/>
      <c r="P9" s="5"/>
    </row>
    <row r="10" ht="14.25" customHeight="1">
      <c r="A10" s="5">
        <v>494.0</v>
      </c>
      <c r="B10" s="5">
        <v>0.0</v>
      </c>
      <c r="C10" s="5">
        <v>1.0</v>
      </c>
      <c r="D10" s="5" t="s">
        <v>30</v>
      </c>
      <c r="E10" s="5" t="s">
        <v>18</v>
      </c>
      <c r="F10" s="5">
        <v>71.0</v>
      </c>
      <c r="G10" s="5">
        <v>0.0</v>
      </c>
      <c r="H10" s="5">
        <v>0.0</v>
      </c>
      <c r="I10" s="5" t="s">
        <v>31</v>
      </c>
      <c r="J10" s="5">
        <v>49.5042</v>
      </c>
      <c r="K10" s="5"/>
      <c r="L10" s="5" t="s">
        <v>32</v>
      </c>
      <c r="M10" s="5"/>
    </row>
    <row r="11" ht="14.25" customHeight="1">
      <c r="A11" s="5">
        <v>701.0</v>
      </c>
      <c r="B11" s="5">
        <v>1.0</v>
      </c>
      <c r="C11" s="5">
        <v>1.0</v>
      </c>
      <c r="D11" s="5" t="s">
        <v>33</v>
      </c>
      <c r="E11" s="5" t="s">
        <v>14</v>
      </c>
      <c r="F11" s="5">
        <v>18.0</v>
      </c>
      <c r="G11" s="5">
        <v>1.0</v>
      </c>
      <c r="H11" s="5">
        <v>0.0</v>
      </c>
      <c r="I11" s="5" t="s">
        <v>34</v>
      </c>
      <c r="J11" s="5">
        <v>227.525</v>
      </c>
      <c r="K11" s="5" t="s">
        <v>35</v>
      </c>
      <c r="L11" s="5" t="s">
        <v>32</v>
      </c>
      <c r="M11" s="5"/>
    </row>
    <row r="12" ht="14.25" customHeight="1">
      <c r="A12" s="5">
        <v>370.0</v>
      </c>
      <c r="B12" s="5">
        <v>1.0</v>
      </c>
      <c r="C12" s="5">
        <v>1.0</v>
      </c>
      <c r="D12" s="5" t="s">
        <v>36</v>
      </c>
      <c r="E12" s="5" t="s">
        <v>14</v>
      </c>
      <c r="F12" s="5">
        <v>24.0</v>
      </c>
      <c r="G12" s="5">
        <v>0.0</v>
      </c>
      <c r="H12" s="5">
        <v>0.0</v>
      </c>
      <c r="I12" s="5" t="s">
        <v>37</v>
      </c>
      <c r="J12" s="5">
        <v>69.3</v>
      </c>
      <c r="K12" s="5" t="s">
        <v>38</v>
      </c>
      <c r="L12" s="5" t="s">
        <v>32</v>
      </c>
      <c r="M12" s="5"/>
    </row>
    <row r="13" ht="14.25" customHeight="1">
      <c r="A13" s="5">
        <v>291.0</v>
      </c>
      <c r="B13" s="5">
        <v>1.0</v>
      </c>
      <c r="C13" s="5">
        <v>1.0</v>
      </c>
      <c r="D13" s="5" t="s">
        <v>39</v>
      </c>
      <c r="E13" s="5" t="s">
        <v>14</v>
      </c>
      <c r="F13" s="5">
        <v>26.0</v>
      </c>
      <c r="G13" s="5">
        <v>0.0</v>
      </c>
      <c r="H13" s="5">
        <v>0.0</v>
      </c>
      <c r="I13" s="5">
        <v>19877.0</v>
      </c>
      <c r="J13" s="5">
        <v>78.85</v>
      </c>
      <c r="K13" s="5"/>
      <c r="L13" s="5" t="s">
        <v>16</v>
      </c>
      <c r="M13" s="5"/>
    </row>
    <row r="14" ht="14.25" customHeight="1">
      <c r="A14" s="5">
        <v>631.0</v>
      </c>
      <c r="B14" s="5">
        <v>1.0</v>
      </c>
      <c r="C14" s="5">
        <v>1.0</v>
      </c>
      <c r="D14" s="5" t="s">
        <v>40</v>
      </c>
      <c r="E14" s="5" t="s">
        <v>18</v>
      </c>
      <c r="F14" s="5">
        <v>80.0</v>
      </c>
      <c r="G14" s="5">
        <v>0.0</v>
      </c>
      <c r="H14" s="5">
        <v>0.0</v>
      </c>
      <c r="I14" s="5">
        <v>27042.0</v>
      </c>
      <c r="J14" s="5">
        <v>30.0</v>
      </c>
      <c r="K14" s="5" t="s">
        <v>41</v>
      </c>
      <c r="L14" s="5" t="s">
        <v>16</v>
      </c>
      <c r="M14" s="5"/>
    </row>
    <row r="15" ht="14.25" customHeight="1">
      <c r="A15" s="5">
        <v>169.0</v>
      </c>
      <c r="B15" s="5">
        <v>0.0</v>
      </c>
      <c r="C15" s="5">
        <v>1.0</v>
      </c>
      <c r="D15" s="5" t="s">
        <v>42</v>
      </c>
      <c r="E15" s="5" t="s">
        <v>18</v>
      </c>
      <c r="F15" s="5"/>
      <c r="G15" s="5">
        <v>0.0</v>
      </c>
      <c r="H15" s="5">
        <v>0.0</v>
      </c>
      <c r="I15" s="5" t="s">
        <v>43</v>
      </c>
      <c r="J15" s="5">
        <v>25.925</v>
      </c>
      <c r="K15" s="5"/>
      <c r="L15" s="5" t="s">
        <v>16</v>
      </c>
      <c r="M15" s="5"/>
    </row>
    <row r="16" ht="14.25" customHeight="1">
      <c r="A16" s="5">
        <v>119.0</v>
      </c>
      <c r="B16" s="5">
        <v>0.0</v>
      </c>
      <c r="C16" s="5">
        <v>1.0</v>
      </c>
      <c r="D16" s="5" t="s">
        <v>44</v>
      </c>
      <c r="E16" s="5" t="s">
        <v>18</v>
      </c>
      <c r="F16" s="5">
        <v>24.0</v>
      </c>
      <c r="G16" s="5">
        <v>0.0</v>
      </c>
      <c r="H16" s="5">
        <v>1.0</v>
      </c>
      <c r="I16" s="5" t="s">
        <v>45</v>
      </c>
      <c r="J16" s="5">
        <v>247.5208</v>
      </c>
      <c r="K16" s="5" t="s">
        <v>46</v>
      </c>
      <c r="L16" s="5" t="s">
        <v>32</v>
      </c>
      <c r="M16" s="5"/>
    </row>
    <row r="17" ht="14.25" customHeight="1">
      <c r="A17" s="5">
        <v>300.0</v>
      </c>
      <c r="B17" s="5">
        <v>1.0</v>
      </c>
      <c r="C17" s="5">
        <v>1.0</v>
      </c>
      <c r="D17" s="5" t="s">
        <v>47</v>
      </c>
      <c r="E17" s="5" t="s">
        <v>14</v>
      </c>
      <c r="F17" s="5">
        <v>50.0</v>
      </c>
      <c r="G17" s="5">
        <v>0.0</v>
      </c>
      <c r="H17" s="5">
        <v>1.0</v>
      </c>
      <c r="I17" s="5" t="s">
        <v>45</v>
      </c>
      <c r="J17" s="5">
        <v>247.5208</v>
      </c>
      <c r="K17" s="5" t="s">
        <v>46</v>
      </c>
      <c r="L17" s="5" t="s">
        <v>32</v>
      </c>
      <c r="M17" s="5"/>
    </row>
    <row r="18" ht="14.25" customHeight="1">
      <c r="A18" s="5">
        <v>219.0</v>
      </c>
      <c r="B18" s="5">
        <v>1.0</v>
      </c>
      <c r="C18" s="5">
        <v>1.0</v>
      </c>
      <c r="D18" s="5" t="s">
        <v>48</v>
      </c>
      <c r="E18" s="5" t="s">
        <v>14</v>
      </c>
      <c r="F18" s="5">
        <v>32.0</v>
      </c>
      <c r="G18" s="5">
        <v>0.0</v>
      </c>
      <c r="H18" s="5">
        <v>0.0</v>
      </c>
      <c r="I18" s="5">
        <v>11813.0</v>
      </c>
      <c r="J18" s="5">
        <v>76.2917</v>
      </c>
      <c r="K18" s="5" t="s">
        <v>49</v>
      </c>
      <c r="L18" s="5" t="s">
        <v>32</v>
      </c>
      <c r="M18" s="5"/>
    </row>
    <row r="19" ht="14.25" customHeight="1">
      <c r="A19" s="5">
        <v>249.0</v>
      </c>
      <c r="B19" s="5">
        <v>1.0</v>
      </c>
      <c r="C19" s="5">
        <v>1.0</v>
      </c>
      <c r="D19" s="5" t="s">
        <v>50</v>
      </c>
      <c r="E19" s="5" t="s">
        <v>18</v>
      </c>
      <c r="F19" s="5">
        <v>37.0</v>
      </c>
      <c r="G19" s="5">
        <v>1.0</v>
      </c>
      <c r="H19" s="5">
        <v>1.0</v>
      </c>
      <c r="I19" s="5">
        <v>11751.0</v>
      </c>
      <c r="J19" s="5">
        <v>52.5542</v>
      </c>
      <c r="K19" s="5" t="s">
        <v>51</v>
      </c>
      <c r="L19" s="5" t="s">
        <v>16</v>
      </c>
      <c r="M19" s="5"/>
    </row>
    <row r="20" ht="14.25" customHeight="1">
      <c r="A20" s="5">
        <v>872.0</v>
      </c>
      <c r="B20" s="5">
        <v>1.0</v>
      </c>
      <c r="C20" s="5">
        <v>1.0</v>
      </c>
      <c r="D20" s="5" t="s">
        <v>52</v>
      </c>
      <c r="E20" s="5" t="s">
        <v>14</v>
      </c>
      <c r="F20" s="5">
        <v>47.0</v>
      </c>
      <c r="G20" s="5">
        <v>1.0</v>
      </c>
      <c r="H20" s="5">
        <v>1.0</v>
      </c>
      <c r="I20" s="5">
        <v>11751.0</v>
      </c>
      <c r="J20" s="5">
        <v>52.5542</v>
      </c>
      <c r="K20" s="5" t="s">
        <v>51</v>
      </c>
      <c r="L20" s="5" t="s">
        <v>16</v>
      </c>
      <c r="M20" s="5"/>
    </row>
    <row r="21" ht="14.25" customHeight="1">
      <c r="A21" s="5">
        <v>890.0</v>
      </c>
      <c r="B21" s="5">
        <v>1.0</v>
      </c>
      <c r="C21" s="5">
        <v>1.0</v>
      </c>
      <c r="D21" s="5" t="s">
        <v>53</v>
      </c>
      <c r="E21" s="5" t="s">
        <v>18</v>
      </c>
      <c r="F21" s="5">
        <v>26.0</v>
      </c>
      <c r="G21" s="5">
        <v>0.0</v>
      </c>
      <c r="H21" s="5">
        <v>0.0</v>
      </c>
      <c r="I21" s="5">
        <v>111369.0</v>
      </c>
      <c r="J21" s="5">
        <v>30.0</v>
      </c>
      <c r="K21" s="5" t="s">
        <v>54</v>
      </c>
      <c r="L21" s="5" t="s">
        <v>32</v>
      </c>
      <c r="M21" s="5"/>
    </row>
    <row r="22" ht="14.25" customHeight="1">
      <c r="A22" s="5">
        <v>381.0</v>
      </c>
      <c r="B22" s="5">
        <v>1.0</v>
      </c>
      <c r="C22" s="5">
        <v>1.0</v>
      </c>
      <c r="D22" s="5" t="s">
        <v>55</v>
      </c>
      <c r="E22" s="5" t="s">
        <v>14</v>
      </c>
      <c r="F22" s="5">
        <v>42.0</v>
      </c>
      <c r="G22" s="5">
        <v>0.0</v>
      </c>
      <c r="H22" s="5">
        <v>0.0</v>
      </c>
      <c r="I22" s="5" t="s">
        <v>34</v>
      </c>
      <c r="J22" s="5">
        <v>227.525</v>
      </c>
      <c r="K22" s="5"/>
      <c r="L22" s="5" t="s">
        <v>32</v>
      </c>
      <c r="M22" s="5"/>
    </row>
    <row r="23" ht="14.25" customHeight="1">
      <c r="A23" s="5">
        <v>485.0</v>
      </c>
      <c r="B23" s="5">
        <v>1.0</v>
      </c>
      <c r="C23" s="5">
        <v>1.0</v>
      </c>
      <c r="D23" s="5" t="s">
        <v>56</v>
      </c>
      <c r="E23" s="5" t="s">
        <v>18</v>
      </c>
      <c r="F23" s="5">
        <v>25.0</v>
      </c>
      <c r="G23" s="5">
        <v>1.0</v>
      </c>
      <c r="H23" s="5">
        <v>0.0</v>
      </c>
      <c r="I23" s="5">
        <v>11967.0</v>
      </c>
      <c r="J23" s="5">
        <v>91.0792</v>
      </c>
      <c r="K23" s="5" t="s">
        <v>57</v>
      </c>
      <c r="L23" s="5" t="s">
        <v>32</v>
      </c>
      <c r="M23" s="5"/>
    </row>
    <row r="24" ht="14.25" customHeight="1">
      <c r="A24" s="5">
        <v>292.0</v>
      </c>
      <c r="B24" s="5">
        <v>1.0</v>
      </c>
      <c r="C24" s="5">
        <v>1.0</v>
      </c>
      <c r="D24" s="5" t="s">
        <v>58</v>
      </c>
      <c r="E24" s="5" t="s">
        <v>14</v>
      </c>
      <c r="F24" s="5">
        <v>19.0</v>
      </c>
      <c r="G24" s="5">
        <v>1.0</v>
      </c>
      <c r="H24" s="5">
        <v>0.0</v>
      </c>
      <c r="I24" s="5">
        <v>11967.0</v>
      </c>
      <c r="J24" s="5">
        <v>91.0792</v>
      </c>
      <c r="K24" s="5" t="s">
        <v>57</v>
      </c>
      <c r="L24" s="5" t="s">
        <v>32</v>
      </c>
      <c r="M24" s="5"/>
    </row>
    <row r="25" ht="14.25" customHeight="1">
      <c r="A25" s="5">
        <v>270.0</v>
      </c>
      <c r="B25" s="5">
        <v>1.0</v>
      </c>
      <c r="C25" s="5">
        <v>1.0</v>
      </c>
      <c r="D25" s="5" t="s">
        <v>59</v>
      </c>
      <c r="E25" s="5" t="s">
        <v>14</v>
      </c>
      <c r="F25" s="5">
        <v>35.0</v>
      </c>
      <c r="G25" s="5">
        <v>0.0</v>
      </c>
      <c r="H25" s="5">
        <v>0.0</v>
      </c>
      <c r="I25" s="5" t="s">
        <v>60</v>
      </c>
      <c r="J25" s="5">
        <v>135.6333</v>
      </c>
      <c r="K25" s="5" t="s">
        <v>61</v>
      </c>
      <c r="L25" s="5" t="s">
        <v>16</v>
      </c>
      <c r="M25" s="5"/>
    </row>
    <row r="26" ht="14.25" customHeight="1">
      <c r="A26" s="5">
        <v>431.0</v>
      </c>
      <c r="B26" s="5">
        <v>1.0</v>
      </c>
      <c r="C26" s="5">
        <v>1.0</v>
      </c>
      <c r="D26" s="5" t="s">
        <v>62</v>
      </c>
      <c r="E26" s="5" t="s">
        <v>18</v>
      </c>
      <c r="F26" s="5">
        <v>28.0</v>
      </c>
      <c r="G26" s="5">
        <v>0.0</v>
      </c>
      <c r="H26" s="5">
        <v>0.0</v>
      </c>
      <c r="I26" s="5">
        <v>110564.0</v>
      </c>
      <c r="J26" s="5">
        <v>26.55</v>
      </c>
      <c r="K26" s="5" t="s">
        <v>63</v>
      </c>
      <c r="L26" s="5" t="s">
        <v>16</v>
      </c>
      <c r="M26" s="5"/>
    </row>
    <row r="27" ht="14.25" customHeight="1">
      <c r="A27" s="5">
        <v>340.0</v>
      </c>
      <c r="B27" s="5">
        <v>0.0</v>
      </c>
      <c r="C27" s="5">
        <v>1.0</v>
      </c>
      <c r="D27" s="5" t="s">
        <v>64</v>
      </c>
      <c r="E27" s="5" t="s">
        <v>18</v>
      </c>
      <c r="F27" s="5">
        <v>45.0</v>
      </c>
      <c r="G27" s="5">
        <v>0.0</v>
      </c>
      <c r="H27" s="5">
        <v>0.0</v>
      </c>
      <c r="I27" s="5">
        <v>113784.0</v>
      </c>
      <c r="J27" s="5">
        <v>35.5</v>
      </c>
      <c r="K27" s="5" t="s">
        <v>65</v>
      </c>
      <c r="L27" s="5" t="s">
        <v>16</v>
      </c>
      <c r="M27" s="5"/>
    </row>
    <row r="28" ht="14.25" customHeight="1">
      <c r="A28" s="5">
        <v>210.0</v>
      </c>
      <c r="B28" s="5">
        <v>1.0</v>
      </c>
      <c r="C28" s="5">
        <v>1.0</v>
      </c>
      <c r="D28" s="5" t="s">
        <v>66</v>
      </c>
      <c r="E28" s="5" t="s">
        <v>18</v>
      </c>
      <c r="F28" s="5">
        <v>40.0</v>
      </c>
      <c r="G28" s="5">
        <v>0.0</v>
      </c>
      <c r="H28" s="5">
        <v>0.0</v>
      </c>
      <c r="I28" s="5">
        <v>112277.0</v>
      </c>
      <c r="J28" s="5">
        <v>31.0</v>
      </c>
      <c r="K28" s="5" t="s">
        <v>67</v>
      </c>
      <c r="L28" s="5" t="s">
        <v>32</v>
      </c>
      <c r="M28" s="5"/>
    </row>
    <row r="29" ht="14.25" customHeight="1">
      <c r="A29" s="5">
        <v>12.0</v>
      </c>
      <c r="B29" s="5">
        <v>1.0</v>
      </c>
      <c r="C29" s="5">
        <v>1.0</v>
      </c>
      <c r="D29" s="5" t="s">
        <v>68</v>
      </c>
      <c r="E29" s="5" t="s">
        <v>14</v>
      </c>
      <c r="F29" s="5">
        <v>58.0</v>
      </c>
      <c r="G29" s="5">
        <v>0.0</v>
      </c>
      <c r="H29" s="5">
        <v>0.0</v>
      </c>
      <c r="I29" s="5">
        <v>113783.0</v>
      </c>
      <c r="J29" s="5">
        <v>26.55</v>
      </c>
      <c r="K29" s="5" t="s">
        <v>69</v>
      </c>
      <c r="L29" s="5" t="s">
        <v>16</v>
      </c>
      <c r="M29" s="5"/>
    </row>
    <row r="30" ht="14.25" customHeight="1">
      <c r="A30" s="5">
        <v>357.0</v>
      </c>
      <c r="B30" s="5">
        <v>1.0</v>
      </c>
      <c r="C30" s="5">
        <v>1.0</v>
      </c>
      <c r="D30" s="5" t="s">
        <v>70</v>
      </c>
      <c r="E30" s="5" t="s">
        <v>14</v>
      </c>
      <c r="F30" s="5">
        <v>22.0</v>
      </c>
      <c r="G30" s="5">
        <v>0.0</v>
      </c>
      <c r="H30" s="5">
        <v>1.0</v>
      </c>
      <c r="I30" s="5">
        <v>113505.0</v>
      </c>
      <c r="J30" s="5">
        <v>55.0</v>
      </c>
      <c r="K30" s="5" t="s">
        <v>71</v>
      </c>
      <c r="L30" s="5" t="s">
        <v>16</v>
      </c>
      <c r="M30" s="5"/>
    </row>
    <row r="31" ht="14.25" customHeight="1">
      <c r="A31" s="5">
        <v>508.0</v>
      </c>
      <c r="B31" s="5">
        <v>1.0</v>
      </c>
      <c r="C31" s="5">
        <v>1.0</v>
      </c>
      <c r="D31" s="5" t="s">
        <v>72</v>
      </c>
      <c r="E31" s="5" t="s">
        <v>18</v>
      </c>
      <c r="F31" s="5"/>
      <c r="G31" s="5">
        <v>0.0</v>
      </c>
      <c r="H31" s="5">
        <v>0.0</v>
      </c>
      <c r="I31" s="5">
        <v>111427.0</v>
      </c>
      <c r="J31" s="5">
        <v>26.55</v>
      </c>
      <c r="K31" s="5"/>
      <c r="L31" s="5" t="s">
        <v>16</v>
      </c>
      <c r="M31" s="5"/>
    </row>
    <row r="32" ht="14.25" customHeight="1">
      <c r="A32" s="5">
        <v>767.0</v>
      </c>
      <c r="B32" s="5">
        <v>0.0</v>
      </c>
      <c r="C32" s="5">
        <v>1.0</v>
      </c>
      <c r="D32" s="5" t="s">
        <v>73</v>
      </c>
      <c r="E32" s="5" t="s">
        <v>18</v>
      </c>
      <c r="F32" s="5"/>
      <c r="G32" s="5">
        <v>0.0</v>
      </c>
      <c r="H32" s="5">
        <v>0.0</v>
      </c>
      <c r="I32" s="5">
        <v>112379.0</v>
      </c>
      <c r="J32" s="5">
        <v>39.6</v>
      </c>
      <c r="K32" s="5"/>
      <c r="L32" s="5" t="s">
        <v>32</v>
      </c>
      <c r="M32" s="5"/>
    </row>
    <row r="33" ht="14.25" customHeight="1">
      <c r="A33" s="5">
        <v>195.0</v>
      </c>
      <c r="B33" s="5">
        <v>1.0</v>
      </c>
      <c r="C33" s="5">
        <v>1.0</v>
      </c>
      <c r="D33" s="5" t="s">
        <v>74</v>
      </c>
      <c r="E33" s="5" t="s">
        <v>14</v>
      </c>
      <c r="F33" s="5">
        <v>44.0</v>
      </c>
      <c r="G33" s="5">
        <v>0.0</v>
      </c>
      <c r="H33" s="5">
        <v>0.0</v>
      </c>
      <c r="I33" s="5" t="s">
        <v>75</v>
      </c>
      <c r="J33" s="5">
        <v>27.7208</v>
      </c>
      <c r="K33" s="5" t="s">
        <v>76</v>
      </c>
      <c r="L33" s="5" t="s">
        <v>32</v>
      </c>
      <c r="M33" s="5"/>
    </row>
    <row r="34" ht="14.25" customHeight="1">
      <c r="A34" s="5">
        <v>338.0</v>
      </c>
      <c r="B34" s="5">
        <v>1.0</v>
      </c>
      <c r="C34" s="5">
        <v>1.0</v>
      </c>
      <c r="D34" s="5" t="s">
        <v>77</v>
      </c>
      <c r="E34" s="5" t="s">
        <v>14</v>
      </c>
      <c r="F34" s="5">
        <v>41.0</v>
      </c>
      <c r="G34" s="5">
        <v>0.0</v>
      </c>
      <c r="H34" s="5">
        <v>0.0</v>
      </c>
      <c r="I34" s="5">
        <v>16966.0</v>
      </c>
      <c r="J34" s="5">
        <v>134.5</v>
      </c>
      <c r="K34" s="5" t="s">
        <v>78</v>
      </c>
      <c r="L34" s="5" t="s">
        <v>32</v>
      </c>
      <c r="M34" s="5"/>
    </row>
    <row r="35" ht="14.25" customHeight="1">
      <c r="A35" s="5">
        <v>537.0</v>
      </c>
      <c r="B35" s="5">
        <v>0.0</v>
      </c>
      <c r="C35" s="5">
        <v>1.0</v>
      </c>
      <c r="D35" s="5" t="s">
        <v>79</v>
      </c>
      <c r="E35" s="5" t="s">
        <v>18</v>
      </c>
      <c r="F35" s="5">
        <v>45.0</v>
      </c>
      <c r="G35" s="5">
        <v>0.0</v>
      </c>
      <c r="H35" s="5">
        <v>0.0</v>
      </c>
      <c r="I35" s="5">
        <v>113050.0</v>
      </c>
      <c r="J35" s="5">
        <v>26.55</v>
      </c>
      <c r="K35" s="5" t="s">
        <v>80</v>
      </c>
      <c r="L35" s="5" t="s">
        <v>16</v>
      </c>
      <c r="M35" s="5"/>
    </row>
    <row r="36" ht="14.25" customHeight="1">
      <c r="A36" s="5">
        <v>271.0</v>
      </c>
      <c r="B36" s="5">
        <v>0.0</v>
      </c>
      <c r="C36" s="5">
        <v>1.0</v>
      </c>
      <c r="D36" s="5" t="s">
        <v>81</v>
      </c>
      <c r="E36" s="5" t="s">
        <v>18</v>
      </c>
      <c r="F36" s="5"/>
      <c r="G36" s="5">
        <v>0.0</v>
      </c>
      <c r="H36" s="5">
        <v>0.0</v>
      </c>
      <c r="I36" s="5">
        <v>113798.0</v>
      </c>
      <c r="J36" s="5">
        <v>31.0</v>
      </c>
      <c r="K36" s="5"/>
      <c r="L36" s="5" t="s">
        <v>16</v>
      </c>
      <c r="M36" s="5"/>
    </row>
    <row r="37" ht="14.25" customHeight="1">
      <c r="A37" s="5">
        <v>708.0</v>
      </c>
      <c r="B37" s="5">
        <v>1.0</v>
      </c>
      <c r="C37" s="5">
        <v>1.0</v>
      </c>
      <c r="D37" s="5" t="s">
        <v>82</v>
      </c>
      <c r="E37" s="5" t="s">
        <v>18</v>
      </c>
      <c r="F37" s="5">
        <v>42.0</v>
      </c>
      <c r="G37" s="5">
        <v>0.0</v>
      </c>
      <c r="H37" s="5">
        <v>0.0</v>
      </c>
      <c r="I37" s="5" t="s">
        <v>83</v>
      </c>
      <c r="J37" s="5">
        <v>26.2875</v>
      </c>
      <c r="K37" s="5" t="s">
        <v>84</v>
      </c>
      <c r="L37" s="5" t="s">
        <v>16</v>
      </c>
      <c r="M37" s="5"/>
    </row>
    <row r="38" ht="14.25" customHeight="1">
      <c r="A38" s="5">
        <v>680.0</v>
      </c>
      <c r="B38" s="5">
        <v>1.0</v>
      </c>
      <c r="C38" s="5">
        <v>1.0</v>
      </c>
      <c r="D38" s="5" t="s">
        <v>85</v>
      </c>
      <c r="E38" s="5" t="s">
        <v>18</v>
      </c>
      <c r="F38" s="5">
        <v>36.0</v>
      </c>
      <c r="G38" s="5">
        <v>0.0</v>
      </c>
      <c r="H38" s="5">
        <v>1.0</v>
      </c>
      <c r="I38" s="5" t="s">
        <v>86</v>
      </c>
      <c r="J38" s="5">
        <v>512.3292</v>
      </c>
      <c r="K38" s="5" t="s">
        <v>87</v>
      </c>
      <c r="L38" s="5" t="s">
        <v>32</v>
      </c>
      <c r="M38" s="5"/>
    </row>
    <row r="39" ht="14.25" customHeight="1">
      <c r="A39" s="5">
        <v>873.0</v>
      </c>
      <c r="B39" s="5">
        <v>0.0</v>
      </c>
      <c r="C39" s="5">
        <v>1.0</v>
      </c>
      <c r="D39" s="5" t="s">
        <v>88</v>
      </c>
      <c r="E39" s="5" t="s">
        <v>18</v>
      </c>
      <c r="F39" s="5">
        <v>33.0</v>
      </c>
      <c r="G39" s="5">
        <v>0.0</v>
      </c>
      <c r="H39" s="5">
        <v>0.0</v>
      </c>
      <c r="I39" s="5">
        <v>695.0</v>
      </c>
      <c r="J39" s="5">
        <v>5.0</v>
      </c>
      <c r="K39" s="5" t="s">
        <v>87</v>
      </c>
      <c r="L39" s="5" t="s">
        <v>16</v>
      </c>
      <c r="M39" s="5"/>
    </row>
    <row r="40" ht="14.25" customHeight="1">
      <c r="A40" s="5">
        <v>84.0</v>
      </c>
      <c r="B40" s="5">
        <v>0.0</v>
      </c>
      <c r="C40" s="5">
        <v>1.0</v>
      </c>
      <c r="D40" s="5" t="s">
        <v>89</v>
      </c>
      <c r="E40" s="5" t="s">
        <v>18</v>
      </c>
      <c r="F40" s="5">
        <v>28.0</v>
      </c>
      <c r="G40" s="5">
        <v>0.0</v>
      </c>
      <c r="H40" s="5">
        <v>0.0</v>
      </c>
      <c r="I40" s="5">
        <v>113059.0</v>
      </c>
      <c r="J40" s="5">
        <v>47.1</v>
      </c>
      <c r="K40" s="5"/>
      <c r="L40" s="5" t="s">
        <v>16</v>
      </c>
      <c r="M40" s="5"/>
    </row>
    <row r="41" ht="14.25" customHeight="1">
      <c r="A41" s="5">
        <v>803.0</v>
      </c>
      <c r="B41" s="5">
        <v>1.0</v>
      </c>
      <c r="C41" s="5">
        <v>1.0</v>
      </c>
      <c r="D41" s="5" t="s">
        <v>90</v>
      </c>
      <c r="E41" s="5" t="s">
        <v>18</v>
      </c>
      <c r="F41" s="5">
        <v>11.0</v>
      </c>
      <c r="G41" s="5">
        <v>1.0</v>
      </c>
      <c r="H41" s="5">
        <v>2.0</v>
      </c>
      <c r="I41" s="5">
        <v>113760.0</v>
      </c>
      <c r="J41" s="5">
        <v>120.0</v>
      </c>
      <c r="K41" s="5" t="s">
        <v>91</v>
      </c>
      <c r="L41" s="5" t="s">
        <v>16</v>
      </c>
      <c r="M41" s="5"/>
    </row>
    <row r="42" ht="14.25" customHeight="1">
      <c r="A42" s="5">
        <v>436.0</v>
      </c>
      <c r="B42" s="5">
        <v>1.0</v>
      </c>
      <c r="C42" s="5">
        <v>1.0</v>
      </c>
      <c r="D42" s="5" t="s">
        <v>92</v>
      </c>
      <c r="E42" s="5" t="s">
        <v>14</v>
      </c>
      <c r="F42" s="5">
        <v>14.0</v>
      </c>
      <c r="G42" s="5">
        <v>1.0</v>
      </c>
      <c r="H42" s="5">
        <v>2.0</v>
      </c>
      <c r="I42" s="5">
        <v>113760.0</v>
      </c>
      <c r="J42" s="5">
        <v>120.0</v>
      </c>
      <c r="K42" s="5" t="s">
        <v>91</v>
      </c>
      <c r="L42" s="5" t="s">
        <v>16</v>
      </c>
      <c r="M42" s="5"/>
    </row>
    <row r="43" ht="14.25" customHeight="1">
      <c r="A43" s="5">
        <v>391.0</v>
      </c>
      <c r="B43" s="5">
        <v>1.0</v>
      </c>
      <c r="C43" s="5">
        <v>1.0</v>
      </c>
      <c r="D43" s="5" t="s">
        <v>93</v>
      </c>
      <c r="E43" s="5" t="s">
        <v>18</v>
      </c>
      <c r="F43" s="5">
        <v>36.0</v>
      </c>
      <c r="G43" s="5">
        <v>1.0</v>
      </c>
      <c r="H43" s="5">
        <v>2.0</v>
      </c>
      <c r="I43" s="5">
        <v>113760.0</v>
      </c>
      <c r="J43" s="5">
        <v>120.0</v>
      </c>
      <c r="K43" s="5" t="s">
        <v>91</v>
      </c>
      <c r="L43" s="5" t="s">
        <v>16</v>
      </c>
      <c r="M43" s="5"/>
    </row>
    <row r="44" ht="14.25" customHeight="1">
      <c r="A44" s="5">
        <v>764.0</v>
      </c>
      <c r="B44" s="5">
        <v>1.0</v>
      </c>
      <c r="C44" s="5">
        <v>1.0</v>
      </c>
      <c r="D44" s="5" t="s">
        <v>94</v>
      </c>
      <c r="E44" s="5" t="s">
        <v>14</v>
      </c>
      <c r="F44" s="5">
        <v>36.0</v>
      </c>
      <c r="G44" s="5">
        <v>1.0</v>
      </c>
      <c r="H44" s="5">
        <v>2.0</v>
      </c>
      <c r="I44" s="5">
        <v>113760.0</v>
      </c>
      <c r="J44" s="5">
        <v>120.0</v>
      </c>
      <c r="K44" s="5" t="s">
        <v>91</v>
      </c>
      <c r="L44" s="5" t="s">
        <v>16</v>
      </c>
      <c r="M44" s="5"/>
    </row>
    <row r="45" ht="14.25" customHeight="1">
      <c r="A45" s="5">
        <v>742.0</v>
      </c>
      <c r="B45" s="5">
        <v>0.0</v>
      </c>
      <c r="C45" s="5">
        <v>1.0</v>
      </c>
      <c r="D45" s="5" t="s">
        <v>95</v>
      </c>
      <c r="E45" s="5" t="s">
        <v>18</v>
      </c>
      <c r="F45" s="5">
        <v>36.0</v>
      </c>
      <c r="G45" s="5">
        <v>1.0</v>
      </c>
      <c r="H45" s="5">
        <v>0.0</v>
      </c>
      <c r="I45" s="5">
        <v>19877.0</v>
      </c>
      <c r="J45" s="5">
        <v>78.85</v>
      </c>
      <c r="K45" s="5" t="s">
        <v>96</v>
      </c>
      <c r="L45" s="5" t="s">
        <v>16</v>
      </c>
      <c r="M45" s="5"/>
    </row>
    <row r="46" ht="14.25" customHeight="1">
      <c r="A46" s="5">
        <v>93.0</v>
      </c>
      <c r="B46" s="5">
        <v>0.0</v>
      </c>
      <c r="C46" s="5">
        <v>1.0</v>
      </c>
      <c r="D46" s="5" t="s">
        <v>97</v>
      </c>
      <c r="E46" s="5" t="s">
        <v>18</v>
      </c>
      <c r="F46" s="5">
        <v>46.0</v>
      </c>
      <c r="G46" s="5">
        <v>1.0</v>
      </c>
      <c r="H46" s="5">
        <v>0.0</v>
      </c>
      <c r="I46" s="5" t="s">
        <v>98</v>
      </c>
      <c r="J46" s="5">
        <v>61.175</v>
      </c>
      <c r="K46" s="5" t="s">
        <v>99</v>
      </c>
      <c r="L46" s="5" t="s">
        <v>16</v>
      </c>
      <c r="M46" s="5"/>
    </row>
    <row r="47" ht="14.25" customHeight="1">
      <c r="A47" s="5">
        <v>725.0</v>
      </c>
      <c r="B47" s="5">
        <v>1.0</v>
      </c>
      <c r="C47" s="5">
        <v>1.0</v>
      </c>
      <c r="D47" s="5" t="s">
        <v>100</v>
      </c>
      <c r="E47" s="5" t="s">
        <v>18</v>
      </c>
      <c r="F47" s="5">
        <v>27.0</v>
      </c>
      <c r="G47" s="5">
        <v>1.0</v>
      </c>
      <c r="H47" s="5">
        <v>0.0</v>
      </c>
      <c r="I47" s="5">
        <v>113806.0</v>
      </c>
      <c r="J47" s="5">
        <v>53.1</v>
      </c>
      <c r="K47" s="5" t="s">
        <v>101</v>
      </c>
      <c r="L47" s="5" t="s">
        <v>16</v>
      </c>
      <c r="M47" s="5"/>
    </row>
    <row r="48" ht="14.25" customHeight="1">
      <c r="A48" s="5">
        <v>810.0</v>
      </c>
      <c r="B48" s="5">
        <v>1.0</v>
      </c>
      <c r="C48" s="5">
        <v>1.0</v>
      </c>
      <c r="D48" s="5" t="s">
        <v>102</v>
      </c>
      <c r="E48" s="5" t="s">
        <v>14</v>
      </c>
      <c r="F48" s="5">
        <v>33.0</v>
      </c>
      <c r="G48" s="5">
        <v>1.0</v>
      </c>
      <c r="H48" s="5">
        <v>0.0</v>
      </c>
      <c r="I48" s="5">
        <v>113806.0</v>
      </c>
      <c r="J48" s="5">
        <v>53.1</v>
      </c>
      <c r="K48" s="5" t="s">
        <v>101</v>
      </c>
      <c r="L48" s="5" t="s">
        <v>16</v>
      </c>
      <c r="M48" s="5"/>
    </row>
    <row r="49" ht="14.25" customHeight="1">
      <c r="A49" s="5">
        <v>258.0</v>
      </c>
      <c r="B49" s="5">
        <v>1.0</v>
      </c>
      <c r="C49" s="5">
        <v>1.0</v>
      </c>
      <c r="D49" s="5" t="s">
        <v>103</v>
      </c>
      <c r="E49" s="5" t="s">
        <v>14</v>
      </c>
      <c r="F49" s="5">
        <v>30.0</v>
      </c>
      <c r="G49" s="5">
        <v>0.0</v>
      </c>
      <c r="H49" s="5">
        <v>0.0</v>
      </c>
      <c r="I49" s="5">
        <v>110152.0</v>
      </c>
      <c r="J49" s="5">
        <v>86.5</v>
      </c>
      <c r="K49" s="5" t="s">
        <v>104</v>
      </c>
      <c r="L49" s="5" t="s">
        <v>16</v>
      </c>
      <c r="M49" s="5"/>
    </row>
    <row r="50" ht="14.25" customHeight="1">
      <c r="A50" s="5">
        <v>167.0</v>
      </c>
      <c r="B50" s="5">
        <v>1.0</v>
      </c>
      <c r="C50" s="5">
        <v>1.0</v>
      </c>
      <c r="D50" s="5" t="s">
        <v>105</v>
      </c>
      <c r="E50" s="5" t="s">
        <v>14</v>
      </c>
      <c r="F50" s="5"/>
      <c r="G50" s="5">
        <v>0.0</v>
      </c>
      <c r="H50" s="5">
        <v>1.0</v>
      </c>
      <c r="I50" s="5">
        <v>113505.0</v>
      </c>
      <c r="J50" s="5">
        <v>55.0</v>
      </c>
      <c r="K50" s="5" t="s">
        <v>71</v>
      </c>
      <c r="L50" s="5" t="s">
        <v>16</v>
      </c>
      <c r="M50" s="5"/>
    </row>
    <row r="51" ht="14.25" customHeight="1">
      <c r="A51" s="5">
        <v>709.0</v>
      </c>
      <c r="B51" s="5">
        <v>1.0</v>
      </c>
      <c r="C51" s="5">
        <v>1.0</v>
      </c>
      <c r="D51" s="5" t="s">
        <v>106</v>
      </c>
      <c r="E51" s="5" t="s">
        <v>14</v>
      </c>
      <c r="F51" s="5">
        <v>22.0</v>
      </c>
      <c r="G51" s="5">
        <v>0.0</v>
      </c>
      <c r="H51" s="5">
        <v>0.0</v>
      </c>
      <c r="I51" s="5">
        <v>113781.0</v>
      </c>
      <c r="J51" s="5">
        <v>151.55</v>
      </c>
      <c r="K51" s="5"/>
      <c r="L51" s="5" t="s">
        <v>16</v>
      </c>
      <c r="M51" s="5"/>
    </row>
    <row r="52" ht="14.25" customHeight="1">
      <c r="A52" s="5">
        <v>476.0</v>
      </c>
      <c r="B52" s="5">
        <v>0.0</v>
      </c>
      <c r="C52" s="5">
        <v>1.0</v>
      </c>
      <c r="D52" s="5" t="s">
        <v>107</v>
      </c>
      <c r="E52" s="5" t="s">
        <v>18</v>
      </c>
      <c r="F52" s="5"/>
      <c r="G52" s="5">
        <v>0.0</v>
      </c>
      <c r="H52" s="5">
        <v>0.0</v>
      </c>
      <c r="I52" s="5">
        <v>110465.0</v>
      </c>
      <c r="J52" s="5">
        <v>52.0</v>
      </c>
      <c r="K52" s="5" t="s">
        <v>108</v>
      </c>
      <c r="L52" s="5" t="s">
        <v>16</v>
      </c>
      <c r="M52" s="5"/>
    </row>
    <row r="53" ht="14.25" customHeight="1">
      <c r="A53" s="5">
        <v>663.0</v>
      </c>
      <c r="B53" s="5">
        <v>0.0</v>
      </c>
      <c r="C53" s="5">
        <v>1.0</v>
      </c>
      <c r="D53" s="5" t="s">
        <v>109</v>
      </c>
      <c r="E53" s="5" t="s">
        <v>18</v>
      </c>
      <c r="F53" s="5">
        <v>47.0</v>
      </c>
      <c r="G53" s="5">
        <v>0.0</v>
      </c>
      <c r="H53" s="5">
        <v>0.0</v>
      </c>
      <c r="I53" s="5">
        <v>5727.0</v>
      </c>
      <c r="J53" s="5">
        <v>25.5875</v>
      </c>
      <c r="K53" s="5" t="s">
        <v>110</v>
      </c>
      <c r="L53" s="5" t="s">
        <v>16</v>
      </c>
      <c r="M53" s="5"/>
    </row>
    <row r="54" ht="14.25" customHeight="1">
      <c r="A54" s="5">
        <v>836.0</v>
      </c>
      <c r="B54" s="5">
        <v>1.0</v>
      </c>
      <c r="C54" s="5">
        <v>1.0</v>
      </c>
      <c r="D54" s="5" t="s">
        <v>111</v>
      </c>
      <c r="E54" s="5" t="s">
        <v>14</v>
      </c>
      <c r="F54" s="5">
        <v>39.0</v>
      </c>
      <c r="G54" s="5">
        <v>1.0</v>
      </c>
      <c r="H54" s="5">
        <v>1.0</v>
      </c>
      <c r="I54" s="5" t="s">
        <v>112</v>
      </c>
      <c r="J54" s="5">
        <v>83.1583</v>
      </c>
      <c r="K54" s="5" t="s">
        <v>113</v>
      </c>
      <c r="L54" s="5" t="s">
        <v>32</v>
      </c>
      <c r="M54" s="5"/>
    </row>
    <row r="55" ht="14.25" customHeight="1">
      <c r="A55" s="5">
        <v>746.0</v>
      </c>
      <c r="B55" s="5">
        <v>0.0</v>
      </c>
      <c r="C55" s="5">
        <v>1.0</v>
      </c>
      <c r="D55" s="5" t="s">
        <v>114</v>
      </c>
      <c r="E55" s="5" t="s">
        <v>18</v>
      </c>
      <c r="F55" s="5">
        <v>70.0</v>
      </c>
      <c r="G55" s="5">
        <v>1.0</v>
      </c>
      <c r="H55" s="5">
        <v>1.0</v>
      </c>
      <c r="I55" s="5" t="s">
        <v>115</v>
      </c>
      <c r="J55" s="5">
        <v>71.0</v>
      </c>
      <c r="K55" s="5" t="s">
        <v>116</v>
      </c>
      <c r="L55" s="5" t="s">
        <v>16</v>
      </c>
      <c r="M55" s="5"/>
    </row>
    <row r="56" ht="14.25" customHeight="1">
      <c r="A56" s="5">
        <v>541.0</v>
      </c>
      <c r="B56" s="5">
        <v>1.0</v>
      </c>
      <c r="C56" s="5">
        <v>1.0</v>
      </c>
      <c r="D56" s="5" t="s">
        <v>117</v>
      </c>
      <c r="E56" s="5" t="s">
        <v>14</v>
      </c>
      <c r="F56" s="5">
        <v>36.0</v>
      </c>
      <c r="G56" s="5">
        <v>0.0</v>
      </c>
      <c r="H56" s="5">
        <v>2.0</v>
      </c>
      <c r="I56" s="5" t="s">
        <v>115</v>
      </c>
      <c r="J56" s="5">
        <v>71.0</v>
      </c>
      <c r="K56" s="5" t="s">
        <v>116</v>
      </c>
      <c r="L56" s="5" t="s">
        <v>16</v>
      </c>
      <c r="M56" s="5"/>
    </row>
    <row r="57" ht="14.25" customHeight="1">
      <c r="A57" s="5">
        <v>2.0</v>
      </c>
      <c r="B57" s="5">
        <v>1.0</v>
      </c>
      <c r="C57" s="5">
        <v>1.0</v>
      </c>
      <c r="D57" s="5" t="s">
        <v>118</v>
      </c>
      <c r="E57" s="5" t="s">
        <v>14</v>
      </c>
      <c r="F57" s="5">
        <v>38.0</v>
      </c>
      <c r="G57" s="5">
        <v>1.0</v>
      </c>
      <c r="H57" s="5">
        <v>0.0</v>
      </c>
      <c r="I57" s="5" t="s">
        <v>119</v>
      </c>
      <c r="J57" s="5">
        <v>71.2833</v>
      </c>
      <c r="K57" s="5" t="s">
        <v>120</v>
      </c>
      <c r="L57" s="5" t="s">
        <v>32</v>
      </c>
      <c r="M57" s="5"/>
    </row>
    <row r="58" ht="14.25" customHeight="1">
      <c r="A58" s="5">
        <v>858.0</v>
      </c>
      <c r="B58" s="5">
        <v>1.0</v>
      </c>
      <c r="C58" s="5">
        <v>1.0</v>
      </c>
      <c r="D58" s="5" t="s">
        <v>121</v>
      </c>
      <c r="E58" s="5" t="s">
        <v>18</v>
      </c>
      <c r="F58" s="5">
        <v>51.0</v>
      </c>
      <c r="G58" s="5">
        <v>0.0</v>
      </c>
      <c r="H58" s="5">
        <v>0.0</v>
      </c>
      <c r="I58" s="5">
        <v>113055.0</v>
      </c>
      <c r="J58" s="5">
        <v>26.55</v>
      </c>
      <c r="K58" s="5" t="s">
        <v>122</v>
      </c>
      <c r="L58" s="5" t="s">
        <v>16</v>
      </c>
      <c r="M58" s="5"/>
    </row>
    <row r="59" ht="14.25" customHeight="1">
      <c r="A59" s="5">
        <v>608.0</v>
      </c>
      <c r="B59" s="5">
        <v>1.0</v>
      </c>
      <c r="C59" s="5">
        <v>1.0</v>
      </c>
      <c r="D59" s="5" t="s">
        <v>123</v>
      </c>
      <c r="E59" s="5" t="s">
        <v>18</v>
      </c>
      <c r="F59" s="5">
        <v>27.0</v>
      </c>
      <c r="G59" s="5">
        <v>0.0</v>
      </c>
      <c r="H59" s="5">
        <v>0.0</v>
      </c>
      <c r="I59" s="5">
        <v>113804.0</v>
      </c>
      <c r="J59" s="5">
        <v>30.5</v>
      </c>
      <c r="K59" s="5"/>
      <c r="L59" s="5" t="s">
        <v>16</v>
      </c>
      <c r="M59" s="5"/>
    </row>
    <row r="60" ht="14.25" customHeight="1">
      <c r="A60" s="5">
        <v>672.0</v>
      </c>
      <c r="B60" s="5">
        <v>0.0</v>
      </c>
      <c r="C60" s="5">
        <v>1.0</v>
      </c>
      <c r="D60" s="5" t="s">
        <v>124</v>
      </c>
      <c r="E60" s="5" t="s">
        <v>18</v>
      </c>
      <c r="F60" s="5">
        <v>31.0</v>
      </c>
      <c r="G60" s="5">
        <v>1.0</v>
      </c>
      <c r="H60" s="5">
        <v>0.0</v>
      </c>
      <c r="I60" s="5" t="s">
        <v>125</v>
      </c>
      <c r="J60" s="5">
        <v>52.0</v>
      </c>
      <c r="K60" s="5" t="s">
        <v>126</v>
      </c>
      <c r="L60" s="5" t="s">
        <v>16</v>
      </c>
      <c r="M60" s="5"/>
    </row>
    <row r="61" ht="14.25" customHeight="1">
      <c r="A61" s="5">
        <v>691.0</v>
      </c>
      <c r="B61" s="5">
        <v>1.0</v>
      </c>
      <c r="C61" s="5">
        <v>1.0</v>
      </c>
      <c r="D61" s="5" t="s">
        <v>127</v>
      </c>
      <c r="E61" s="5" t="s">
        <v>18</v>
      </c>
      <c r="F61" s="5">
        <v>31.0</v>
      </c>
      <c r="G61" s="5">
        <v>1.0</v>
      </c>
      <c r="H61" s="5">
        <v>0.0</v>
      </c>
      <c r="I61" s="5">
        <v>17474.0</v>
      </c>
      <c r="J61" s="5">
        <v>57.0</v>
      </c>
      <c r="K61" s="5" t="s">
        <v>128</v>
      </c>
      <c r="L61" s="5" t="s">
        <v>16</v>
      </c>
      <c r="M61" s="5"/>
    </row>
    <row r="62" ht="14.25" customHeight="1">
      <c r="A62" s="5">
        <v>782.0</v>
      </c>
      <c r="B62" s="5">
        <v>1.0</v>
      </c>
      <c r="C62" s="5">
        <v>1.0</v>
      </c>
      <c r="D62" s="5" t="s">
        <v>129</v>
      </c>
      <c r="E62" s="5" t="s">
        <v>14</v>
      </c>
      <c r="F62" s="5">
        <v>17.0</v>
      </c>
      <c r="G62" s="5">
        <v>1.0</v>
      </c>
      <c r="H62" s="5">
        <v>0.0</v>
      </c>
      <c r="I62" s="5">
        <v>17474.0</v>
      </c>
      <c r="J62" s="5">
        <v>57.0</v>
      </c>
      <c r="K62" s="5" t="s">
        <v>128</v>
      </c>
      <c r="L62" s="5" t="s">
        <v>16</v>
      </c>
      <c r="M62" s="5"/>
    </row>
    <row r="63" ht="14.25" customHeight="1">
      <c r="A63" s="5">
        <v>446.0</v>
      </c>
      <c r="B63" s="5">
        <v>1.0</v>
      </c>
      <c r="C63" s="5">
        <v>1.0</v>
      </c>
      <c r="D63" s="5" t="s">
        <v>130</v>
      </c>
      <c r="E63" s="5" t="s">
        <v>18</v>
      </c>
      <c r="F63" s="5">
        <v>4.0</v>
      </c>
      <c r="G63" s="5">
        <v>0.0</v>
      </c>
      <c r="H63" s="5">
        <v>2.0</v>
      </c>
      <c r="I63" s="5">
        <v>33638.0</v>
      </c>
      <c r="J63" s="5">
        <v>81.8583</v>
      </c>
      <c r="K63" s="5" t="s">
        <v>131</v>
      </c>
      <c r="L63" s="5" t="s">
        <v>16</v>
      </c>
      <c r="M63" s="5"/>
    </row>
    <row r="64" ht="14.25" customHeight="1">
      <c r="A64" s="5">
        <v>545.0</v>
      </c>
      <c r="B64" s="5">
        <v>0.0</v>
      </c>
      <c r="C64" s="5">
        <v>1.0</v>
      </c>
      <c r="D64" s="5" t="s">
        <v>132</v>
      </c>
      <c r="E64" s="5" t="s">
        <v>18</v>
      </c>
      <c r="F64" s="5">
        <v>50.0</v>
      </c>
      <c r="G64" s="5">
        <v>1.0</v>
      </c>
      <c r="H64" s="5">
        <v>0.0</v>
      </c>
      <c r="I64" s="5" t="s">
        <v>133</v>
      </c>
      <c r="J64" s="5">
        <v>106.425</v>
      </c>
      <c r="K64" s="5" t="s">
        <v>134</v>
      </c>
      <c r="L64" s="5" t="s">
        <v>32</v>
      </c>
      <c r="M64" s="5"/>
    </row>
    <row r="65" ht="14.25" customHeight="1">
      <c r="A65" s="5">
        <v>557.0</v>
      </c>
      <c r="B65" s="5">
        <v>1.0</v>
      </c>
      <c r="C65" s="5">
        <v>1.0</v>
      </c>
      <c r="D65" s="5" t="s">
        <v>135</v>
      </c>
      <c r="E65" s="5" t="s">
        <v>14</v>
      </c>
      <c r="F65" s="5">
        <v>48.0</v>
      </c>
      <c r="G65" s="5">
        <v>1.0</v>
      </c>
      <c r="H65" s="5">
        <v>0.0</v>
      </c>
      <c r="I65" s="5">
        <v>11755.0</v>
      </c>
      <c r="J65" s="5">
        <v>39.6</v>
      </c>
      <c r="K65" s="5" t="s">
        <v>136</v>
      </c>
      <c r="L65" s="5" t="s">
        <v>32</v>
      </c>
      <c r="M65" s="5"/>
    </row>
    <row r="66" ht="14.25" customHeight="1">
      <c r="A66" s="5">
        <v>600.0</v>
      </c>
      <c r="B66" s="5">
        <v>1.0</v>
      </c>
      <c r="C66" s="5">
        <v>1.0</v>
      </c>
      <c r="D66" s="5" t="s">
        <v>137</v>
      </c>
      <c r="E66" s="5" t="s">
        <v>18</v>
      </c>
      <c r="F66" s="5">
        <v>49.0</v>
      </c>
      <c r="G66" s="5">
        <v>1.0</v>
      </c>
      <c r="H66" s="5">
        <v>0.0</v>
      </c>
      <c r="I66" s="5" t="s">
        <v>138</v>
      </c>
      <c r="J66" s="5">
        <v>56.9292</v>
      </c>
      <c r="K66" s="5" t="s">
        <v>139</v>
      </c>
      <c r="L66" s="5" t="s">
        <v>32</v>
      </c>
      <c r="M66" s="5"/>
    </row>
    <row r="67" ht="14.25" customHeight="1">
      <c r="A67" s="5">
        <v>717.0</v>
      </c>
      <c r="B67" s="5">
        <v>1.0</v>
      </c>
      <c r="C67" s="5">
        <v>1.0</v>
      </c>
      <c r="D67" s="5" t="s">
        <v>140</v>
      </c>
      <c r="E67" s="5" t="s">
        <v>14</v>
      </c>
      <c r="F67" s="5">
        <v>38.0</v>
      </c>
      <c r="G67" s="5">
        <v>0.0</v>
      </c>
      <c r="H67" s="5">
        <v>0.0</v>
      </c>
      <c r="I67" s="5" t="s">
        <v>34</v>
      </c>
      <c r="J67" s="5">
        <v>227.525</v>
      </c>
      <c r="K67" s="5" t="s">
        <v>141</v>
      </c>
      <c r="L67" s="5" t="s">
        <v>32</v>
      </c>
      <c r="M67" s="5"/>
    </row>
    <row r="68" ht="14.25" customHeight="1">
      <c r="A68" s="5">
        <v>497.0</v>
      </c>
      <c r="B68" s="5">
        <v>1.0</v>
      </c>
      <c r="C68" s="5">
        <v>1.0</v>
      </c>
      <c r="D68" s="5" t="s">
        <v>142</v>
      </c>
      <c r="E68" s="5" t="s">
        <v>14</v>
      </c>
      <c r="F68" s="5">
        <v>54.0</v>
      </c>
      <c r="G68" s="5">
        <v>1.0</v>
      </c>
      <c r="H68" s="5">
        <v>0.0</v>
      </c>
      <c r="I68" s="5">
        <v>36947.0</v>
      </c>
      <c r="J68" s="5">
        <v>78.2667</v>
      </c>
      <c r="K68" s="5" t="s">
        <v>143</v>
      </c>
      <c r="L68" s="5" t="s">
        <v>32</v>
      </c>
      <c r="M68" s="5"/>
    </row>
    <row r="69" ht="14.25" customHeight="1">
      <c r="A69" s="5">
        <v>528.0</v>
      </c>
      <c r="B69" s="5">
        <v>0.0</v>
      </c>
      <c r="C69" s="5">
        <v>1.0</v>
      </c>
      <c r="D69" s="5" t="s">
        <v>144</v>
      </c>
      <c r="E69" s="5" t="s">
        <v>18</v>
      </c>
      <c r="F69" s="5"/>
      <c r="G69" s="5">
        <v>0.0</v>
      </c>
      <c r="H69" s="5">
        <v>0.0</v>
      </c>
      <c r="I69" s="5" t="s">
        <v>145</v>
      </c>
      <c r="J69" s="5">
        <v>221.7792</v>
      </c>
      <c r="K69" s="5" t="s">
        <v>146</v>
      </c>
      <c r="L69" s="5" t="s">
        <v>16</v>
      </c>
      <c r="M69" s="5"/>
    </row>
    <row r="70" ht="14.25" customHeight="1">
      <c r="A70" s="5">
        <v>307.0</v>
      </c>
      <c r="B70" s="5">
        <v>1.0</v>
      </c>
      <c r="C70" s="5">
        <v>1.0</v>
      </c>
      <c r="D70" s="5" t="s">
        <v>147</v>
      </c>
      <c r="E70" s="5" t="s">
        <v>14</v>
      </c>
      <c r="F70" s="5"/>
      <c r="G70" s="5">
        <v>0.0</v>
      </c>
      <c r="H70" s="5">
        <v>0.0</v>
      </c>
      <c r="I70" s="5">
        <v>17421.0</v>
      </c>
      <c r="J70" s="5">
        <v>110.8833</v>
      </c>
      <c r="K70" s="5"/>
      <c r="L70" s="5" t="s">
        <v>32</v>
      </c>
      <c r="M70" s="5"/>
    </row>
    <row r="71" ht="14.25" customHeight="1">
      <c r="A71" s="5">
        <v>573.0</v>
      </c>
      <c r="B71" s="5">
        <v>1.0</v>
      </c>
      <c r="C71" s="5">
        <v>1.0</v>
      </c>
      <c r="D71" s="5" t="s">
        <v>148</v>
      </c>
      <c r="E71" s="5" t="s">
        <v>18</v>
      </c>
      <c r="F71" s="5">
        <v>36.0</v>
      </c>
      <c r="G71" s="5">
        <v>0.0</v>
      </c>
      <c r="H71" s="5">
        <v>0.0</v>
      </c>
      <c r="I71" s="5" t="s">
        <v>149</v>
      </c>
      <c r="J71" s="5">
        <v>26.3875</v>
      </c>
      <c r="K71" s="5" t="s">
        <v>150</v>
      </c>
      <c r="L71" s="5" t="s">
        <v>16</v>
      </c>
      <c r="M71" s="5"/>
    </row>
    <row r="72" ht="14.25" customHeight="1">
      <c r="A72" s="5">
        <v>453.0</v>
      </c>
      <c r="B72" s="5">
        <v>0.0</v>
      </c>
      <c r="C72" s="5">
        <v>1.0</v>
      </c>
      <c r="D72" s="5" t="s">
        <v>151</v>
      </c>
      <c r="E72" s="5" t="s">
        <v>18</v>
      </c>
      <c r="F72" s="5">
        <v>30.0</v>
      </c>
      <c r="G72" s="5">
        <v>0.0</v>
      </c>
      <c r="H72" s="5">
        <v>0.0</v>
      </c>
      <c r="I72" s="5">
        <v>113051.0</v>
      </c>
      <c r="J72" s="5">
        <v>27.75</v>
      </c>
      <c r="K72" s="5" t="s">
        <v>152</v>
      </c>
      <c r="L72" s="5" t="s">
        <v>32</v>
      </c>
      <c r="M72" s="5"/>
    </row>
    <row r="73" ht="14.25" customHeight="1">
      <c r="A73" s="5">
        <v>342.0</v>
      </c>
      <c r="B73" s="5">
        <v>1.0</v>
      </c>
      <c r="C73" s="5">
        <v>1.0</v>
      </c>
      <c r="D73" s="5" t="s">
        <v>153</v>
      </c>
      <c r="E73" s="5" t="s">
        <v>14</v>
      </c>
      <c r="F73" s="5">
        <v>24.0</v>
      </c>
      <c r="G73" s="5">
        <v>3.0</v>
      </c>
      <c r="H73" s="5">
        <v>2.0</v>
      </c>
      <c r="I73" s="5">
        <v>19950.0</v>
      </c>
      <c r="J73" s="5">
        <v>263.0</v>
      </c>
      <c r="K73" s="5" t="s">
        <v>154</v>
      </c>
      <c r="L73" s="5" t="s">
        <v>16</v>
      </c>
      <c r="M73" s="5"/>
    </row>
    <row r="74" ht="14.25" customHeight="1">
      <c r="A74" s="5">
        <v>89.0</v>
      </c>
      <c r="B74" s="5">
        <v>1.0</v>
      </c>
      <c r="C74" s="5">
        <v>1.0</v>
      </c>
      <c r="D74" s="5" t="s">
        <v>155</v>
      </c>
      <c r="E74" s="5" t="s">
        <v>14</v>
      </c>
      <c r="F74" s="5">
        <v>23.0</v>
      </c>
      <c r="G74" s="5">
        <v>3.0</v>
      </c>
      <c r="H74" s="5">
        <v>2.0</v>
      </c>
      <c r="I74" s="5">
        <v>19950.0</v>
      </c>
      <c r="J74" s="5">
        <v>263.0</v>
      </c>
      <c r="K74" s="5" t="s">
        <v>154</v>
      </c>
      <c r="L74" s="5" t="s">
        <v>16</v>
      </c>
      <c r="M74" s="5"/>
    </row>
    <row r="75" ht="14.25" customHeight="1">
      <c r="A75" s="5">
        <v>28.0</v>
      </c>
      <c r="B75" s="5">
        <v>0.0</v>
      </c>
      <c r="C75" s="5">
        <v>1.0</v>
      </c>
      <c r="D75" s="5" t="s">
        <v>156</v>
      </c>
      <c r="E75" s="5" t="s">
        <v>18</v>
      </c>
      <c r="F75" s="5">
        <v>19.0</v>
      </c>
      <c r="G75" s="5">
        <v>3.0</v>
      </c>
      <c r="H75" s="5">
        <v>2.0</v>
      </c>
      <c r="I75" s="5">
        <v>19950.0</v>
      </c>
      <c r="J75" s="5">
        <v>263.0</v>
      </c>
      <c r="K75" s="5" t="s">
        <v>154</v>
      </c>
      <c r="L75" s="5" t="s">
        <v>16</v>
      </c>
      <c r="M75" s="5"/>
    </row>
    <row r="76" ht="14.25" customHeight="1">
      <c r="A76" s="5">
        <v>439.0</v>
      </c>
      <c r="B76" s="5">
        <v>0.0</v>
      </c>
      <c r="C76" s="5">
        <v>1.0</v>
      </c>
      <c r="D76" s="5" t="s">
        <v>157</v>
      </c>
      <c r="E76" s="5" t="s">
        <v>18</v>
      </c>
      <c r="F76" s="5">
        <v>64.0</v>
      </c>
      <c r="G76" s="5">
        <v>1.0</v>
      </c>
      <c r="H76" s="5">
        <v>4.0</v>
      </c>
      <c r="I76" s="5">
        <v>19950.0</v>
      </c>
      <c r="J76" s="5">
        <v>263.0</v>
      </c>
      <c r="K76" s="5" t="s">
        <v>154</v>
      </c>
      <c r="L76" s="5" t="s">
        <v>16</v>
      </c>
      <c r="M76" s="5"/>
    </row>
    <row r="77" ht="14.25" customHeight="1">
      <c r="A77" s="5">
        <v>310.0</v>
      </c>
      <c r="B77" s="5">
        <v>1.0</v>
      </c>
      <c r="C77" s="5">
        <v>1.0</v>
      </c>
      <c r="D77" s="5" t="s">
        <v>158</v>
      </c>
      <c r="E77" s="5" t="s">
        <v>14</v>
      </c>
      <c r="F77" s="5">
        <v>30.0</v>
      </c>
      <c r="G77" s="5">
        <v>0.0</v>
      </c>
      <c r="H77" s="5">
        <v>0.0</v>
      </c>
      <c r="I77" s="5" t="s">
        <v>138</v>
      </c>
      <c r="J77" s="5">
        <v>56.9292</v>
      </c>
      <c r="K77" s="5" t="s">
        <v>159</v>
      </c>
      <c r="L77" s="5" t="s">
        <v>32</v>
      </c>
      <c r="M77" s="5"/>
    </row>
    <row r="78" ht="14.25" customHeight="1">
      <c r="A78" s="5">
        <v>661.0</v>
      </c>
      <c r="B78" s="5">
        <v>1.0</v>
      </c>
      <c r="C78" s="5">
        <v>1.0</v>
      </c>
      <c r="D78" s="5" t="s">
        <v>160</v>
      </c>
      <c r="E78" s="5" t="s">
        <v>18</v>
      </c>
      <c r="F78" s="5">
        <v>50.0</v>
      </c>
      <c r="G78" s="5">
        <v>2.0</v>
      </c>
      <c r="H78" s="5">
        <v>0.0</v>
      </c>
      <c r="I78" s="5" t="s">
        <v>161</v>
      </c>
      <c r="J78" s="5">
        <v>133.65</v>
      </c>
      <c r="K78" s="5"/>
      <c r="L78" s="5" t="s">
        <v>16</v>
      </c>
      <c r="M78" s="5"/>
    </row>
    <row r="79" ht="14.25" customHeight="1">
      <c r="A79" s="5">
        <v>335.0</v>
      </c>
      <c r="B79" s="5">
        <v>1.0</v>
      </c>
      <c r="C79" s="5">
        <v>1.0</v>
      </c>
      <c r="D79" s="5" t="s">
        <v>162</v>
      </c>
      <c r="E79" s="5" t="s">
        <v>14</v>
      </c>
      <c r="F79" s="5"/>
      <c r="G79" s="5">
        <v>1.0</v>
      </c>
      <c r="H79" s="5">
        <v>0.0</v>
      </c>
      <c r="I79" s="5" t="s">
        <v>161</v>
      </c>
      <c r="J79" s="5">
        <v>133.65</v>
      </c>
      <c r="K79" s="5"/>
      <c r="L79" s="5" t="s">
        <v>16</v>
      </c>
      <c r="M79" s="5"/>
    </row>
    <row r="80" ht="14.25" customHeight="1">
      <c r="A80" s="5">
        <v>540.0</v>
      </c>
      <c r="B80" s="5">
        <v>1.0</v>
      </c>
      <c r="C80" s="5">
        <v>1.0</v>
      </c>
      <c r="D80" s="5" t="s">
        <v>163</v>
      </c>
      <c r="E80" s="5" t="s">
        <v>14</v>
      </c>
      <c r="F80" s="5">
        <v>22.0</v>
      </c>
      <c r="G80" s="5">
        <v>0.0</v>
      </c>
      <c r="H80" s="5">
        <v>2.0</v>
      </c>
      <c r="I80" s="5">
        <v>13568.0</v>
      </c>
      <c r="J80" s="5">
        <v>49.5</v>
      </c>
      <c r="K80" s="5" t="s">
        <v>164</v>
      </c>
      <c r="L80" s="5" t="s">
        <v>32</v>
      </c>
      <c r="M80" s="5"/>
    </row>
    <row r="81" ht="14.25" customHeight="1">
      <c r="A81" s="5">
        <v>588.0</v>
      </c>
      <c r="B81" s="5">
        <v>1.0</v>
      </c>
      <c r="C81" s="5">
        <v>1.0</v>
      </c>
      <c r="D81" s="5" t="s">
        <v>165</v>
      </c>
      <c r="E81" s="5" t="s">
        <v>18</v>
      </c>
      <c r="F81" s="5">
        <v>60.0</v>
      </c>
      <c r="G81" s="5">
        <v>1.0</v>
      </c>
      <c r="H81" s="5">
        <v>1.0</v>
      </c>
      <c r="I81" s="5">
        <v>13567.0</v>
      </c>
      <c r="J81" s="5">
        <v>79.2</v>
      </c>
      <c r="K81" s="5" t="s">
        <v>166</v>
      </c>
      <c r="L81" s="5" t="s">
        <v>32</v>
      </c>
      <c r="M81" s="5"/>
    </row>
    <row r="82" ht="14.25" customHeight="1">
      <c r="A82" s="5">
        <v>816.0</v>
      </c>
      <c r="B82" s="5">
        <v>0.0</v>
      </c>
      <c r="C82" s="5">
        <v>1.0</v>
      </c>
      <c r="D82" s="5" t="s">
        <v>167</v>
      </c>
      <c r="E82" s="5" t="s">
        <v>18</v>
      </c>
      <c r="F82" s="5"/>
      <c r="G82" s="5">
        <v>0.0</v>
      </c>
      <c r="H82" s="5">
        <v>0.0</v>
      </c>
      <c r="I82" s="5">
        <v>112058.0</v>
      </c>
      <c r="J82" s="5">
        <v>0.0</v>
      </c>
      <c r="K82" s="5" t="s">
        <v>168</v>
      </c>
      <c r="L82" s="5" t="s">
        <v>16</v>
      </c>
      <c r="M82" s="5"/>
    </row>
    <row r="83" ht="14.25" customHeight="1">
      <c r="A83" s="5">
        <v>138.0</v>
      </c>
      <c r="B83" s="5">
        <v>0.0</v>
      </c>
      <c r="C83" s="5">
        <v>1.0</v>
      </c>
      <c r="D83" s="5" t="s">
        <v>169</v>
      </c>
      <c r="E83" s="5" t="s">
        <v>18</v>
      </c>
      <c r="F83" s="5">
        <v>37.0</v>
      </c>
      <c r="G83" s="5">
        <v>1.0</v>
      </c>
      <c r="H83" s="5">
        <v>0.0</v>
      </c>
      <c r="I83" s="5">
        <v>113803.0</v>
      </c>
      <c r="J83" s="5">
        <v>53.1</v>
      </c>
      <c r="K83" s="5" t="s">
        <v>170</v>
      </c>
      <c r="L83" s="5" t="s">
        <v>16</v>
      </c>
      <c r="M83" s="5"/>
    </row>
    <row r="84" ht="14.25" customHeight="1">
      <c r="A84" s="5">
        <v>4.0</v>
      </c>
      <c r="B84" s="5">
        <v>1.0</v>
      </c>
      <c r="C84" s="5">
        <v>1.0</v>
      </c>
      <c r="D84" s="5" t="s">
        <v>171</v>
      </c>
      <c r="E84" s="5" t="s">
        <v>14</v>
      </c>
      <c r="F84" s="5">
        <v>35.0</v>
      </c>
      <c r="G84" s="5">
        <v>1.0</v>
      </c>
      <c r="H84" s="5">
        <v>0.0</v>
      </c>
      <c r="I84" s="5">
        <v>113803.0</v>
      </c>
      <c r="J84" s="5">
        <v>53.1</v>
      </c>
      <c r="K84" s="5" t="s">
        <v>170</v>
      </c>
      <c r="L84" s="5" t="s">
        <v>16</v>
      </c>
      <c r="M84" s="5"/>
    </row>
    <row r="85" ht="14.25" customHeight="1">
      <c r="A85" s="5">
        <v>463.0</v>
      </c>
      <c r="B85" s="5">
        <v>0.0</v>
      </c>
      <c r="C85" s="5">
        <v>1.0</v>
      </c>
      <c r="D85" s="5" t="s">
        <v>172</v>
      </c>
      <c r="E85" s="5" t="s">
        <v>18</v>
      </c>
      <c r="F85" s="5">
        <v>47.0</v>
      </c>
      <c r="G85" s="5">
        <v>0.0</v>
      </c>
      <c r="H85" s="5">
        <v>0.0</v>
      </c>
      <c r="I85" s="5">
        <v>111320.0</v>
      </c>
      <c r="J85" s="5">
        <v>38.5</v>
      </c>
      <c r="K85" s="5" t="s">
        <v>173</v>
      </c>
      <c r="L85" s="5" t="s">
        <v>16</v>
      </c>
      <c r="M85" s="5"/>
    </row>
    <row r="86" ht="14.25" customHeight="1">
      <c r="A86" s="5">
        <v>140.0</v>
      </c>
      <c r="B86" s="5">
        <v>0.0</v>
      </c>
      <c r="C86" s="5">
        <v>1.0</v>
      </c>
      <c r="D86" s="5" t="s">
        <v>174</v>
      </c>
      <c r="E86" s="5" t="s">
        <v>18</v>
      </c>
      <c r="F86" s="5">
        <v>24.0</v>
      </c>
      <c r="G86" s="5">
        <v>0.0</v>
      </c>
      <c r="H86" s="5">
        <v>0.0</v>
      </c>
      <c r="I86" s="5" t="s">
        <v>175</v>
      </c>
      <c r="J86" s="5">
        <v>79.2</v>
      </c>
      <c r="K86" s="5" t="s">
        <v>176</v>
      </c>
      <c r="L86" s="5" t="s">
        <v>32</v>
      </c>
      <c r="M86" s="5"/>
    </row>
    <row r="87" ht="14.25" customHeight="1">
      <c r="A87" s="5">
        <v>454.0</v>
      </c>
      <c r="B87" s="5">
        <v>1.0</v>
      </c>
      <c r="C87" s="5">
        <v>1.0</v>
      </c>
      <c r="D87" s="5" t="s">
        <v>177</v>
      </c>
      <c r="E87" s="5" t="s">
        <v>18</v>
      </c>
      <c r="F87" s="5">
        <v>49.0</v>
      </c>
      <c r="G87" s="5">
        <v>1.0</v>
      </c>
      <c r="H87" s="5">
        <v>0.0</v>
      </c>
      <c r="I87" s="5">
        <v>17453.0</v>
      </c>
      <c r="J87" s="5">
        <v>89.1042</v>
      </c>
      <c r="K87" s="5" t="s">
        <v>178</v>
      </c>
      <c r="L87" s="5" t="s">
        <v>32</v>
      </c>
      <c r="M87" s="5"/>
    </row>
    <row r="88" ht="14.25" customHeight="1">
      <c r="A88" s="5">
        <v>850.0</v>
      </c>
      <c r="B88" s="5">
        <v>1.0</v>
      </c>
      <c r="C88" s="5">
        <v>1.0</v>
      </c>
      <c r="D88" s="5" t="s">
        <v>179</v>
      </c>
      <c r="E88" s="5" t="s">
        <v>14</v>
      </c>
      <c r="F88" s="5"/>
      <c r="G88" s="5">
        <v>1.0</v>
      </c>
      <c r="H88" s="5">
        <v>0.0</v>
      </c>
      <c r="I88" s="5">
        <v>17453.0</v>
      </c>
      <c r="J88" s="5">
        <v>89.1042</v>
      </c>
      <c r="K88" s="5" t="s">
        <v>178</v>
      </c>
      <c r="L88" s="5" t="s">
        <v>32</v>
      </c>
      <c r="M88" s="5"/>
    </row>
    <row r="89" ht="14.25" customHeight="1">
      <c r="A89" s="5">
        <v>97.0</v>
      </c>
      <c r="B89" s="5">
        <v>0.0</v>
      </c>
      <c r="C89" s="5">
        <v>1.0</v>
      </c>
      <c r="D89" s="5" t="s">
        <v>180</v>
      </c>
      <c r="E89" s="5" t="s">
        <v>18</v>
      </c>
      <c r="F89" s="5">
        <v>71.0</v>
      </c>
      <c r="G89" s="5">
        <v>0.0</v>
      </c>
      <c r="H89" s="5">
        <v>0.0</v>
      </c>
      <c r="I89" s="5" t="s">
        <v>181</v>
      </c>
      <c r="J89" s="5">
        <v>34.6542</v>
      </c>
      <c r="K89" s="5" t="s">
        <v>182</v>
      </c>
      <c r="L89" s="5" t="s">
        <v>32</v>
      </c>
      <c r="M89" s="5"/>
    </row>
    <row r="90" ht="14.25" customHeight="1">
      <c r="A90" s="5">
        <v>888.0</v>
      </c>
      <c r="B90" s="5">
        <v>1.0</v>
      </c>
      <c r="C90" s="5">
        <v>1.0</v>
      </c>
      <c r="D90" s="5" t="s">
        <v>183</v>
      </c>
      <c r="E90" s="5" t="s">
        <v>14</v>
      </c>
      <c r="F90" s="5">
        <v>19.0</v>
      </c>
      <c r="G90" s="5">
        <v>0.0</v>
      </c>
      <c r="H90" s="5">
        <v>0.0</v>
      </c>
      <c r="I90" s="5">
        <v>112053.0</v>
      </c>
      <c r="J90" s="5">
        <v>30.0</v>
      </c>
      <c r="K90" s="5" t="s">
        <v>184</v>
      </c>
      <c r="L90" s="5" t="s">
        <v>16</v>
      </c>
      <c r="M90" s="5"/>
    </row>
    <row r="91" ht="14.25" customHeight="1">
      <c r="A91" s="5">
        <v>333.0</v>
      </c>
      <c r="B91" s="5">
        <v>0.0</v>
      </c>
      <c r="C91" s="5">
        <v>1.0</v>
      </c>
      <c r="D91" s="5" t="s">
        <v>185</v>
      </c>
      <c r="E91" s="5" t="s">
        <v>18</v>
      </c>
      <c r="F91" s="5">
        <v>38.0</v>
      </c>
      <c r="G91" s="5">
        <v>0.0</v>
      </c>
      <c r="H91" s="5">
        <v>1.0</v>
      </c>
      <c r="I91" s="5" t="s">
        <v>186</v>
      </c>
      <c r="J91" s="5">
        <v>153.4625</v>
      </c>
      <c r="K91" s="5" t="s">
        <v>187</v>
      </c>
      <c r="L91" s="5" t="s">
        <v>16</v>
      </c>
      <c r="M91" s="5"/>
    </row>
    <row r="92" ht="14.25" customHeight="1">
      <c r="A92" s="5">
        <v>269.0</v>
      </c>
      <c r="B92" s="5">
        <v>1.0</v>
      </c>
      <c r="C92" s="5">
        <v>1.0</v>
      </c>
      <c r="D92" s="5" t="s">
        <v>188</v>
      </c>
      <c r="E92" s="5" t="s">
        <v>14</v>
      </c>
      <c r="F92" s="5">
        <v>58.0</v>
      </c>
      <c r="G92" s="5">
        <v>0.0</v>
      </c>
      <c r="H92" s="5">
        <v>1.0</v>
      </c>
      <c r="I92" s="5" t="s">
        <v>186</v>
      </c>
      <c r="J92" s="5">
        <v>153.4625</v>
      </c>
      <c r="K92" s="5" t="s">
        <v>189</v>
      </c>
      <c r="L92" s="5" t="s">
        <v>16</v>
      </c>
      <c r="M92" s="5"/>
    </row>
    <row r="93" ht="14.25" customHeight="1">
      <c r="A93" s="5">
        <v>98.0</v>
      </c>
      <c r="B93" s="5">
        <v>1.0</v>
      </c>
      <c r="C93" s="5">
        <v>1.0</v>
      </c>
      <c r="D93" s="5" t="s">
        <v>190</v>
      </c>
      <c r="E93" s="5" t="s">
        <v>18</v>
      </c>
      <c r="F93" s="5">
        <v>23.0</v>
      </c>
      <c r="G93" s="5">
        <v>0.0</v>
      </c>
      <c r="H93" s="5">
        <v>1.0</v>
      </c>
      <c r="I93" s="5" t="s">
        <v>191</v>
      </c>
      <c r="J93" s="5">
        <v>63.3583</v>
      </c>
      <c r="K93" s="5" t="s">
        <v>192</v>
      </c>
      <c r="L93" s="5" t="s">
        <v>32</v>
      </c>
      <c r="M93" s="5"/>
    </row>
    <row r="94" ht="14.25" customHeight="1">
      <c r="A94" s="5">
        <v>790.0</v>
      </c>
      <c r="B94" s="5">
        <v>0.0</v>
      </c>
      <c r="C94" s="5">
        <v>1.0</v>
      </c>
      <c r="D94" s="5" t="s">
        <v>193</v>
      </c>
      <c r="E94" s="5" t="s">
        <v>18</v>
      </c>
      <c r="F94" s="5">
        <v>46.0</v>
      </c>
      <c r="G94" s="5">
        <v>0.0</v>
      </c>
      <c r="H94" s="5">
        <v>0.0</v>
      </c>
      <c r="I94" s="5" t="s">
        <v>175</v>
      </c>
      <c r="J94" s="5">
        <v>79.2</v>
      </c>
      <c r="K94" s="5" t="s">
        <v>194</v>
      </c>
      <c r="L94" s="5" t="s">
        <v>32</v>
      </c>
      <c r="M94" s="5"/>
    </row>
    <row r="95" ht="14.25" customHeight="1">
      <c r="A95" s="5">
        <v>371.0</v>
      </c>
      <c r="B95" s="5">
        <v>1.0</v>
      </c>
      <c r="C95" s="5">
        <v>1.0</v>
      </c>
      <c r="D95" s="5" t="s">
        <v>195</v>
      </c>
      <c r="E95" s="5" t="s">
        <v>18</v>
      </c>
      <c r="F95" s="5">
        <v>25.0</v>
      </c>
      <c r="G95" s="5">
        <v>1.0</v>
      </c>
      <c r="H95" s="5">
        <v>0.0</v>
      </c>
      <c r="I95" s="5">
        <v>11765.0</v>
      </c>
      <c r="J95" s="5">
        <v>55.4417</v>
      </c>
      <c r="K95" s="5" t="s">
        <v>196</v>
      </c>
      <c r="L95" s="5" t="s">
        <v>32</v>
      </c>
      <c r="M95" s="5"/>
    </row>
    <row r="96" ht="14.25" customHeight="1">
      <c r="A96" s="5">
        <v>646.0</v>
      </c>
      <c r="B96" s="5">
        <v>1.0</v>
      </c>
      <c r="C96" s="5">
        <v>1.0</v>
      </c>
      <c r="D96" s="5" t="s">
        <v>197</v>
      </c>
      <c r="E96" s="5" t="s">
        <v>18</v>
      </c>
      <c r="F96" s="5">
        <v>48.0</v>
      </c>
      <c r="G96" s="5">
        <v>1.0</v>
      </c>
      <c r="H96" s="5">
        <v>0.0</v>
      </c>
      <c r="I96" s="5" t="s">
        <v>198</v>
      </c>
      <c r="J96" s="5">
        <v>76.7292</v>
      </c>
      <c r="K96" s="5" t="s">
        <v>199</v>
      </c>
      <c r="L96" s="5" t="s">
        <v>32</v>
      </c>
      <c r="M96" s="5"/>
    </row>
    <row r="97" ht="14.25" customHeight="1">
      <c r="A97" s="5">
        <v>53.0</v>
      </c>
      <c r="B97" s="5">
        <v>1.0</v>
      </c>
      <c r="C97" s="5">
        <v>1.0</v>
      </c>
      <c r="D97" s="5" t="s">
        <v>200</v>
      </c>
      <c r="E97" s="5" t="s">
        <v>14</v>
      </c>
      <c r="F97" s="5">
        <v>49.0</v>
      </c>
      <c r="G97" s="5">
        <v>1.0</v>
      </c>
      <c r="H97" s="5">
        <v>0.0</v>
      </c>
      <c r="I97" s="5" t="s">
        <v>198</v>
      </c>
      <c r="J97" s="5">
        <v>76.7292</v>
      </c>
      <c r="K97" s="5" t="s">
        <v>199</v>
      </c>
      <c r="L97" s="5" t="s">
        <v>32</v>
      </c>
      <c r="M97" s="5"/>
    </row>
    <row r="98" ht="14.25" customHeight="1">
      <c r="A98" s="5">
        <v>603.0</v>
      </c>
      <c r="B98" s="5">
        <v>0.0</v>
      </c>
      <c r="C98" s="5">
        <v>1.0</v>
      </c>
      <c r="D98" s="5" t="s">
        <v>201</v>
      </c>
      <c r="E98" s="5" t="s">
        <v>18</v>
      </c>
      <c r="F98" s="5"/>
      <c r="G98" s="5">
        <v>0.0</v>
      </c>
      <c r="H98" s="5">
        <v>0.0</v>
      </c>
      <c r="I98" s="5">
        <v>113796.0</v>
      </c>
      <c r="J98" s="5">
        <v>42.4</v>
      </c>
      <c r="K98" s="5"/>
      <c r="L98" s="5" t="s">
        <v>16</v>
      </c>
      <c r="M98" s="5"/>
    </row>
    <row r="99" ht="14.25" customHeight="1">
      <c r="A99" s="5">
        <v>63.0</v>
      </c>
      <c r="B99" s="5">
        <v>0.0</v>
      </c>
      <c r="C99" s="5">
        <v>1.0</v>
      </c>
      <c r="D99" s="5" t="s">
        <v>202</v>
      </c>
      <c r="E99" s="5" t="s">
        <v>18</v>
      </c>
      <c r="F99" s="5">
        <v>45.0</v>
      </c>
      <c r="G99" s="5">
        <v>1.0</v>
      </c>
      <c r="H99" s="5">
        <v>0.0</v>
      </c>
      <c r="I99" s="5">
        <v>36973.0</v>
      </c>
      <c r="J99" s="5">
        <v>83.475</v>
      </c>
      <c r="K99" s="5" t="s">
        <v>203</v>
      </c>
      <c r="L99" s="5" t="s">
        <v>16</v>
      </c>
      <c r="M99" s="5"/>
    </row>
    <row r="100" ht="14.25" customHeight="1">
      <c r="A100" s="5">
        <v>231.0</v>
      </c>
      <c r="B100" s="5">
        <v>1.0</v>
      </c>
      <c r="C100" s="5">
        <v>1.0</v>
      </c>
      <c r="D100" s="5" t="s">
        <v>204</v>
      </c>
      <c r="E100" s="5" t="s">
        <v>14</v>
      </c>
      <c r="F100" s="5">
        <v>35.0</v>
      </c>
      <c r="G100" s="5">
        <v>1.0</v>
      </c>
      <c r="H100" s="5">
        <v>0.0</v>
      </c>
      <c r="I100" s="5">
        <v>36973.0</v>
      </c>
      <c r="J100" s="5">
        <v>83.475</v>
      </c>
      <c r="K100" s="5" t="s">
        <v>203</v>
      </c>
      <c r="L100" s="5" t="s">
        <v>16</v>
      </c>
      <c r="M100" s="5"/>
    </row>
    <row r="101" ht="14.25" customHeight="1">
      <c r="A101" s="5">
        <v>264.0</v>
      </c>
      <c r="B101" s="5">
        <v>0.0</v>
      </c>
      <c r="C101" s="5">
        <v>1.0</v>
      </c>
      <c r="D101" s="5" t="s">
        <v>205</v>
      </c>
      <c r="E101" s="5" t="s">
        <v>18</v>
      </c>
      <c r="F101" s="5">
        <v>40.0</v>
      </c>
      <c r="G101" s="5">
        <v>0.0</v>
      </c>
      <c r="H101" s="5">
        <v>0.0</v>
      </c>
      <c r="I101" s="5">
        <v>112059.0</v>
      </c>
      <c r="J101" s="5">
        <v>0.0</v>
      </c>
      <c r="K101" s="5" t="s">
        <v>206</v>
      </c>
      <c r="L101" s="5" t="s">
        <v>16</v>
      </c>
      <c r="M101" s="5"/>
    </row>
    <row r="102" ht="14.25" customHeight="1">
      <c r="A102" s="5">
        <v>682.0</v>
      </c>
      <c r="B102" s="5">
        <v>1.0</v>
      </c>
      <c r="C102" s="5">
        <v>1.0</v>
      </c>
      <c r="D102" s="5" t="s">
        <v>207</v>
      </c>
      <c r="E102" s="5" t="s">
        <v>18</v>
      </c>
      <c r="F102" s="5">
        <v>27.0</v>
      </c>
      <c r="G102" s="5">
        <v>0.0</v>
      </c>
      <c r="H102" s="5">
        <v>0.0</v>
      </c>
      <c r="I102" s="5" t="s">
        <v>198</v>
      </c>
      <c r="J102" s="5">
        <v>76.7292</v>
      </c>
      <c r="K102" s="5" t="s">
        <v>208</v>
      </c>
      <c r="L102" s="5" t="s">
        <v>32</v>
      </c>
      <c r="M102" s="5"/>
    </row>
    <row r="103" ht="14.25" customHeight="1">
      <c r="A103" s="5">
        <v>741.0</v>
      </c>
      <c r="B103" s="5">
        <v>1.0</v>
      </c>
      <c r="C103" s="5">
        <v>1.0</v>
      </c>
      <c r="D103" s="5" t="s">
        <v>209</v>
      </c>
      <c r="E103" s="5" t="s">
        <v>18</v>
      </c>
      <c r="F103" s="5"/>
      <c r="G103" s="5">
        <v>0.0</v>
      </c>
      <c r="H103" s="5">
        <v>0.0</v>
      </c>
      <c r="I103" s="5">
        <v>16988.0</v>
      </c>
      <c r="J103" s="5">
        <v>30.0</v>
      </c>
      <c r="K103" s="5" t="s">
        <v>210</v>
      </c>
      <c r="L103" s="5" t="s">
        <v>16</v>
      </c>
      <c r="M103" s="5"/>
    </row>
    <row r="104" ht="14.25" customHeight="1">
      <c r="A104" s="5">
        <v>311.0</v>
      </c>
      <c r="B104" s="5">
        <v>1.0</v>
      </c>
      <c r="C104" s="5">
        <v>1.0</v>
      </c>
      <c r="D104" s="5" t="s">
        <v>211</v>
      </c>
      <c r="E104" s="5" t="s">
        <v>14</v>
      </c>
      <c r="F104" s="5">
        <v>24.0</v>
      </c>
      <c r="G104" s="5">
        <v>0.0</v>
      </c>
      <c r="H104" s="5">
        <v>0.0</v>
      </c>
      <c r="I104" s="5">
        <v>11767.0</v>
      </c>
      <c r="J104" s="5">
        <v>83.1583</v>
      </c>
      <c r="K104" s="5" t="s">
        <v>212</v>
      </c>
      <c r="L104" s="5" t="s">
        <v>32</v>
      </c>
      <c r="M104" s="5"/>
    </row>
    <row r="105" ht="14.25" customHeight="1">
      <c r="A105" s="5">
        <v>821.0</v>
      </c>
      <c r="B105" s="5">
        <v>1.0</v>
      </c>
      <c r="C105" s="5">
        <v>1.0</v>
      </c>
      <c r="D105" s="5" t="s">
        <v>213</v>
      </c>
      <c r="E105" s="5" t="s">
        <v>14</v>
      </c>
      <c r="F105" s="5">
        <v>52.0</v>
      </c>
      <c r="G105" s="5">
        <v>1.0</v>
      </c>
      <c r="H105" s="5">
        <v>1.0</v>
      </c>
      <c r="I105" s="5">
        <v>12749.0</v>
      </c>
      <c r="J105" s="5">
        <v>93.5</v>
      </c>
      <c r="K105" s="5" t="s">
        <v>214</v>
      </c>
      <c r="L105" s="5" t="s">
        <v>16</v>
      </c>
      <c r="M105" s="5"/>
    </row>
    <row r="106" ht="14.25" customHeight="1">
      <c r="A106" s="5">
        <v>330.0</v>
      </c>
      <c r="B106" s="5">
        <v>1.0</v>
      </c>
      <c r="C106" s="5">
        <v>1.0</v>
      </c>
      <c r="D106" s="5" t="s">
        <v>215</v>
      </c>
      <c r="E106" s="5" t="s">
        <v>14</v>
      </c>
      <c r="F106" s="5">
        <v>16.0</v>
      </c>
      <c r="G106" s="5">
        <v>0.0</v>
      </c>
      <c r="H106" s="5">
        <v>1.0</v>
      </c>
      <c r="I106" s="5">
        <v>111361.0</v>
      </c>
      <c r="J106" s="5">
        <v>57.9792</v>
      </c>
      <c r="K106" s="5" t="s">
        <v>216</v>
      </c>
      <c r="L106" s="5" t="s">
        <v>32</v>
      </c>
      <c r="M106" s="5"/>
    </row>
    <row r="107" ht="14.25" customHeight="1">
      <c r="A107" s="5">
        <v>524.0</v>
      </c>
      <c r="B107" s="5">
        <v>1.0</v>
      </c>
      <c r="C107" s="5">
        <v>1.0</v>
      </c>
      <c r="D107" s="5" t="s">
        <v>217</v>
      </c>
      <c r="E107" s="5" t="s">
        <v>14</v>
      </c>
      <c r="F107" s="5">
        <v>44.0</v>
      </c>
      <c r="G107" s="5">
        <v>0.0</v>
      </c>
      <c r="H107" s="5">
        <v>1.0</v>
      </c>
      <c r="I107" s="5">
        <v>111361.0</v>
      </c>
      <c r="J107" s="5">
        <v>57.9792</v>
      </c>
      <c r="K107" s="5" t="s">
        <v>216</v>
      </c>
      <c r="L107" s="5" t="s">
        <v>32</v>
      </c>
      <c r="M107" s="5"/>
    </row>
    <row r="108" ht="14.25" customHeight="1">
      <c r="A108" s="5">
        <v>766.0</v>
      </c>
      <c r="B108" s="5">
        <v>1.0</v>
      </c>
      <c r="C108" s="5">
        <v>1.0</v>
      </c>
      <c r="D108" s="5" t="s">
        <v>218</v>
      </c>
      <c r="E108" s="5" t="s">
        <v>14</v>
      </c>
      <c r="F108" s="5">
        <v>51.0</v>
      </c>
      <c r="G108" s="5">
        <v>1.0</v>
      </c>
      <c r="H108" s="5">
        <v>0.0</v>
      </c>
      <c r="I108" s="5">
        <v>13502.0</v>
      </c>
      <c r="J108" s="5">
        <v>77.9583</v>
      </c>
      <c r="K108" s="5" t="s">
        <v>219</v>
      </c>
      <c r="L108" s="5" t="s">
        <v>16</v>
      </c>
      <c r="M108" s="5"/>
    </row>
    <row r="109" ht="14.25" customHeight="1">
      <c r="A109" s="5">
        <v>36.0</v>
      </c>
      <c r="B109" s="5">
        <v>0.0</v>
      </c>
      <c r="C109" s="5">
        <v>1.0</v>
      </c>
      <c r="D109" s="5" t="s">
        <v>220</v>
      </c>
      <c r="E109" s="5" t="s">
        <v>18</v>
      </c>
      <c r="F109" s="5">
        <v>42.0</v>
      </c>
      <c r="G109" s="5">
        <v>1.0</v>
      </c>
      <c r="H109" s="5">
        <v>0.0</v>
      </c>
      <c r="I109" s="5">
        <v>113789.0</v>
      </c>
      <c r="J109" s="5">
        <v>52.0</v>
      </c>
      <c r="K109" s="5"/>
      <c r="L109" s="5" t="s">
        <v>16</v>
      </c>
      <c r="M109" s="5"/>
    </row>
    <row r="110" ht="14.25" customHeight="1">
      <c r="A110" s="5">
        <v>384.0</v>
      </c>
      <c r="B110" s="5">
        <v>1.0</v>
      </c>
      <c r="C110" s="5">
        <v>1.0</v>
      </c>
      <c r="D110" s="5" t="s">
        <v>221</v>
      </c>
      <c r="E110" s="5" t="s">
        <v>14</v>
      </c>
      <c r="F110" s="5">
        <v>35.0</v>
      </c>
      <c r="G110" s="5">
        <v>1.0</v>
      </c>
      <c r="H110" s="5">
        <v>0.0</v>
      </c>
      <c r="I110" s="5">
        <v>113789.0</v>
      </c>
      <c r="J110" s="5">
        <v>52.0</v>
      </c>
      <c r="K110" s="5"/>
      <c r="L110" s="5" t="s">
        <v>16</v>
      </c>
      <c r="M110" s="5"/>
    </row>
    <row r="111" ht="14.25" customHeight="1">
      <c r="A111" s="5">
        <v>605.0</v>
      </c>
      <c r="B111" s="5">
        <v>1.0</v>
      </c>
      <c r="C111" s="5">
        <v>1.0</v>
      </c>
      <c r="D111" s="5" t="s">
        <v>222</v>
      </c>
      <c r="E111" s="5" t="s">
        <v>18</v>
      </c>
      <c r="F111" s="5">
        <v>35.0</v>
      </c>
      <c r="G111" s="5">
        <v>0.0</v>
      </c>
      <c r="H111" s="5">
        <v>0.0</v>
      </c>
      <c r="I111" s="5">
        <v>111426.0</v>
      </c>
      <c r="J111" s="5">
        <v>26.55</v>
      </c>
      <c r="K111" s="5"/>
      <c r="L111" s="5" t="s">
        <v>32</v>
      </c>
      <c r="M111" s="5"/>
    </row>
    <row r="112" ht="14.25" customHeight="1">
      <c r="A112" s="5">
        <v>225.0</v>
      </c>
      <c r="B112" s="5">
        <v>1.0</v>
      </c>
      <c r="C112" s="5">
        <v>1.0</v>
      </c>
      <c r="D112" s="5" t="s">
        <v>223</v>
      </c>
      <c r="E112" s="5" t="s">
        <v>18</v>
      </c>
      <c r="F112" s="5">
        <v>38.0</v>
      </c>
      <c r="G112" s="5">
        <v>1.0</v>
      </c>
      <c r="H112" s="5">
        <v>0.0</v>
      </c>
      <c r="I112" s="5">
        <v>19943.0</v>
      </c>
      <c r="J112" s="5">
        <v>90.0</v>
      </c>
      <c r="K112" s="5" t="s">
        <v>224</v>
      </c>
      <c r="L112" s="5" t="s">
        <v>16</v>
      </c>
      <c r="M112" s="5"/>
    </row>
    <row r="113" ht="14.25" customHeight="1">
      <c r="A113" s="5">
        <v>794.0</v>
      </c>
      <c r="B113" s="5">
        <v>0.0</v>
      </c>
      <c r="C113" s="5">
        <v>1.0</v>
      </c>
      <c r="D113" s="5" t="s">
        <v>225</v>
      </c>
      <c r="E113" s="5" t="s">
        <v>18</v>
      </c>
      <c r="F113" s="5"/>
      <c r="G113" s="5">
        <v>0.0</v>
      </c>
      <c r="H113" s="5">
        <v>0.0</v>
      </c>
      <c r="I113" s="5" t="s">
        <v>226</v>
      </c>
      <c r="J113" s="5">
        <v>30.6958</v>
      </c>
      <c r="K113" s="5"/>
      <c r="L113" s="5" t="s">
        <v>32</v>
      </c>
      <c r="M113" s="5"/>
    </row>
    <row r="114" ht="14.25" customHeight="1">
      <c r="A114" s="5">
        <v>487.0</v>
      </c>
      <c r="B114" s="5">
        <v>1.0</v>
      </c>
      <c r="C114" s="5">
        <v>1.0</v>
      </c>
      <c r="D114" s="5" t="s">
        <v>227</v>
      </c>
      <c r="E114" s="5" t="s">
        <v>14</v>
      </c>
      <c r="F114" s="5">
        <v>35.0</v>
      </c>
      <c r="G114" s="5">
        <v>1.0</v>
      </c>
      <c r="H114" s="5">
        <v>0.0</v>
      </c>
      <c r="I114" s="5">
        <v>19943.0</v>
      </c>
      <c r="J114" s="5">
        <v>90.0</v>
      </c>
      <c r="K114" s="5" t="s">
        <v>224</v>
      </c>
      <c r="L114" s="5" t="s">
        <v>16</v>
      </c>
      <c r="M114" s="5"/>
    </row>
    <row r="115" ht="14.25" customHeight="1">
      <c r="A115" s="5">
        <v>62.0</v>
      </c>
      <c r="B115" s="5">
        <v>1.0</v>
      </c>
      <c r="C115" s="5">
        <v>1.0</v>
      </c>
      <c r="D115" s="5" t="s">
        <v>228</v>
      </c>
      <c r="E115" s="5" t="s">
        <v>14</v>
      </c>
      <c r="F115" s="5">
        <v>38.0</v>
      </c>
      <c r="G115" s="5">
        <v>0.0</v>
      </c>
      <c r="H115" s="5">
        <v>0.0</v>
      </c>
      <c r="I115" s="5">
        <v>113572.0</v>
      </c>
      <c r="J115" s="5">
        <v>80.0</v>
      </c>
      <c r="K115" s="5" t="s">
        <v>229</v>
      </c>
      <c r="L115" s="5"/>
      <c r="M115" s="5"/>
    </row>
    <row r="116" ht="14.25" customHeight="1">
      <c r="A116" s="5">
        <v>178.0</v>
      </c>
      <c r="B116" s="5">
        <v>0.0</v>
      </c>
      <c r="C116" s="5">
        <v>1.0</v>
      </c>
      <c r="D116" s="5" t="s">
        <v>230</v>
      </c>
      <c r="E116" s="5" t="s">
        <v>14</v>
      </c>
      <c r="F116" s="5">
        <v>50.0</v>
      </c>
      <c r="G116" s="5">
        <v>0.0</v>
      </c>
      <c r="H116" s="5">
        <v>0.0</v>
      </c>
      <c r="I116" s="5" t="s">
        <v>231</v>
      </c>
      <c r="J116" s="5">
        <v>28.7125</v>
      </c>
      <c r="K116" s="5" t="s">
        <v>232</v>
      </c>
      <c r="L116" s="5" t="s">
        <v>32</v>
      </c>
      <c r="M116" s="5"/>
    </row>
    <row r="117" ht="14.25" customHeight="1">
      <c r="A117" s="5">
        <v>488.0</v>
      </c>
      <c r="B117" s="5">
        <v>0.0</v>
      </c>
      <c r="C117" s="5">
        <v>1.0</v>
      </c>
      <c r="D117" s="5" t="s">
        <v>233</v>
      </c>
      <c r="E117" s="5" t="s">
        <v>18</v>
      </c>
      <c r="F117" s="5">
        <v>58.0</v>
      </c>
      <c r="G117" s="5">
        <v>0.0</v>
      </c>
      <c r="H117" s="5">
        <v>0.0</v>
      </c>
      <c r="I117" s="5">
        <v>11771.0</v>
      </c>
      <c r="J117" s="5">
        <v>29.7</v>
      </c>
      <c r="K117" s="5" t="s">
        <v>234</v>
      </c>
      <c r="L117" s="5" t="s">
        <v>32</v>
      </c>
      <c r="M117" s="5"/>
    </row>
    <row r="118" ht="14.25" customHeight="1">
      <c r="A118" s="5">
        <v>458.0</v>
      </c>
      <c r="B118" s="5">
        <v>1.0</v>
      </c>
      <c r="C118" s="5">
        <v>1.0</v>
      </c>
      <c r="D118" s="5" t="s">
        <v>235</v>
      </c>
      <c r="E118" s="5" t="s">
        <v>14</v>
      </c>
      <c r="F118" s="5"/>
      <c r="G118" s="5">
        <v>1.0</v>
      </c>
      <c r="H118" s="5">
        <v>0.0</v>
      </c>
      <c r="I118" s="5">
        <v>17464.0</v>
      </c>
      <c r="J118" s="5">
        <v>51.8625</v>
      </c>
      <c r="K118" s="5" t="s">
        <v>236</v>
      </c>
      <c r="L118" s="5" t="s">
        <v>16</v>
      </c>
      <c r="M118" s="5"/>
    </row>
    <row r="119" ht="14.25" customHeight="1">
      <c r="A119" s="5">
        <v>622.0</v>
      </c>
      <c r="B119" s="5">
        <v>1.0</v>
      </c>
      <c r="C119" s="5">
        <v>1.0</v>
      </c>
      <c r="D119" s="5" t="s">
        <v>237</v>
      </c>
      <c r="E119" s="5" t="s">
        <v>18</v>
      </c>
      <c r="F119" s="5">
        <v>42.0</v>
      </c>
      <c r="G119" s="5">
        <v>1.0</v>
      </c>
      <c r="H119" s="5">
        <v>0.0</v>
      </c>
      <c r="I119" s="5">
        <v>11753.0</v>
      </c>
      <c r="J119" s="5">
        <v>52.5542</v>
      </c>
      <c r="K119" s="5" t="s">
        <v>238</v>
      </c>
      <c r="L119" s="5" t="s">
        <v>16</v>
      </c>
      <c r="M119" s="5"/>
    </row>
    <row r="120" ht="14.25" customHeight="1">
      <c r="A120" s="5">
        <v>712.0</v>
      </c>
      <c r="B120" s="5">
        <v>0.0</v>
      </c>
      <c r="C120" s="5">
        <v>1.0</v>
      </c>
      <c r="D120" s="5" t="s">
        <v>239</v>
      </c>
      <c r="E120" s="5" t="s">
        <v>18</v>
      </c>
      <c r="F120" s="5"/>
      <c r="G120" s="5">
        <v>0.0</v>
      </c>
      <c r="H120" s="5">
        <v>0.0</v>
      </c>
      <c r="I120" s="5">
        <v>113028.0</v>
      </c>
      <c r="J120" s="5">
        <v>26.55</v>
      </c>
      <c r="K120" s="5" t="s">
        <v>240</v>
      </c>
      <c r="L120" s="5" t="s">
        <v>16</v>
      </c>
      <c r="M120" s="5"/>
    </row>
    <row r="121" ht="14.25" customHeight="1">
      <c r="A121" s="5">
        <v>797.0</v>
      </c>
      <c r="B121" s="5">
        <v>1.0</v>
      </c>
      <c r="C121" s="5">
        <v>1.0</v>
      </c>
      <c r="D121" s="5" t="s">
        <v>241</v>
      </c>
      <c r="E121" s="5" t="s">
        <v>14</v>
      </c>
      <c r="F121" s="5">
        <v>49.0</v>
      </c>
      <c r="G121" s="5">
        <v>0.0</v>
      </c>
      <c r="H121" s="5">
        <v>0.0</v>
      </c>
      <c r="I121" s="5">
        <v>17465.0</v>
      </c>
      <c r="J121" s="5">
        <v>25.9292</v>
      </c>
      <c r="K121" s="5" t="s">
        <v>242</v>
      </c>
      <c r="L121" s="5" t="s">
        <v>16</v>
      </c>
      <c r="M121" s="5"/>
    </row>
    <row r="122" ht="14.25" customHeight="1">
      <c r="A122" s="5">
        <v>538.0</v>
      </c>
      <c r="B122" s="5">
        <v>1.0</v>
      </c>
      <c r="C122" s="5">
        <v>1.0</v>
      </c>
      <c r="D122" s="5" t="s">
        <v>243</v>
      </c>
      <c r="E122" s="5" t="s">
        <v>14</v>
      </c>
      <c r="F122" s="5">
        <v>30.0</v>
      </c>
      <c r="G122" s="5">
        <v>0.0</v>
      </c>
      <c r="H122" s="5">
        <v>0.0</v>
      </c>
      <c r="I122" s="5" t="s">
        <v>133</v>
      </c>
      <c r="J122" s="5">
        <v>106.425</v>
      </c>
      <c r="K122" s="5"/>
      <c r="L122" s="5" t="s">
        <v>32</v>
      </c>
      <c r="M122" s="5"/>
    </row>
    <row r="123" ht="14.25" customHeight="1">
      <c r="A123" s="5">
        <v>738.0</v>
      </c>
      <c r="B123" s="5">
        <v>1.0</v>
      </c>
      <c r="C123" s="5">
        <v>1.0</v>
      </c>
      <c r="D123" s="5" t="s">
        <v>244</v>
      </c>
      <c r="E123" s="5" t="s">
        <v>18</v>
      </c>
      <c r="F123" s="5">
        <v>35.0</v>
      </c>
      <c r="G123" s="5">
        <v>0.0</v>
      </c>
      <c r="H123" s="5">
        <v>0.0</v>
      </c>
      <c r="I123" s="5" t="s">
        <v>86</v>
      </c>
      <c r="J123" s="5">
        <v>512.3292</v>
      </c>
      <c r="K123" s="5" t="s">
        <v>245</v>
      </c>
      <c r="L123" s="5" t="s">
        <v>32</v>
      </c>
      <c r="M123" s="5"/>
    </row>
    <row r="124" ht="14.25" customHeight="1">
      <c r="A124" s="5">
        <v>296.0</v>
      </c>
      <c r="B124" s="5">
        <v>0.0</v>
      </c>
      <c r="C124" s="5">
        <v>1.0</v>
      </c>
      <c r="D124" s="5" t="s">
        <v>246</v>
      </c>
      <c r="E124" s="5" t="s">
        <v>18</v>
      </c>
      <c r="F124" s="5"/>
      <c r="G124" s="5">
        <v>0.0</v>
      </c>
      <c r="H124" s="5">
        <v>0.0</v>
      </c>
      <c r="I124" s="5" t="s">
        <v>247</v>
      </c>
      <c r="J124" s="5">
        <v>27.7208</v>
      </c>
      <c r="K124" s="5"/>
      <c r="L124" s="5" t="s">
        <v>32</v>
      </c>
      <c r="M124" s="5"/>
    </row>
    <row r="125" ht="14.25" customHeight="1">
      <c r="A125" s="5">
        <v>854.0</v>
      </c>
      <c r="B125" s="5">
        <v>1.0</v>
      </c>
      <c r="C125" s="5">
        <v>1.0</v>
      </c>
      <c r="D125" s="5" t="s">
        <v>248</v>
      </c>
      <c r="E125" s="5" t="s">
        <v>14</v>
      </c>
      <c r="F125" s="5">
        <v>16.0</v>
      </c>
      <c r="G125" s="5">
        <v>0.0</v>
      </c>
      <c r="H125" s="5">
        <v>1.0</v>
      </c>
      <c r="I125" s="5" t="s">
        <v>249</v>
      </c>
      <c r="J125" s="5">
        <v>39.4</v>
      </c>
      <c r="K125" s="5" t="s">
        <v>250</v>
      </c>
      <c r="L125" s="5" t="s">
        <v>16</v>
      </c>
      <c r="M125" s="5"/>
    </row>
    <row r="126" ht="14.25" customHeight="1">
      <c r="A126" s="5">
        <v>783.0</v>
      </c>
      <c r="B126" s="5">
        <v>0.0</v>
      </c>
      <c r="C126" s="5">
        <v>1.0</v>
      </c>
      <c r="D126" s="5" t="s">
        <v>251</v>
      </c>
      <c r="E126" s="5" t="s">
        <v>18</v>
      </c>
      <c r="F126" s="5">
        <v>29.0</v>
      </c>
      <c r="G126" s="5">
        <v>0.0</v>
      </c>
      <c r="H126" s="5">
        <v>0.0</v>
      </c>
      <c r="I126" s="5">
        <v>113501.0</v>
      </c>
      <c r="J126" s="5">
        <v>30.0</v>
      </c>
      <c r="K126" s="5" t="s">
        <v>252</v>
      </c>
      <c r="L126" s="5" t="s">
        <v>16</v>
      </c>
      <c r="M126" s="5"/>
    </row>
    <row r="127" ht="14.25" customHeight="1">
      <c r="A127" s="5">
        <v>628.0</v>
      </c>
      <c r="B127" s="5">
        <v>1.0</v>
      </c>
      <c r="C127" s="5">
        <v>1.0</v>
      </c>
      <c r="D127" s="5" t="s">
        <v>253</v>
      </c>
      <c r="E127" s="5" t="s">
        <v>14</v>
      </c>
      <c r="F127" s="5">
        <v>21.0</v>
      </c>
      <c r="G127" s="5">
        <v>0.0</v>
      </c>
      <c r="H127" s="5">
        <v>0.0</v>
      </c>
      <c r="I127" s="5">
        <v>13502.0</v>
      </c>
      <c r="J127" s="5">
        <v>77.9583</v>
      </c>
      <c r="K127" s="5" t="s">
        <v>254</v>
      </c>
      <c r="L127" s="5" t="s">
        <v>16</v>
      </c>
      <c r="M127" s="5"/>
    </row>
    <row r="128" ht="14.25" customHeight="1">
      <c r="A128" s="5">
        <v>196.0</v>
      </c>
      <c r="B128" s="5">
        <v>1.0</v>
      </c>
      <c r="C128" s="5">
        <v>1.0</v>
      </c>
      <c r="D128" s="5" t="s">
        <v>255</v>
      </c>
      <c r="E128" s="5" t="s">
        <v>14</v>
      </c>
      <c r="F128" s="5">
        <v>58.0</v>
      </c>
      <c r="G128" s="5">
        <v>0.0</v>
      </c>
      <c r="H128" s="5">
        <v>0.0</v>
      </c>
      <c r="I128" s="5" t="s">
        <v>256</v>
      </c>
      <c r="J128" s="5">
        <v>146.5208</v>
      </c>
      <c r="K128" s="5" t="s">
        <v>257</v>
      </c>
      <c r="L128" s="5" t="s">
        <v>32</v>
      </c>
      <c r="M128" s="5"/>
    </row>
    <row r="129" ht="14.25" customHeight="1">
      <c r="A129" s="5">
        <v>690.0</v>
      </c>
      <c r="B129" s="5">
        <v>1.0</v>
      </c>
      <c r="C129" s="5">
        <v>1.0</v>
      </c>
      <c r="D129" s="5" t="s">
        <v>258</v>
      </c>
      <c r="E129" s="5" t="s">
        <v>14</v>
      </c>
      <c r="F129" s="5">
        <v>15.0</v>
      </c>
      <c r="G129" s="5">
        <v>0.0</v>
      </c>
      <c r="H129" s="5">
        <v>1.0</v>
      </c>
      <c r="I129" s="5">
        <v>24160.0</v>
      </c>
      <c r="J129" s="5">
        <v>211.3375</v>
      </c>
      <c r="K129" s="5" t="s">
        <v>15</v>
      </c>
      <c r="L129" s="5" t="s">
        <v>16</v>
      </c>
      <c r="M129" s="5"/>
    </row>
    <row r="130" ht="14.25" customHeight="1">
      <c r="A130" s="5">
        <v>505.0</v>
      </c>
      <c r="B130" s="5">
        <v>1.0</v>
      </c>
      <c r="C130" s="5">
        <v>1.0</v>
      </c>
      <c r="D130" s="5" t="s">
        <v>259</v>
      </c>
      <c r="E130" s="5" t="s">
        <v>14</v>
      </c>
      <c r="F130" s="5">
        <v>16.0</v>
      </c>
      <c r="G130" s="5">
        <v>0.0</v>
      </c>
      <c r="H130" s="5">
        <v>0.0</v>
      </c>
      <c r="I130" s="5">
        <v>110152.0</v>
      </c>
      <c r="J130" s="5">
        <v>86.5</v>
      </c>
      <c r="K130" s="5" t="s">
        <v>260</v>
      </c>
      <c r="L130" s="5" t="s">
        <v>16</v>
      </c>
      <c r="M130" s="5"/>
    </row>
    <row r="131" ht="14.25" customHeight="1">
      <c r="A131" s="5">
        <v>840.0</v>
      </c>
      <c r="B131" s="5">
        <v>1.0</v>
      </c>
      <c r="C131" s="5">
        <v>1.0</v>
      </c>
      <c r="D131" s="5" t="s">
        <v>261</v>
      </c>
      <c r="E131" s="5" t="s">
        <v>18</v>
      </c>
      <c r="F131" s="5"/>
      <c r="G131" s="5">
        <v>0.0</v>
      </c>
      <c r="H131" s="5">
        <v>0.0</v>
      </c>
      <c r="I131" s="5">
        <v>11774.0</v>
      </c>
      <c r="J131" s="5">
        <v>29.7</v>
      </c>
      <c r="K131" s="5" t="s">
        <v>262</v>
      </c>
      <c r="L131" s="5" t="s">
        <v>32</v>
      </c>
      <c r="M131" s="5"/>
    </row>
    <row r="132" ht="14.25" customHeight="1">
      <c r="A132" s="5">
        <v>749.0</v>
      </c>
      <c r="B132" s="5">
        <v>0.0</v>
      </c>
      <c r="C132" s="5">
        <v>1.0</v>
      </c>
      <c r="D132" s="5" t="s">
        <v>263</v>
      </c>
      <c r="E132" s="5" t="s">
        <v>18</v>
      </c>
      <c r="F132" s="5">
        <v>19.0</v>
      </c>
      <c r="G132" s="5">
        <v>1.0</v>
      </c>
      <c r="H132" s="5">
        <v>0.0</v>
      </c>
      <c r="I132" s="5">
        <v>113773.0</v>
      </c>
      <c r="J132" s="5">
        <v>53.1</v>
      </c>
      <c r="K132" s="5" t="s">
        <v>264</v>
      </c>
      <c r="L132" s="5" t="s">
        <v>16</v>
      </c>
      <c r="M132" s="5"/>
    </row>
    <row r="133" ht="14.25" customHeight="1">
      <c r="A133" s="5">
        <v>711.0</v>
      </c>
      <c r="B133" s="5">
        <v>1.0</v>
      </c>
      <c r="C133" s="5">
        <v>1.0</v>
      </c>
      <c r="D133" s="5" t="s">
        <v>265</v>
      </c>
      <c r="E133" s="5" t="s">
        <v>14</v>
      </c>
      <c r="F133" s="5">
        <v>24.0</v>
      </c>
      <c r="G133" s="5">
        <v>0.0</v>
      </c>
      <c r="H133" s="5">
        <v>0.0</v>
      </c>
      <c r="I133" s="5" t="s">
        <v>266</v>
      </c>
      <c r="J133" s="5">
        <v>49.5042</v>
      </c>
      <c r="K133" s="5" t="s">
        <v>267</v>
      </c>
      <c r="L133" s="5" t="s">
        <v>32</v>
      </c>
      <c r="M133" s="5"/>
    </row>
    <row r="134" ht="14.25" customHeight="1">
      <c r="A134" s="5">
        <v>7.0</v>
      </c>
      <c r="B134" s="5">
        <v>0.0</v>
      </c>
      <c r="C134" s="5">
        <v>1.0</v>
      </c>
      <c r="D134" s="5" t="s">
        <v>268</v>
      </c>
      <c r="E134" s="5" t="s">
        <v>18</v>
      </c>
      <c r="F134" s="5">
        <v>54.0</v>
      </c>
      <c r="G134" s="5">
        <v>0.0</v>
      </c>
      <c r="H134" s="5">
        <v>0.0</v>
      </c>
      <c r="I134" s="5">
        <v>17463.0</v>
      </c>
      <c r="J134" s="5">
        <v>51.8625</v>
      </c>
      <c r="K134" s="5" t="s">
        <v>269</v>
      </c>
      <c r="L134" s="5" t="s">
        <v>16</v>
      </c>
      <c r="M134" s="5"/>
    </row>
    <row r="135" ht="14.25" customHeight="1">
      <c r="A135" s="5">
        <v>513.0</v>
      </c>
      <c r="B135" s="5">
        <v>1.0</v>
      </c>
      <c r="C135" s="5">
        <v>1.0</v>
      </c>
      <c r="D135" s="5" t="s">
        <v>270</v>
      </c>
      <c r="E135" s="5" t="s">
        <v>18</v>
      </c>
      <c r="F135" s="5">
        <v>36.0</v>
      </c>
      <c r="G135" s="5">
        <v>0.0</v>
      </c>
      <c r="H135" s="5">
        <v>0.0</v>
      </c>
      <c r="I135" s="5" t="s">
        <v>271</v>
      </c>
      <c r="J135" s="5">
        <v>26.2875</v>
      </c>
      <c r="K135" s="5" t="s">
        <v>150</v>
      </c>
      <c r="L135" s="5" t="s">
        <v>16</v>
      </c>
      <c r="M135" s="5"/>
    </row>
    <row r="136" ht="14.25" customHeight="1">
      <c r="A136" s="5">
        <v>35.0</v>
      </c>
      <c r="B136" s="5">
        <v>0.0</v>
      </c>
      <c r="C136" s="5">
        <v>1.0</v>
      </c>
      <c r="D136" s="5" t="s">
        <v>272</v>
      </c>
      <c r="E136" s="5" t="s">
        <v>18</v>
      </c>
      <c r="F136" s="5">
        <v>28.0</v>
      </c>
      <c r="G136" s="5">
        <v>1.0</v>
      </c>
      <c r="H136" s="5">
        <v>0.0</v>
      </c>
      <c r="I136" s="5" t="s">
        <v>273</v>
      </c>
      <c r="J136" s="5">
        <v>82.1708</v>
      </c>
      <c r="K136" s="5"/>
      <c r="L136" s="5" t="s">
        <v>32</v>
      </c>
      <c r="M136" s="5"/>
    </row>
    <row r="137" ht="14.25" customHeight="1">
      <c r="A137" s="5">
        <v>376.0</v>
      </c>
      <c r="B137" s="5">
        <v>1.0</v>
      </c>
      <c r="C137" s="5">
        <v>1.0</v>
      </c>
      <c r="D137" s="5" t="s">
        <v>274</v>
      </c>
      <c r="E137" s="5" t="s">
        <v>14</v>
      </c>
      <c r="F137" s="5"/>
      <c r="G137" s="5">
        <v>1.0</v>
      </c>
      <c r="H137" s="5">
        <v>0.0</v>
      </c>
      <c r="I137" s="5" t="s">
        <v>273</v>
      </c>
      <c r="J137" s="5">
        <v>82.1708</v>
      </c>
      <c r="K137" s="5"/>
      <c r="L137" s="5" t="s">
        <v>32</v>
      </c>
      <c r="M137" s="5"/>
    </row>
    <row r="138" ht="14.25" customHeight="1">
      <c r="A138" s="5">
        <v>457.0</v>
      </c>
      <c r="B138" s="5">
        <v>0.0</v>
      </c>
      <c r="C138" s="5">
        <v>1.0</v>
      </c>
      <c r="D138" s="5" t="s">
        <v>275</v>
      </c>
      <c r="E138" s="5" t="s">
        <v>18</v>
      </c>
      <c r="F138" s="5">
        <v>65.0</v>
      </c>
      <c r="G138" s="5">
        <v>0.0</v>
      </c>
      <c r="H138" s="5">
        <v>0.0</v>
      </c>
      <c r="I138" s="5">
        <v>13509.0</v>
      </c>
      <c r="J138" s="5">
        <v>26.55</v>
      </c>
      <c r="K138" s="5" t="s">
        <v>276</v>
      </c>
      <c r="L138" s="5" t="s">
        <v>16</v>
      </c>
      <c r="M138" s="5"/>
    </row>
    <row r="139" ht="14.25" customHeight="1">
      <c r="A139" s="5">
        <v>246.0</v>
      </c>
      <c r="B139" s="5">
        <v>0.0</v>
      </c>
      <c r="C139" s="5">
        <v>1.0</v>
      </c>
      <c r="D139" s="5" t="s">
        <v>277</v>
      </c>
      <c r="E139" s="5" t="s">
        <v>18</v>
      </c>
      <c r="F139" s="5">
        <v>44.0</v>
      </c>
      <c r="G139" s="5">
        <v>2.0</v>
      </c>
      <c r="H139" s="5">
        <v>0.0</v>
      </c>
      <c r="I139" s="5">
        <v>19928.0</v>
      </c>
      <c r="J139" s="5">
        <v>90.0</v>
      </c>
      <c r="K139" s="5" t="s">
        <v>278</v>
      </c>
      <c r="L139" s="5" t="s">
        <v>279</v>
      </c>
      <c r="M139" s="5"/>
    </row>
    <row r="140" ht="14.25" customHeight="1">
      <c r="A140" s="5">
        <v>413.0</v>
      </c>
      <c r="B140" s="5">
        <v>1.0</v>
      </c>
      <c r="C140" s="5">
        <v>1.0</v>
      </c>
      <c r="D140" s="5" t="s">
        <v>280</v>
      </c>
      <c r="E140" s="5" t="s">
        <v>14</v>
      </c>
      <c r="F140" s="5">
        <v>33.0</v>
      </c>
      <c r="G140" s="5">
        <v>1.0</v>
      </c>
      <c r="H140" s="5">
        <v>0.0</v>
      </c>
      <c r="I140" s="5">
        <v>19928.0</v>
      </c>
      <c r="J140" s="5">
        <v>90.0</v>
      </c>
      <c r="K140" s="5" t="s">
        <v>278</v>
      </c>
      <c r="L140" s="5" t="s">
        <v>279</v>
      </c>
      <c r="M140" s="5"/>
    </row>
    <row r="141" ht="14.25" customHeight="1">
      <c r="A141" s="5">
        <v>493.0</v>
      </c>
      <c r="B141" s="5">
        <v>0.0</v>
      </c>
      <c r="C141" s="5">
        <v>1.0</v>
      </c>
      <c r="D141" s="5" t="s">
        <v>281</v>
      </c>
      <c r="E141" s="5" t="s">
        <v>18</v>
      </c>
      <c r="F141" s="5">
        <v>55.0</v>
      </c>
      <c r="G141" s="5">
        <v>0.0</v>
      </c>
      <c r="H141" s="5">
        <v>0.0</v>
      </c>
      <c r="I141" s="5">
        <v>113787.0</v>
      </c>
      <c r="J141" s="5">
        <v>30.5</v>
      </c>
      <c r="K141" s="5" t="s">
        <v>282</v>
      </c>
      <c r="L141" s="5" t="s">
        <v>16</v>
      </c>
      <c r="M141" s="5"/>
    </row>
    <row r="142" ht="14.25" customHeight="1">
      <c r="A142" s="5">
        <v>274.0</v>
      </c>
      <c r="B142" s="5">
        <v>0.0</v>
      </c>
      <c r="C142" s="5">
        <v>1.0</v>
      </c>
      <c r="D142" s="5" t="s">
        <v>283</v>
      </c>
      <c r="E142" s="5" t="s">
        <v>18</v>
      </c>
      <c r="F142" s="5">
        <v>37.0</v>
      </c>
      <c r="G142" s="5">
        <v>0.0</v>
      </c>
      <c r="H142" s="5">
        <v>1.0</v>
      </c>
      <c r="I142" s="5" t="s">
        <v>284</v>
      </c>
      <c r="J142" s="5">
        <v>29.7</v>
      </c>
      <c r="K142" s="5" t="s">
        <v>285</v>
      </c>
      <c r="L142" s="5" t="s">
        <v>32</v>
      </c>
      <c r="M142" s="5"/>
    </row>
    <row r="143" ht="14.25" customHeight="1">
      <c r="A143" s="5">
        <v>216.0</v>
      </c>
      <c r="B143" s="5">
        <v>1.0</v>
      </c>
      <c r="C143" s="5">
        <v>1.0</v>
      </c>
      <c r="D143" s="5" t="s">
        <v>286</v>
      </c>
      <c r="E143" s="5" t="s">
        <v>14</v>
      </c>
      <c r="F143" s="5">
        <v>31.0</v>
      </c>
      <c r="G143" s="5">
        <v>1.0</v>
      </c>
      <c r="H143" s="5">
        <v>0.0</v>
      </c>
      <c r="I143" s="5">
        <v>35273.0</v>
      </c>
      <c r="J143" s="5">
        <v>113.275</v>
      </c>
      <c r="K143" s="5" t="s">
        <v>287</v>
      </c>
      <c r="L143" s="5" t="s">
        <v>32</v>
      </c>
      <c r="M143" s="5"/>
    </row>
    <row r="144" ht="14.25" customHeight="1">
      <c r="A144" s="5">
        <v>394.0</v>
      </c>
      <c r="B144" s="5">
        <v>1.0</v>
      </c>
      <c r="C144" s="5">
        <v>1.0</v>
      </c>
      <c r="D144" s="5" t="s">
        <v>288</v>
      </c>
      <c r="E144" s="5" t="s">
        <v>14</v>
      </c>
      <c r="F144" s="5">
        <v>23.0</v>
      </c>
      <c r="G144" s="5">
        <v>1.0</v>
      </c>
      <c r="H144" s="5">
        <v>0.0</v>
      </c>
      <c r="I144" s="5">
        <v>35273.0</v>
      </c>
      <c r="J144" s="5">
        <v>113.275</v>
      </c>
      <c r="K144" s="5" t="s">
        <v>287</v>
      </c>
      <c r="L144" s="5" t="s">
        <v>32</v>
      </c>
      <c r="M144" s="5"/>
    </row>
    <row r="145" ht="14.25" customHeight="1">
      <c r="A145" s="5">
        <v>660.0</v>
      </c>
      <c r="B145" s="5">
        <v>0.0</v>
      </c>
      <c r="C145" s="5">
        <v>1.0</v>
      </c>
      <c r="D145" s="5" t="s">
        <v>289</v>
      </c>
      <c r="E145" s="5" t="s">
        <v>18</v>
      </c>
      <c r="F145" s="5">
        <v>58.0</v>
      </c>
      <c r="G145" s="5">
        <v>0.0</v>
      </c>
      <c r="H145" s="5">
        <v>2.0</v>
      </c>
      <c r="I145" s="5">
        <v>35273.0</v>
      </c>
      <c r="J145" s="5">
        <v>113.275</v>
      </c>
      <c r="K145" s="5" t="s">
        <v>290</v>
      </c>
      <c r="L145" s="5" t="s">
        <v>32</v>
      </c>
      <c r="M145" s="5"/>
    </row>
    <row r="146" ht="14.25" customHeight="1">
      <c r="A146" s="5">
        <v>137.0</v>
      </c>
      <c r="B146" s="5">
        <v>1.0</v>
      </c>
      <c r="C146" s="5">
        <v>1.0</v>
      </c>
      <c r="D146" s="5" t="s">
        <v>291</v>
      </c>
      <c r="E146" s="5" t="s">
        <v>14</v>
      </c>
      <c r="F146" s="5">
        <v>19.0</v>
      </c>
      <c r="G146" s="5">
        <v>0.0</v>
      </c>
      <c r="H146" s="5">
        <v>2.0</v>
      </c>
      <c r="I146" s="5">
        <v>11752.0</v>
      </c>
      <c r="J146" s="5">
        <v>26.2833</v>
      </c>
      <c r="K146" s="5" t="s">
        <v>292</v>
      </c>
      <c r="L146" s="5" t="s">
        <v>16</v>
      </c>
      <c r="M146" s="5"/>
    </row>
    <row r="147" ht="14.25" customHeight="1">
      <c r="A147" s="5">
        <v>546.0</v>
      </c>
      <c r="B147" s="5">
        <v>0.0</v>
      </c>
      <c r="C147" s="5">
        <v>1.0</v>
      </c>
      <c r="D147" s="5" t="s">
        <v>293</v>
      </c>
      <c r="E147" s="5" t="s">
        <v>18</v>
      </c>
      <c r="F147" s="5">
        <v>64.0</v>
      </c>
      <c r="G147" s="5">
        <v>0.0</v>
      </c>
      <c r="H147" s="5">
        <v>0.0</v>
      </c>
      <c r="I147" s="5">
        <v>693.0</v>
      </c>
      <c r="J147" s="5">
        <v>26.0</v>
      </c>
      <c r="K147" s="5"/>
      <c r="L147" s="5" t="s">
        <v>16</v>
      </c>
      <c r="M147" s="5"/>
    </row>
    <row r="148" ht="14.25" customHeight="1">
      <c r="A148" s="5">
        <v>55.0</v>
      </c>
      <c r="B148" s="5">
        <v>0.0</v>
      </c>
      <c r="C148" s="5">
        <v>1.0</v>
      </c>
      <c r="D148" s="5" t="s">
        <v>294</v>
      </c>
      <c r="E148" s="5" t="s">
        <v>18</v>
      </c>
      <c r="F148" s="5">
        <v>65.0</v>
      </c>
      <c r="G148" s="5">
        <v>0.0</v>
      </c>
      <c r="H148" s="5">
        <v>1.0</v>
      </c>
      <c r="I148" s="5">
        <v>113509.0</v>
      </c>
      <c r="J148" s="5">
        <v>61.9792</v>
      </c>
      <c r="K148" s="5" t="s">
        <v>295</v>
      </c>
      <c r="L148" s="5" t="s">
        <v>32</v>
      </c>
      <c r="M148" s="5"/>
    </row>
    <row r="149" ht="14.25" customHeight="1">
      <c r="A149" s="5">
        <v>634.0</v>
      </c>
      <c r="B149" s="5">
        <v>0.0</v>
      </c>
      <c r="C149" s="5">
        <v>1.0</v>
      </c>
      <c r="D149" s="5" t="s">
        <v>296</v>
      </c>
      <c r="E149" s="5" t="s">
        <v>18</v>
      </c>
      <c r="F149" s="5"/>
      <c r="G149" s="5">
        <v>0.0</v>
      </c>
      <c r="H149" s="5">
        <v>0.0</v>
      </c>
      <c r="I149" s="5">
        <v>112052.0</v>
      </c>
      <c r="J149" s="5">
        <v>0.0</v>
      </c>
      <c r="K149" s="5"/>
      <c r="L149" s="5" t="s">
        <v>16</v>
      </c>
      <c r="M149" s="5"/>
    </row>
    <row r="150" ht="14.25" customHeight="1">
      <c r="A150" s="5">
        <v>332.0</v>
      </c>
      <c r="B150" s="5">
        <v>0.0</v>
      </c>
      <c r="C150" s="5">
        <v>1.0</v>
      </c>
      <c r="D150" s="5" t="s">
        <v>297</v>
      </c>
      <c r="E150" s="5" t="s">
        <v>18</v>
      </c>
      <c r="F150" s="5">
        <v>45.5</v>
      </c>
      <c r="G150" s="5">
        <v>0.0</v>
      </c>
      <c r="H150" s="5">
        <v>0.0</v>
      </c>
      <c r="I150" s="5">
        <v>113043.0</v>
      </c>
      <c r="J150" s="5">
        <v>28.5</v>
      </c>
      <c r="K150" s="5" t="s">
        <v>240</v>
      </c>
      <c r="L150" s="5" t="s">
        <v>16</v>
      </c>
      <c r="M150" s="5"/>
    </row>
    <row r="151" ht="14.25" customHeight="1">
      <c r="A151" s="5">
        <v>337.0</v>
      </c>
      <c r="B151" s="5">
        <v>0.0</v>
      </c>
      <c r="C151" s="5">
        <v>1.0</v>
      </c>
      <c r="D151" s="5" t="s">
        <v>298</v>
      </c>
      <c r="E151" s="5" t="s">
        <v>18</v>
      </c>
      <c r="F151" s="5">
        <v>29.0</v>
      </c>
      <c r="G151" s="5">
        <v>1.0</v>
      </c>
      <c r="H151" s="5">
        <v>0.0</v>
      </c>
      <c r="I151" s="5">
        <v>113776.0</v>
      </c>
      <c r="J151" s="5">
        <v>66.6</v>
      </c>
      <c r="K151" s="5" t="s">
        <v>299</v>
      </c>
      <c r="L151" s="5" t="s">
        <v>16</v>
      </c>
      <c r="M151" s="5"/>
    </row>
    <row r="152" ht="14.25" customHeight="1">
      <c r="A152" s="5">
        <v>152.0</v>
      </c>
      <c r="B152" s="5">
        <v>1.0</v>
      </c>
      <c r="C152" s="5">
        <v>1.0</v>
      </c>
      <c r="D152" s="5" t="s">
        <v>300</v>
      </c>
      <c r="E152" s="5" t="s">
        <v>14</v>
      </c>
      <c r="F152" s="5">
        <v>22.0</v>
      </c>
      <c r="G152" s="5">
        <v>1.0</v>
      </c>
      <c r="H152" s="5">
        <v>0.0</v>
      </c>
      <c r="I152" s="5">
        <v>113776.0</v>
      </c>
      <c r="J152" s="5">
        <v>66.6</v>
      </c>
      <c r="K152" s="5" t="s">
        <v>299</v>
      </c>
      <c r="L152" s="5" t="s">
        <v>16</v>
      </c>
      <c r="M152" s="5"/>
    </row>
    <row r="153" ht="14.25" customHeight="1">
      <c r="A153" s="5">
        <v>506.0</v>
      </c>
      <c r="B153" s="5">
        <v>0.0</v>
      </c>
      <c r="C153" s="5">
        <v>1.0</v>
      </c>
      <c r="D153" s="5" t="s">
        <v>301</v>
      </c>
      <c r="E153" s="5" t="s">
        <v>18</v>
      </c>
      <c r="F153" s="5">
        <v>18.0</v>
      </c>
      <c r="G153" s="5">
        <v>1.0</v>
      </c>
      <c r="H153" s="5">
        <v>0.0</v>
      </c>
      <c r="I153" s="5" t="s">
        <v>302</v>
      </c>
      <c r="J153" s="5">
        <v>108.9</v>
      </c>
      <c r="K153" s="5" t="s">
        <v>303</v>
      </c>
      <c r="L153" s="5" t="s">
        <v>32</v>
      </c>
      <c r="M153" s="5"/>
    </row>
    <row r="154" ht="14.25" customHeight="1">
      <c r="A154" s="5">
        <v>308.0</v>
      </c>
      <c r="B154" s="5">
        <v>1.0</v>
      </c>
      <c r="C154" s="5">
        <v>1.0</v>
      </c>
      <c r="D154" s="5" t="s">
        <v>304</v>
      </c>
      <c r="E154" s="5" t="s">
        <v>14</v>
      </c>
      <c r="F154" s="5">
        <v>17.0</v>
      </c>
      <c r="G154" s="5">
        <v>1.0</v>
      </c>
      <c r="H154" s="5">
        <v>0.0</v>
      </c>
      <c r="I154" s="5" t="s">
        <v>302</v>
      </c>
      <c r="J154" s="5">
        <v>108.9</v>
      </c>
      <c r="K154" s="5" t="s">
        <v>303</v>
      </c>
      <c r="L154" s="5" t="s">
        <v>32</v>
      </c>
      <c r="M154" s="5"/>
    </row>
    <row r="155" ht="14.25" customHeight="1">
      <c r="A155" s="5">
        <v>521.0</v>
      </c>
      <c r="B155" s="5">
        <v>1.0</v>
      </c>
      <c r="C155" s="5">
        <v>1.0</v>
      </c>
      <c r="D155" s="5" t="s">
        <v>305</v>
      </c>
      <c r="E155" s="5" t="s">
        <v>14</v>
      </c>
      <c r="F155" s="5">
        <v>30.0</v>
      </c>
      <c r="G155" s="5">
        <v>0.0</v>
      </c>
      <c r="H155" s="5">
        <v>0.0</v>
      </c>
      <c r="I155" s="5">
        <v>12749.0</v>
      </c>
      <c r="J155" s="5">
        <v>93.5</v>
      </c>
      <c r="K155" s="5" t="s">
        <v>306</v>
      </c>
      <c r="L155" s="5" t="s">
        <v>16</v>
      </c>
      <c r="M155" s="5"/>
    </row>
    <row r="156" ht="14.25" customHeight="1">
      <c r="A156" s="5">
        <v>450.0</v>
      </c>
      <c r="B156" s="5">
        <v>1.0</v>
      </c>
      <c r="C156" s="5">
        <v>1.0</v>
      </c>
      <c r="D156" s="5" t="s">
        <v>307</v>
      </c>
      <c r="E156" s="5" t="s">
        <v>18</v>
      </c>
      <c r="F156" s="5">
        <v>52.0</v>
      </c>
      <c r="G156" s="5">
        <v>0.0</v>
      </c>
      <c r="H156" s="5">
        <v>0.0</v>
      </c>
      <c r="I156" s="5">
        <v>113786.0</v>
      </c>
      <c r="J156" s="5">
        <v>30.5</v>
      </c>
      <c r="K156" s="5" t="s">
        <v>308</v>
      </c>
      <c r="L156" s="5" t="s">
        <v>16</v>
      </c>
      <c r="M156" s="5"/>
    </row>
    <row r="157" ht="14.25" customHeight="1">
      <c r="A157" s="5">
        <v>111.0</v>
      </c>
      <c r="B157" s="5">
        <v>0.0</v>
      </c>
      <c r="C157" s="5">
        <v>1.0</v>
      </c>
      <c r="D157" s="5" t="s">
        <v>309</v>
      </c>
      <c r="E157" s="5" t="s">
        <v>18</v>
      </c>
      <c r="F157" s="5">
        <v>47.0</v>
      </c>
      <c r="G157" s="5">
        <v>0.0</v>
      </c>
      <c r="H157" s="5">
        <v>0.0</v>
      </c>
      <c r="I157" s="5">
        <v>110465.0</v>
      </c>
      <c r="J157" s="5">
        <v>52.0</v>
      </c>
      <c r="K157" s="5" t="s">
        <v>310</v>
      </c>
      <c r="L157" s="5" t="s">
        <v>16</v>
      </c>
      <c r="M157" s="5"/>
    </row>
    <row r="158" ht="14.25" customHeight="1">
      <c r="A158" s="5">
        <v>880.0</v>
      </c>
      <c r="B158" s="5">
        <v>1.0</v>
      </c>
      <c r="C158" s="5">
        <v>1.0</v>
      </c>
      <c r="D158" s="5" t="s">
        <v>311</v>
      </c>
      <c r="E158" s="5" t="s">
        <v>14</v>
      </c>
      <c r="F158" s="5">
        <v>56.0</v>
      </c>
      <c r="G158" s="5">
        <v>0.0</v>
      </c>
      <c r="H158" s="5">
        <v>1.0</v>
      </c>
      <c r="I158" s="5">
        <v>11767.0</v>
      </c>
      <c r="J158" s="5">
        <v>83.1583</v>
      </c>
      <c r="K158" s="5" t="s">
        <v>312</v>
      </c>
      <c r="L158" s="5" t="s">
        <v>32</v>
      </c>
      <c r="M158" s="5"/>
    </row>
    <row r="159" ht="14.25" customHeight="1">
      <c r="A159" s="5">
        <v>823.0</v>
      </c>
      <c r="B159" s="5">
        <v>0.0</v>
      </c>
      <c r="C159" s="5">
        <v>1.0</v>
      </c>
      <c r="D159" s="5" t="s">
        <v>313</v>
      </c>
      <c r="E159" s="5" t="s">
        <v>18</v>
      </c>
      <c r="F159" s="5">
        <v>38.0</v>
      </c>
      <c r="G159" s="5">
        <v>0.0</v>
      </c>
      <c r="H159" s="5">
        <v>0.0</v>
      </c>
      <c r="I159" s="5">
        <v>19972.0</v>
      </c>
      <c r="J159" s="5">
        <v>0.0</v>
      </c>
      <c r="K159" s="5"/>
      <c r="L159" s="5" t="s">
        <v>16</v>
      </c>
      <c r="M159" s="5"/>
    </row>
    <row r="160" ht="14.25" customHeight="1">
      <c r="A160" s="5">
        <v>374.0</v>
      </c>
      <c r="B160" s="5">
        <v>0.0</v>
      </c>
      <c r="C160" s="5">
        <v>1.0</v>
      </c>
      <c r="D160" s="5" t="s">
        <v>314</v>
      </c>
      <c r="E160" s="5" t="s">
        <v>18</v>
      </c>
      <c r="F160" s="5">
        <v>22.0</v>
      </c>
      <c r="G160" s="5">
        <v>0.0</v>
      </c>
      <c r="H160" s="5">
        <v>0.0</v>
      </c>
      <c r="I160" s="5" t="s">
        <v>60</v>
      </c>
      <c r="J160" s="5">
        <v>135.6333</v>
      </c>
      <c r="K160" s="5"/>
      <c r="L160" s="5" t="s">
        <v>32</v>
      </c>
      <c r="M160" s="5"/>
    </row>
    <row r="161" ht="14.25" customHeight="1">
      <c r="A161" s="5">
        <v>558.0</v>
      </c>
      <c r="B161" s="5">
        <v>0.0</v>
      </c>
      <c r="C161" s="5">
        <v>1.0</v>
      </c>
      <c r="D161" s="5" t="s">
        <v>315</v>
      </c>
      <c r="E161" s="5" t="s">
        <v>18</v>
      </c>
      <c r="F161" s="5"/>
      <c r="G161" s="5">
        <v>0.0</v>
      </c>
      <c r="H161" s="5">
        <v>0.0</v>
      </c>
      <c r="I161" s="5" t="s">
        <v>34</v>
      </c>
      <c r="J161" s="5">
        <v>227.525</v>
      </c>
      <c r="K161" s="5"/>
      <c r="L161" s="5" t="s">
        <v>32</v>
      </c>
      <c r="M161" s="5"/>
    </row>
    <row r="162" ht="14.25" customHeight="1">
      <c r="A162" s="5">
        <v>780.0</v>
      </c>
      <c r="B162" s="5">
        <v>1.0</v>
      </c>
      <c r="C162" s="5">
        <v>1.0</v>
      </c>
      <c r="D162" s="5" t="s">
        <v>316</v>
      </c>
      <c r="E162" s="5" t="s">
        <v>14</v>
      </c>
      <c r="F162" s="5">
        <v>43.0</v>
      </c>
      <c r="G162" s="5">
        <v>0.0</v>
      </c>
      <c r="H162" s="5">
        <v>1.0</v>
      </c>
      <c r="I162" s="5">
        <v>24160.0</v>
      </c>
      <c r="J162" s="5">
        <v>211.3375</v>
      </c>
      <c r="K162" s="5" t="s">
        <v>317</v>
      </c>
      <c r="L162" s="5" t="s">
        <v>16</v>
      </c>
      <c r="M162" s="5"/>
    </row>
    <row r="163" ht="14.25" customHeight="1">
      <c r="A163" s="5">
        <v>868.0</v>
      </c>
      <c r="B163" s="5">
        <v>0.0</v>
      </c>
      <c r="C163" s="5">
        <v>1.0</v>
      </c>
      <c r="D163" s="5" t="s">
        <v>318</v>
      </c>
      <c r="E163" s="5" t="s">
        <v>18</v>
      </c>
      <c r="F163" s="5">
        <v>31.0</v>
      </c>
      <c r="G163" s="5">
        <v>0.0</v>
      </c>
      <c r="H163" s="5">
        <v>0.0</v>
      </c>
      <c r="I163" s="5" t="s">
        <v>319</v>
      </c>
      <c r="J163" s="5">
        <v>50.4958</v>
      </c>
      <c r="K163" s="5" t="s">
        <v>320</v>
      </c>
      <c r="L163" s="5" t="s">
        <v>16</v>
      </c>
      <c r="M163" s="5"/>
    </row>
    <row r="164" ht="14.25" customHeight="1">
      <c r="A164" s="5">
        <v>188.0</v>
      </c>
      <c r="B164" s="5">
        <v>1.0</v>
      </c>
      <c r="C164" s="5">
        <v>1.0</v>
      </c>
      <c r="D164" s="5" t="s">
        <v>321</v>
      </c>
      <c r="E164" s="5" t="s">
        <v>18</v>
      </c>
      <c r="F164" s="5">
        <v>45.0</v>
      </c>
      <c r="G164" s="5">
        <v>0.0</v>
      </c>
      <c r="H164" s="5">
        <v>0.0</v>
      </c>
      <c r="I164" s="5">
        <v>111428.0</v>
      </c>
      <c r="J164" s="5">
        <v>26.55</v>
      </c>
      <c r="K164" s="5"/>
      <c r="L164" s="5" t="s">
        <v>16</v>
      </c>
      <c r="M164" s="5"/>
    </row>
    <row r="165" ht="14.25" customHeight="1">
      <c r="A165" s="5">
        <v>186.0</v>
      </c>
      <c r="B165" s="5">
        <v>0.0</v>
      </c>
      <c r="C165" s="5">
        <v>1.0</v>
      </c>
      <c r="D165" s="5" t="s">
        <v>322</v>
      </c>
      <c r="E165" s="5" t="s">
        <v>18</v>
      </c>
      <c r="F165" s="5"/>
      <c r="G165" s="5">
        <v>0.0</v>
      </c>
      <c r="H165" s="5">
        <v>0.0</v>
      </c>
      <c r="I165" s="5">
        <v>113767.0</v>
      </c>
      <c r="J165" s="5">
        <v>50.0</v>
      </c>
      <c r="K165" s="5" t="s">
        <v>323</v>
      </c>
      <c r="L165" s="5" t="s">
        <v>16</v>
      </c>
      <c r="M165" s="5"/>
    </row>
    <row r="166" ht="14.25" customHeight="1">
      <c r="A166" s="5">
        <v>584.0</v>
      </c>
      <c r="B166" s="5">
        <v>0.0</v>
      </c>
      <c r="C166" s="5">
        <v>1.0</v>
      </c>
      <c r="D166" s="5" t="s">
        <v>324</v>
      </c>
      <c r="E166" s="5" t="s">
        <v>18</v>
      </c>
      <c r="F166" s="5">
        <v>36.0</v>
      </c>
      <c r="G166" s="5">
        <v>0.0</v>
      </c>
      <c r="H166" s="5">
        <v>0.0</v>
      </c>
      <c r="I166" s="5">
        <v>13049.0</v>
      </c>
      <c r="J166" s="5">
        <v>40.125</v>
      </c>
      <c r="K166" s="5" t="s">
        <v>325</v>
      </c>
      <c r="L166" s="5" t="s">
        <v>32</v>
      </c>
      <c r="M166" s="5"/>
    </row>
    <row r="167" ht="14.25" customHeight="1">
      <c r="A167" s="5">
        <v>760.0</v>
      </c>
      <c r="B167" s="5">
        <v>1.0</v>
      </c>
      <c r="C167" s="5">
        <v>1.0</v>
      </c>
      <c r="D167" s="5" t="s">
        <v>326</v>
      </c>
      <c r="E167" s="5" t="s">
        <v>14</v>
      </c>
      <c r="F167" s="5">
        <v>33.0</v>
      </c>
      <c r="G167" s="5">
        <v>0.0</v>
      </c>
      <c r="H167" s="5">
        <v>0.0</v>
      </c>
      <c r="I167" s="5">
        <v>110152.0</v>
      </c>
      <c r="J167" s="5">
        <v>86.5</v>
      </c>
      <c r="K167" s="5" t="s">
        <v>104</v>
      </c>
      <c r="L167" s="5" t="s">
        <v>16</v>
      </c>
      <c r="M167" s="5"/>
    </row>
    <row r="168" ht="14.25" customHeight="1">
      <c r="A168" s="5">
        <v>514.0</v>
      </c>
      <c r="B168" s="5">
        <v>1.0</v>
      </c>
      <c r="C168" s="5">
        <v>1.0</v>
      </c>
      <c r="D168" s="5" t="s">
        <v>327</v>
      </c>
      <c r="E168" s="5" t="s">
        <v>14</v>
      </c>
      <c r="F168" s="5">
        <v>54.0</v>
      </c>
      <c r="G168" s="5">
        <v>1.0</v>
      </c>
      <c r="H168" s="5">
        <v>0.0</v>
      </c>
      <c r="I168" s="5" t="s">
        <v>328</v>
      </c>
      <c r="J168" s="5">
        <v>59.4</v>
      </c>
      <c r="K168" s="5"/>
      <c r="L168" s="5" t="s">
        <v>32</v>
      </c>
      <c r="M168" s="5"/>
    </row>
    <row r="169" ht="14.25" customHeight="1">
      <c r="A169" s="5">
        <v>312.0</v>
      </c>
      <c r="B169" s="5">
        <v>1.0</v>
      </c>
      <c r="C169" s="5">
        <v>1.0</v>
      </c>
      <c r="D169" s="5" t="s">
        <v>329</v>
      </c>
      <c r="E169" s="5" t="s">
        <v>14</v>
      </c>
      <c r="F169" s="5">
        <v>18.0</v>
      </c>
      <c r="G169" s="5">
        <v>2.0</v>
      </c>
      <c r="H169" s="5">
        <v>2.0</v>
      </c>
      <c r="I169" s="5" t="s">
        <v>330</v>
      </c>
      <c r="J169" s="5">
        <v>262.375</v>
      </c>
      <c r="K169" s="5" t="s">
        <v>331</v>
      </c>
      <c r="L169" s="5" t="s">
        <v>32</v>
      </c>
      <c r="M169" s="5"/>
    </row>
    <row r="170" ht="14.25" customHeight="1">
      <c r="A170" s="5">
        <v>743.0</v>
      </c>
      <c r="B170" s="5">
        <v>1.0</v>
      </c>
      <c r="C170" s="5">
        <v>1.0</v>
      </c>
      <c r="D170" s="5" t="s">
        <v>332</v>
      </c>
      <c r="E170" s="5" t="s">
        <v>14</v>
      </c>
      <c r="F170" s="5">
        <v>21.0</v>
      </c>
      <c r="G170" s="5">
        <v>2.0</v>
      </c>
      <c r="H170" s="5">
        <v>2.0</v>
      </c>
      <c r="I170" s="5" t="s">
        <v>330</v>
      </c>
      <c r="J170" s="5">
        <v>262.375</v>
      </c>
      <c r="K170" s="5" t="s">
        <v>331</v>
      </c>
      <c r="L170" s="5" t="s">
        <v>32</v>
      </c>
      <c r="M170" s="5"/>
    </row>
    <row r="171" ht="14.25" customHeight="1">
      <c r="A171" s="5">
        <v>299.0</v>
      </c>
      <c r="B171" s="5">
        <v>1.0</v>
      </c>
      <c r="C171" s="5">
        <v>1.0</v>
      </c>
      <c r="D171" s="5" t="s">
        <v>333</v>
      </c>
      <c r="E171" s="5" t="s">
        <v>18</v>
      </c>
      <c r="F171" s="5"/>
      <c r="G171" s="5">
        <v>0.0</v>
      </c>
      <c r="H171" s="5">
        <v>0.0</v>
      </c>
      <c r="I171" s="5">
        <v>19988.0</v>
      </c>
      <c r="J171" s="5">
        <v>30.5</v>
      </c>
      <c r="K171" s="5" t="s">
        <v>334</v>
      </c>
      <c r="L171" s="5" t="s">
        <v>16</v>
      </c>
      <c r="M171" s="5"/>
    </row>
    <row r="172" ht="14.25" customHeight="1">
      <c r="A172" s="5">
        <v>642.0</v>
      </c>
      <c r="B172" s="5">
        <v>1.0</v>
      </c>
      <c r="C172" s="5">
        <v>1.0</v>
      </c>
      <c r="D172" s="5" t="s">
        <v>335</v>
      </c>
      <c r="E172" s="5" t="s">
        <v>14</v>
      </c>
      <c r="F172" s="5">
        <v>24.0</v>
      </c>
      <c r="G172" s="5">
        <v>0.0</v>
      </c>
      <c r="H172" s="5">
        <v>0.0</v>
      </c>
      <c r="I172" s="5" t="s">
        <v>37</v>
      </c>
      <c r="J172" s="5">
        <v>69.3</v>
      </c>
      <c r="K172" s="5" t="s">
        <v>38</v>
      </c>
      <c r="L172" s="5" t="s">
        <v>32</v>
      </c>
      <c r="M172" s="5"/>
    </row>
    <row r="173" ht="14.25" customHeight="1">
      <c r="A173" s="5">
        <v>843.0</v>
      </c>
      <c r="B173" s="5">
        <v>1.0</v>
      </c>
      <c r="C173" s="5">
        <v>1.0</v>
      </c>
      <c r="D173" s="5" t="s">
        <v>336</v>
      </c>
      <c r="E173" s="5" t="s">
        <v>14</v>
      </c>
      <c r="F173" s="5">
        <v>30.0</v>
      </c>
      <c r="G173" s="5">
        <v>0.0</v>
      </c>
      <c r="H173" s="5">
        <v>0.0</v>
      </c>
      <c r="I173" s="5">
        <v>113798.0</v>
      </c>
      <c r="J173" s="5">
        <v>31.0</v>
      </c>
      <c r="K173" s="5"/>
      <c r="L173" s="5" t="s">
        <v>32</v>
      </c>
      <c r="M173" s="5"/>
    </row>
    <row r="174" ht="14.25" customHeight="1">
      <c r="A174" s="5">
        <v>448.0</v>
      </c>
      <c r="B174" s="5">
        <v>1.0</v>
      </c>
      <c r="C174" s="5">
        <v>1.0</v>
      </c>
      <c r="D174" s="5" t="s">
        <v>337</v>
      </c>
      <c r="E174" s="5" t="s">
        <v>18</v>
      </c>
      <c r="F174" s="5">
        <v>34.0</v>
      </c>
      <c r="G174" s="5">
        <v>0.0</v>
      </c>
      <c r="H174" s="5">
        <v>0.0</v>
      </c>
      <c r="I174" s="5">
        <v>113794.0</v>
      </c>
      <c r="J174" s="5">
        <v>26.55</v>
      </c>
      <c r="K174" s="5"/>
      <c r="L174" s="5" t="s">
        <v>16</v>
      </c>
      <c r="M174" s="5"/>
    </row>
    <row r="175" ht="14.25" customHeight="1">
      <c r="A175" s="5">
        <v>610.0</v>
      </c>
      <c r="B175" s="5">
        <v>1.0</v>
      </c>
      <c r="C175" s="5">
        <v>1.0</v>
      </c>
      <c r="D175" s="5" t="s">
        <v>338</v>
      </c>
      <c r="E175" s="5" t="s">
        <v>14</v>
      </c>
      <c r="F175" s="5">
        <v>40.0</v>
      </c>
      <c r="G175" s="5">
        <v>0.0</v>
      </c>
      <c r="H175" s="5">
        <v>0.0</v>
      </c>
      <c r="I175" s="5" t="s">
        <v>186</v>
      </c>
      <c r="J175" s="5">
        <v>153.4625</v>
      </c>
      <c r="K175" s="5" t="s">
        <v>189</v>
      </c>
      <c r="L175" s="5" t="s">
        <v>16</v>
      </c>
      <c r="M175" s="5"/>
    </row>
    <row r="176" ht="14.25" customHeight="1">
      <c r="A176" s="5">
        <v>702.0</v>
      </c>
      <c r="B176" s="5">
        <v>1.0</v>
      </c>
      <c r="C176" s="5">
        <v>1.0</v>
      </c>
      <c r="D176" s="5" t="s">
        <v>339</v>
      </c>
      <c r="E176" s="5" t="s">
        <v>18</v>
      </c>
      <c r="F176" s="5">
        <v>35.0</v>
      </c>
      <c r="G176" s="5">
        <v>0.0</v>
      </c>
      <c r="H176" s="5">
        <v>0.0</v>
      </c>
      <c r="I176" s="5" t="s">
        <v>340</v>
      </c>
      <c r="J176" s="5">
        <v>26.2875</v>
      </c>
      <c r="K176" s="5" t="s">
        <v>84</v>
      </c>
      <c r="L176" s="5" t="s">
        <v>16</v>
      </c>
      <c r="M176" s="5"/>
    </row>
    <row r="177" ht="14.25" customHeight="1">
      <c r="A177" s="5">
        <v>435.0</v>
      </c>
      <c r="B177" s="5">
        <v>0.0</v>
      </c>
      <c r="C177" s="5">
        <v>1.0</v>
      </c>
      <c r="D177" s="5" t="s">
        <v>341</v>
      </c>
      <c r="E177" s="5" t="s">
        <v>18</v>
      </c>
      <c r="F177" s="5">
        <v>50.0</v>
      </c>
      <c r="G177" s="5">
        <v>1.0</v>
      </c>
      <c r="H177" s="5">
        <v>0.0</v>
      </c>
      <c r="I177" s="5">
        <v>13507.0</v>
      </c>
      <c r="J177" s="5">
        <v>55.9</v>
      </c>
      <c r="K177" s="5" t="s">
        <v>342</v>
      </c>
      <c r="L177" s="5" t="s">
        <v>16</v>
      </c>
      <c r="M177" s="5"/>
    </row>
    <row r="178" ht="14.25" customHeight="1">
      <c r="A178" s="5">
        <v>578.0</v>
      </c>
      <c r="B178" s="5">
        <v>1.0</v>
      </c>
      <c r="C178" s="5">
        <v>1.0</v>
      </c>
      <c r="D178" s="5" t="s">
        <v>343</v>
      </c>
      <c r="E178" s="5" t="s">
        <v>14</v>
      </c>
      <c r="F178" s="5">
        <v>39.0</v>
      </c>
      <c r="G178" s="5">
        <v>1.0</v>
      </c>
      <c r="H178" s="5">
        <v>0.0</v>
      </c>
      <c r="I178" s="5">
        <v>13507.0</v>
      </c>
      <c r="J178" s="5">
        <v>55.9</v>
      </c>
      <c r="K178" s="5" t="s">
        <v>342</v>
      </c>
      <c r="L178" s="5" t="s">
        <v>16</v>
      </c>
      <c r="M178" s="5"/>
    </row>
    <row r="179" ht="14.25" customHeight="1">
      <c r="A179" s="5">
        <v>648.0</v>
      </c>
      <c r="B179" s="5">
        <v>1.0</v>
      </c>
      <c r="C179" s="5">
        <v>1.0</v>
      </c>
      <c r="D179" s="5" t="s">
        <v>344</v>
      </c>
      <c r="E179" s="5" t="s">
        <v>18</v>
      </c>
      <c r="F179" s="5">
        <v>56.0</v>
      </c>
      <c r="G179" s="5">
        <v>0.0</v>
      </c>
      <c r="H179" s="5">
        <v>0.0</v>
      </c>
      <c r="I179" s="5">
        <v>13213.0</v>
      </c>
      <c r="J179" s="5">
        <v>35.5</v>
      </c>
      <c r="K179" s="5" t="s">
        <v>345</v>
      </c>
      <c r="L179" s="5" t="s">
        <v>32</v>
      </c>
      <c r="M179" s="5"/>
    </row>
    <row r="180" ht="14.25" customHeight="1">
      <c r="A180" s="5">
        <v>24.0</v>
      </c>
      <c r="B180" s="5">
        <v>1.0</v>
      </c>
      <c r="C180" s="5">
        <v>1.0</v>
      </c>
      <c r="D180" s="5" t="s">
        <v>346</v>
      </c>
      <c r="E180" s="5" t="s">
        <v>18</v>
      </c>
      <c r="F180" s="5">
        <v>28.0</v>
      </c>
      <c r="G180" s="5">
        <v>0.0</v>
      </c>
      <c r="H180" s="5">
        <v>0.0</v>
      </c>
      <c r="I180" s="5">
        <v>113788.0</v>
      </c>
      <c r="J180" s="5">
        <v>35.5</v>
      </c>
      <c r="K180" s="5" t="s">
        <v>347</v>
      </c>
      <c r="L180" s="5" t="s">
        <v>16</v>
      </c>
      <c r="M180" s="5"/>
    </row>
    <row r="181" ht="14.25" customHeight="1">
      <c r="A181" s="5">
        <v>468.0</v>
      </c>
      <c r="B181" s="5">
        <v>0.0</v>
      </c>
      <c r="C181" s="5">
        <v>1.0</v>
      </c>
      <c r="D181" s="5" t="s">
        <v>348</v>
      </c>
      <c r="E181" s="5" t="s">
        <v>18</v>
      </c>
      <c r="F181" s="5">
        <v>56.0</v>
      </c>
      <c r="G181" s="5">
        <v>0.0</v>
      </c>
      <c r="H181" s="5">
        <v>0.0</v>
      </c>
      <c r="I181" s="5">
        <v>113792.0</v>
      </c>
      <c r="J181" s="5">
        <v>26.55</v>
      </c>
      <c r="K181" s="5"/>
      <c r="L181" s="5" t="s">
        <v>16</v>
      </c>
      <c r="M181" s="5"/>
    </row>
    <row r="182" ht="14.25" customHeight="1">
      <c r="A182" s="5">
        <v>175.0</v>
      </c>
      <c r="B182" s="5">
        <v>0.0</v>
      </c>
      <c r="C182" s="5">
        <v>1.0</v>
      </c>
      <c r="D182" s="5" t="s">
        <v>349</v>
      </c>
      <c r="E182" s="5" t="s">
        <v>18</v>
      </c>
      <c r="F182" s="5">
        <v>56.0</v>
      </c>
      <c r="G182" s="5">
        <v>0.0</v>
      </c>
      <c r="H182" s="5">
        <v>0.0</v>
      </c>
      <c r="I182" s="5">
        <v>17764.0</v>
      </c>
      <c r="J182" s="5">
        <v>30.6958</v>
      </c>
      <c r="K182" s="5" t="s">
        <v>350</v>
      </c>
      <c r="L182" s="5" t="s">
        <v>32</v>
      </c>
      <c r="M182" s="5"/>
    </row>
    <row r="183" ht="14.25" customHeight="1">
      <c r="A183" s="5">
        <v>285.0</v>
      </c>
      <c r="B183" s="5">
        <v>0.0</v>
      </c>
      <c r="C183" s="5">
        <v>1.0</v>
      </c>
      <c r="D183" s="5" t="s">
        <v>351</v>
      </c>
      <c r="E183" s="5" t="s">
        <v>18</v>
      </c>
      <c r="F183" s="5"/>
      <c r="G183" s="5">
        <v>0.0</v>
      </c>
      <c r="H183" s="5">
        <v>0.0</v>
      </c>
      <c r="I183" s="5">
        <v>113056.0</v>
      </c>
      <c r="J183" s="5">
        <v>26.0</v>
      </c>
      <c r="K183" s="5" t="s">
        <v>352</v>
      </c>
      <c r="L183" s="5" t="s">
        <v>16</v>
      </c>
      <c r="M183" s="5"/>
    </row>
    <row r="184" ht="14.25" customHeight="1">
      <c r="A184" s="5">
        <v>320.0</v>
      </c>
      <c r="B184" s="5">
        <v>1.0</v>
      </c>
      <c r="C184" s="5">
        <v>1.0</v>
      </c>
      <c r="D184" s="5" t="s">
        <v>353</v>
      </c>
      <c r="E184" s="5" t="s">
        <v>14</v>
      </c>
      <c r="F184" s="5">
        <v>40.0</v>
      </c>
      <c r="G184" s="5">
        <v>1.0</v>
      </c>
      <c r="H184" s="5">
        <v>1.0</v>
      </c>
      <c r="I184" s="5">
        <v>16966.0</v>
      </c>
      <c r="J184" s="5">
        <v>134.5</v>
      </c>
      <c r="K184" s="5" t="s">
        <v>354</v>
      </c>
      <c r="L184" s="5" t="s">
        <v>32</v>
      </c>
      <c r="M184" s="5"/>
    </row>
    <row r="185" ht="14.25" customHeight="1">
      <c r="A185" s="5">
        <v>32.0</v>
      </c>
      <c r="B185" s="5">
        <v>1.0</v>
      </c>
      <c r="C185" s="5">
        <v>1.0</v>
      </c>
      <c r="D185" s="5" t="s">
        <v>355</v>
      </c>
      <c r="E185" s="5" t="s">
        <v>14</v>
      </c>
      <c r="F185" s="5"/>
      <c r="G185" s="5">
        <v>1.0</v>
      </c>
      <c r="H185" s="5">
        <v>0.0</v>
      </c>
      <c r="I185" s="5" t="s">
        <v>256</v>
      </c>
      <c r="J185" s="5">
        <v>146.5208</v>
      </c>
      <c r="K185" s="5" t="s">
        <v>356</v>
      </c>
      <c r="L185" s="5" t="s">
        <v>32</v>
      </c>
      <c r="M185" s="5"/>
    </row>
    <row r="186" ht="14.25" customHeight="1">
      <c r="A186" s="5">
        <v>633.0</v>
      </c>
      <c r="B186" s="5">
        <v>1.0</v>
      </c>
      <c r="C186" s="5">
        <v>1.0</v>
      </c>
      <c r="D186" s="5" t="s">
        <v>357</v>
      </c>
      <c r="E186" s="5" t="s">
        <v>18</v>
      </c>
      <c r="F186" s="5">
        <v>32.0</v>
      </c>
      <c r="G186" s="5">
        <v>0.0</v>
      </c>
      <c r="H186" s="5">
        <v>0.0</v>
      </c>
      <c r="I186" s="5">
        <v>13214.0</v>
      </c>
      <c r="J186" s="5">
        <v>30.5</v>
      </c>
      <c r="K186" s="5" t="s">
        <v>358</v>
      </c>
      <c r="L186" s="5" t="s">
        <v>32</v>
      </c>
      <c r="M186" s="5"/>
    </row>
    <row r="187" ht="14.25" customHeight="1">
      <c r="A187" s="5">
        <v>253.0</v>
      </c>
      <c r="B187" s="5">
        <v>0.0</v>
      </c>
      <c r="C187" s="5">
        <v>1.0</v>
      </c>
      <c r="D187" s="5" t="s">
        <v>359</v>
      </c>
      <c r="E187" s="5" t="s">
        <v>18</v>
      </c>
      <c r="F187" s="5">
        <v>62.0</v>
      </c>
      <c r="G187" s="5">
        <v>0.0</v>
      </c>
      <c r="H187" s="5">
        <v>0.0</v>
      </c>
      <c r="I187" s="5">
        <v>113514.0</v>
      </c>
      <c r="J187" s="5">
        <v>26.55</v>
      </c>
      <c r="K187" s="5" t="s">
        <v>360</v>
      </c>
      <c r="L187" s="5" t="s">
        <v>16</v>
      </c>
      <c r="M187" s="5"/>
    </row>
    <row r="188" ht="14.25" customHeight="1">
      <c r="A188" s="5">
        <v>592.0</v>
      </c>
      <c r="B188" s="5">
        <v>1.0</v>
      </c>
      <c r="C188" s="5">
        <v>1.0</v>
      </c>
      <c r="D188" s="5" t="s">
        <v>361</v>
      </c>
      <c r="E188" s="5" t="s">
        <v>14</v>
      </c>
      <c r="F188" s="5">
        <v>52.0</v>
      </c>
      <c r="G188" s="5">
        <v>1.0</v>
      </c>
      <c r="H188" s="5">
        <v>0.0</v>
      </c>
      <c r="I188" s="5">
        <v>36947.0</v>
      </c>
      <c r="J188" s="5">
        <v>78.2667</v>
      </c>
      <c r="K188" s="5" t="s">
        <v>143</v>
      </c>
      <c r="L188" s="5" t="s">
        <v>32</v>
      </c>
      <c r="M188" s="5"/>
    </row>
    <row r="189" ht="14.25" customHeight="1">
      <c r="A189" s="5">
        <v>65.0</v>
      </c>
      <c r="B189" s="5">
        <v>0.0</v>
      </c>
      <c r="C189" s="5">
        <v>1.0</v>
      </c>
      <c r="D189" s="5" t="s">
        <v>362</v>
      </c>
      <c r="E189" s="5" t="s">
        <v>18</v>
      </c>
      <c r="F189" s="5"/>
      <c r="G189" s="5">
        <v>0.0</v>
      </c>
      <c r="H189" s="5">
        <v>0.0</v>
      </c>
      <c r="I189" s="5" t="s">
        <v>363</v>
      </c>
      <c r="J189" s="5">
        <v>27.7208</v>
      </c>
      <c r="K189" s="5"/>
      <c r="L189" s="5" t="s">
        <v>32</v>
      </c>
      <c r="M189" s="5"/>
    </row>
    <row r="190" ht="14.25" customHeight="1">
      <c r="A190" s="5">
        <v>830.0</v>
      </c>
      <c r="B190" s="5">
        <v>1.0</v>
      </c>
      <c r="C190" s="5">
        <v>1.0</v>
      </c>
      <c r="D190" s="5" t="s">
        <v>364</v>
      </c>
      <c r="E190" s="5" t="s">
        <v>14</v>
      </c>
      <c r="F190" s="5">
        <v>62.0</v>
      </c>
      <c r="G190" s="5">
        <v>0.0</v>
      </c>
      <c r="H190" s="5">
        <v>0.0</v>
      </c>
      <c r="I190" s="5">
        <v>113572.0</v>
      </c>
      <c r="J190" s="5">
        <v>80.0</v>
      </c>
      <c r="K190" s="5" t="s">
        <v>229</v>
      </c>
      <c r="L190" s="5"/>
      <c r="M190" s="5"/>
    </row>
    <row r="191" ht="14.25" customHeight="1">
      <c r="A191" s="5">
        <v>626.0</v>
      </c>
      <c r="B191" s="5">
        <v>0.0</v>
      </c>
      <c r="C191" s="5">
        <v>1.0</v>
      </c>
      <c r="D191" s="5" t="s">
        <v>365</v>
      </c>
      <c r="E191" s="5" t="s">
        <v>18</v>
      </c>
      <c r="F191" s="5">
        <v>61.0</v>
      </c>
      <c r="G191" s="5">
        <v>0.0</v>
      </c>
      <c r="H191" s="5">
        <v>0.0</v>
      </c>
      <c r="I191" s="5">
        <v>36963.0</v>
      </c>
      <c r="J191" s="5">
        <v>32.3208</v>
      </c>
      <c r="K191" s="5" t="s">
        <v>366</v>
      </c>
      <c r="L191" s="5" t="s">
        <v>16</v>
      </c>
      <c r="M191" s="5"/>
    </row>
    <row r="192" ht="14.25" customHeight="1">
      <c r="A192" s="5">
        <v>863.0</v>
      </c>
      <c r="B192" s="5">
        <v>1.0</v>
      </c>
      <c r="C192" s="5">
        <v>1.0</v>
      </c>
      <c r="D192" s="5" t="s">
        <v>367</v>
      </c>
      <c r="E192" s="5" t="s">
        <v>14</v>
      </c>
      <c r="F192" s="5">
        <v>48.0</v>
      </c>
      <c r="G192" s="5">
        <v>0.0</v>
      </c>
      <c r="H192" s="5">
        <v>0.0</v>
      </c>
      <c r="I192" s="5">
        <v>17466.0</v>
      </c>
      <c r="J192" s="5">
        <v>25.9292</v>
      </c>
      <c r="K192" s="5" t="s">
        <v>242</v>
      </c>
      <c r="L192" s="5" t="s">
        <v>16</v>
      </c>
      <c r="M192" s="5"/>
    </row>
    <row r="193" ht="14.25" customHeight="1">
      <c r="A193" s="5">
        <v>586.0</v>
      </c>
      <c r="B193" s="5">
        <v>1.0</v>
      </c>
      <c r="C193" s="5">
        <v>1.0</v>
      </c>
      <c r="D193" s="5" t="s">
        <v>368</v>
      </c>
      <c r="E193" s="5" t="s">
        <v>14</v>
      </c>
      <c r="F193" s="5">
        <v>18.0</v>
      </c>
      <c r="G193" s="5">
        <v>0.0</v>
      </c>
      <c r="H193" s="5">
        <v>2.0</v>
      </c>
      <c r="I193" s="5">
        <v>110413.0</v>
      </c>
      <c r="J193" s="5">
        <v>79.65</v>
      </c>
      <c r="K193" s="5" t="s">
        <v>369</v>
      </c>
      <c r="L193" s="5" t="s">
        <v>16</v>
      </c>
      <c r="M193" s="5"/>
    </row>
    <row r="194" ht="14.25" customHeight="1">
      <c r="A194" s="5">
        <v>263.0</v>
      </c>
      <c r="B194" s="5">
        <v>0.0</v>
      </c>
      <c r="C194" s="5">
        <v>1.0</v>
      </c>
      <c r="D194" s="5" t="s">
        <v>370</v>
      </c>
      <c r="E194" s="5" t="s">
        <v>18</v>
      </c>
      <c r="F194" s="5">
        <v>52.0</v>
      </c>
      <c r="G194" s="5">
        <v>1.0</v>
      </c>
      <c r="H194" s="5">
        <v>1.0</v>
      </c>
      <c r="I194" s="5">
        <v>110413.0</v>
      </c>
      <c r="J194" s="5">
        <v>79.65</v>
      </c>
      <c r="K194" s="5" t="s">
        <v>371</v>
      </c>
      <c r="L194" s="5" t="s">
        <v>16</v>
      </c>
      <c r="M194" s="5"/>
    </row>
    <row r="195" ht="14.25" customHeight="1">
      <c r="A195" s="5">
        <v>559.0</v>
      </c>
      <c r="B195" s="5">
        <v>1.0</v>
      </c>
      <c r="C195" s="5">
        <v>1.0</v>
      </c>
      <c r="D195" s="5" t="s">
        <v>372</v>
      </c>
      <c r="E195" s="5" t="s">
        <v>14</v>
      </c>
      <c r="F195" s="5">
        <v>39.0</v>
      </c>
      <c r="G195" s="5">
        <v>1.0</v>
      </c>
      <c r="H195" s="5">
        <v>1.0</v>
      </c>
      <c r="I195" s="5">
        <v>110413.0</v>
      </c>
      <c r="J195" s="5">
        <v>79.65</v>
      </c>
      <c r="K195" s="5" t="s">
        <v>371</v>
      </c>
      <c r="L195" s="5" t="s">
        <v>16</v>
      </c>
      <c r="M195" s="5"/>
    </row>
    <row r="196" ht="14.25" customHeight="1">
      <c r="A196" s="5">
        <v>713.0</v>
      </c>
      <c r="B196" s="5">
        <v>1.0</v>
      </c>
      <c r="C196" s="5">
        <v>1.0</v>
      </c>
      <c r="D196" s="5" t="s">
        <v>373</v>
      </c>
      <c r="E196" s="5" t="s">
        <v>18</v>
      </c>
      <c r="F196" s="5">
        <v>48.0</v>
      </c>
      <c r="G196" s="5">
        <v>1.0</v>
      </c>
      <c r="H196" s="5">
        <v>0.0</v>
      </c>
      <c r="I196" s="5">
        <v>19996.0</v>
      </c>
      <c r="J196" s="5">
        <v>52.0</v>
      </c>
      <c r="K196" s="5" t="s">
        <v>374</v>
      </c>
      <c r="L196" s="5" t="s">
        <v>16</v>
      </c>
      <c r="M196" s="5"/>
    </row>
    <row r="197" ht="14.25" customHeight="1">
      <c r="A197" s="5">
        <v>670.0</v>
      </c>
      <c r="B197" s="5">
        <v>1.0</v>
      </c>
      <c r="C197" s="5">
        <v>1.0</v>
      </c>
      <c r="D197" s="5" t="s">
        <v>375</v>
      </c>
      <c r="E197" s="5" t="s">
        <v>14</v>
      </c>
      <c r="F197" s="5"/>
      <c r="G197" s="5">
        <v>1.0</v>
      </c>
      <c r="H197" s="5">
        <v>0.0</v>
      </c>
      <c r="I197" s="5">
        <v>19996.0</v>
      </c>
      <c r="J197" s="5">
        <v>52.0</v>
      </c>
      <c r="K197" s="5" t="s">
        <v>374</v>
      </c>
      <c r="L197" s="5" t="s">
        <v>16</v>
      </c>
      <c r="M197" s="5"/>
    </row>
    <row r="198" ht="14.25" customHeight="1">
      <c r="A198" s="5">
        <v>699.0</v>
      </c>
      <c r="B198" s="5">
        <v>0.0</v>
      </c>
      <c r="C198" s="5">
        <v>1.0</v>
      </c>
      <c r="D198" s="5" t="s">
        <v>376</v>
      </c>
      <c r="E198" s="5" t="s">
        <v>18</v>
      </c>
      <c r="F198" s="5">
        <v>49.0</v>
      </c>
      <c r="G198" s="5">
        <v>1.0</v>
      </c>
      <c r="H198" s="5">
        <v>1.0</v>
      </c>
      <c r="I198" s="5">
        <v>17421.0</v>
      </c>
      <c r="J198" s="5">
        <v>110.8833</v>
      </c>
      <c r="K198" s="5" t="s">
        <v>377</v>
      </c>
      <c r="L198" s="5" t="s">
        <v>32</v>
      </c>
      <c r="M198" s="5"/>
    </row>
    <row r="199" ht="14.25" customHeight="1">
      <c r="A199" s="5">
        <v>551.0</v>
      </c>
      <c r="B199" s="5">
        <v>1.0</v>
      </c>
      <c r="C199" s="5">
        <v>1.0</v>
      </c>
      <c r="D199" s="5" t="s">
        <v>378</v>
      </c>
      <c r="E199" s="5" t="s">
        <v>18</v>
      </c>
      <c r="F199" s="5">
        <v>17.0</v>
      </c>
      <c r="G199" s="5">
        <v>0.0</v>
      </c>
      <c r="H199" s="5">
        <v>2.0</v>
      </c>
      <c r="I199" s="5">
        <v>17421.0</v>
      </c>
      <c r="J199" s="5">
        <v>110.8833</v>
      </c>
      <c r="K199" s="5" t="s">
        <v>379</v>
      </c>
      <c r="L199" s="5" t="s">
        <v>32</v>
      </c>
      <c r="M199" s="5"/>
    </row>
    <row r="200" ht="14.25" customHeight="1">
      <c r="A200" s="5">
        <v>582.0</v>
      </c>
      <c r="B200" s="5">
        <v>1.0</v>
      </c>
      <c r="C200" s="5">
        <v>1.0</v>
      </c>
      <c r="D200" s="5" t="s">
        <v>380</v>
      </c>
      <c r="E200" s="5" t="s">
        <v>14</v>
      </c>
      <c r="F200" s="5">
        <v>39.0</v>
      </c>
      <c r="G200" s="5">
        <v>1.0</v>
      </c>
      <c r="H200" s="5">
        <v>1.0</v>
      </c>
      <c r="I200" s="5">
        <v>17421.0</v>
      </c>
      <c r="J200" s="5">
        <v>110.8833</v>
      </c>
      <c r="K200" s="5" t="s">
        <v>377</v>
      </c>
      <c r="L200" s="5" t="s">
        <v>32</v>
      </c>
      <c r="M200" s="5"/>
    </row>
    <row r="201" ht="14.25" customHeight="1">
      <c r="A201" s="5">
        <v>257.0</v>
      </c>
      <c r="B201" s="5">
        <v>1.0</v>
      </c>
      <c r="C201" s="5">
        <v>1.0</v>
      </c>
      <c r="D201" s="5" t="s">
        <v>381</v>
      </c>
      <c r="E201" s="5" t="s">
        <v>14</v>
      </c>
      <c r="F201" s="5"/>
      <c r="G201" s="5">
        <v>0.0</v>
      </c>
      <c r="H201" s="5">
        <v>0.0</v>
      </c>
      <c r="I201" s="5" t="s">
        <v>382</v>
      </c>
      <c r="J201" s="5">
        <v>79.2</v>
      </c>
      <c r="K201" s="5"/>
      <c r="L201" s="5" t="s">
        <v>32</v>
      </c>
      <c r="M201" s="5"/>
    </row>
    <row r="202" ht="14.25" customHeight="1">
      <c r="A202" s="5">
        <v>31.0</v>
      </c>
      <c r="B202" s="5">
        <v>0.0</v>
      </c>
      <c r="C202" s="5">
        <v>1.0</v>
      </c>
      <c r="D202" s="5" t="s">
        <v>383</v>
      </c>
      <c r="E202" s="5" t="s">
        <v>18</v>
      </c>
      <c r="F202" s="5">
        <v>40.0</v>
      </c>
      <c r="G202" s="5">
        <v>0.0</v>
      </c>
      <c r="H202" s="5">
        <v>0.0</v>
      </c>
      <c r="I202" s="5" t="s">
        <v>384</v>
      </c>
      <c r="J202" s="5">
        <v>27.7208</v>
      </c>
      <c r="K202" s="5"/>
      <c r="L202" s="5" t="s">
        <v>32</v>
      </c>
      <c r="M202" s="5"/>
    </row>
    <row r="203" ht="14.25" customHeight="1">
      <c r="A203" s="5">
        <v>171.0</v>
      </c>
      <c r="B203" s="5">
        <v>0.0</v>
      </c>
      <c r="C203" s="5">
        <v>1.0</v>
      </c>
      <c r="D203" s="5" t="s">
        <v>385</v>
      </c>
      <c r="E203" s="5" t="s">
        <v>18</v>
      </c>
      <c r="F203" s="5">
        <v>61.0</v>
      </c>
      <c r="G203" s="5">
        <v>0.0</v>
      </c>
      <c r="H203" s="5">
        <v>0.0</v>
      </c>
      <c r="I203" s="5">
        <v>111240.0</v>
      </c>
      <c r="J203" s="5">
        <v>33.5</v>
      </c>
      <c r="K203" s="5" t="s">
        <v>386</v>
      </c>
      <c r="L203" s="5" t="s">
        <v>16</v>
      </c>
      <c r="M203" s="5"/>
    </row>
    <row r="204" ht="14.25" customHeight="1">
      <c r="A204" s="5">
        <v>516.0</v>
      </c>
      <c r="B204" s="5">
        <v>0.0</v>
      </c>
      <c r="C204" s="5">
        <v>1.0</v>
      </c>
      <c r="D204" s="5" t="s">
        <v>387</v>
      </c>
      <c r="E204" s="5" t="s">
        <v>18</v>
      </c>
      <c r="F204" s="5">
        <v>47.0</v>
      </c>
      <c r="G204" s="5">
        <v>0.0</v>
      </c>
      <c r="H204" s="5">
        <v>0.0</v>
      </c>
      <c r="I204" s="5">
        <v>36967.0</v>
      </c>
      <c r="J204" s="5">
        <v>34.0208</v>
      </c>
      <c r="K204" s="5" t="s">
        <v>388</v>
      </c>
      <c r="L204" s="5" t="s">
        <v>16</v>
      </c>
      <c r="M204" s="5"/>
    </row>
    <row r="205" ht="14.25" customHeight="1">
      <c r="A205" s="5">
        <v>259.0</v>
      </c>
      <c r="B205" s="5">
        <v>1.0</v>
      </c>
      <c r="C205" s="5">
        <v>1.0</v>
      </c>
      <c r="D205" s="5" t="s">
        <v>389</v>
      </c>
      <c r="E205" s="5" t="s">
        <v>14</v>
      </c>
      <c r="F205" s="5">
        <v>35.0</v>
      </c>
      <c r="G205" s="5">
        <v>0.0</v>
      </c>
      <c r="H205" s="5">
        <v>0.0</v>
      </c>
      <c r="I205" s="5" t="s">
        <v>86</v>
      </c>
      <c r="J205" s="5">
        <v>512.3292</v>
      </c>
      <c r="K205" s="5"/>
      <c r="L205" s="5" t="s">
        <v>32</v>
      </c>
      <c r="M205" s="5"/>
    </row>
    <row r="206" ht="14.25" customHeight="1">
      <c r="A206" s="5">
        <v>367.0</v>
      </c>
      <c r="B206" s="5">
        <v>1.0</v>
      </c>
      <c r="C206" s="5">
        <v>1.0</v>
      </c>
      <c r="D206" s="5" t="s">
        <v>390</v>
      </c>
      <c r="E206" s="5" t="s">
        <v>14</v>
      </c>
      <c r="F206" s="5">
        <v>60.0</v>
      </c>
      <c r="G206" s="5">
        <v>1.0</v>
      </c>
      <c r="H206" s="5">
        <v>0.0</v>
      </c>
      <c r="I206" s="5">
        <v>110813.0</v>
      </c>
      <c r="J206" s="5">
        <v>75.25</v>
      </c>
      <c r="K206" s="5" t="s">
        <v>391</v>
      </c>
      <c r="L206" s="5" t="s">
        <v>32</v>
      </c>
      <c r="M206" s="5"/>
    </row>
    <row r="207" ht="14.25" customHeight="1">
      <c r="A207" s="5">
        <v>695.0</v>
      </c>
      <c r="B207" s="5">
        <v>0.0</v>
      </c>
      <c r="C207" s="5">
        <v>1.0</v>
      </c>
      <c r="D207" s="5" t="s">
        <v>392</v>
      </c>
      <c r="E207" s="5" t="s">
        <v>18</v>
      </c>
      <c r="F207" s="5">
        <v>60.0</v>
      </c>
      <c r="G207" s="5">
        <v>0.0</v>
      </c>
      <c r="H207" s="5">
        <v>0.0</v>
      </c>
      <c r="I207" s="5">
        <v>113800.0</v>
      </c>
      <c r="J207" s="5">
        <v>26.55</v>
      </c>
      <c r="K207" s="5"/>
      <c r="L207" s="5" t="s">
        <v>16</v>
      </c>
      <c r="M207" s="5"/>
    </row>
    <row r="208" ht="14.25" customHeight="1">
      <c r="A208" s="5">
        <v>125.0</v>
      </c>
      <c r="B208" s="5">
        <v>0.0</v>
      </c>
      <c r="C208" s="5">
        <v>1.0</v>
      </c>
      <c r="D208" s="5" t="s">
        <v>393</v>
      </c>
      <c r="E208" s="5" t="s">
        <v>18</v>
      </c>
      <c r="F208" s="5">
        <v>54.0</v>
      </c>
      <c r="G208" s="5">
        <v>0.0</v>
      </c>
      <c r="H208" s="5">
        <v>1.0</v>
      </c>
      <c r="I208" s="5">
        <v>35281.0</v>
      </c>
      <c r="J208" s="5">
        <v>77.2875</v>
      </c>
      <c r="K208" s="5" t="s">
        <v>394</v>
      </c>
      <c r="L208" s="5" t="s">
        <v>16</v>
      </c>
      <c r="M208" s="5"/>
    </row>
    <row r="209" ht="14.25" customHeight="1">
      <c r="A209" s="5">
        <v>103.0</v>
      </c>
      <c r="B209" s="5">
        <v>0.0</v>
      </c>
      <c r="C209" s="5">
        <v>1.0</v>
      </c>
      <c r="D209" s="5" t="s">
        <v>395</v>
      </c>
      <c r="E209" s="5" t="s">
        <v>18</v>
      </c>
      <c r="F209" s="5">
        <v>21.0</v>
      </c>
      <c r="G209" s="5">
        <v>0.0</v>
      </c>
      <c r="H209" s="5">
        <v>1.0</v>
      </c>
      <c r="I209" s="5">
        <v>35281.0</v>
      </c>
      <c r="J209" s="5">
        <v>77.2875</v>
      </c>
      <c r="K209" s="5" t="s">
        <v>394</v>
      </c>
      <c r="L209" s="5" t="s">
        <v>16</v>
      </c>
      <c r="M209" s="5"/>
    </row>
    <row r="210" ht="14.25" customHeight="1">
      <c r="A210" s="5">
        <v>319.0</v>
      </c>
      <c r="B210" s="5">
        <v>1.0</v>
      </c>
      <c r="C210" s="5">
        <v>1.0</v>
      </c>
      <c r="D210" s="5" t="s">
        <v>396</v>
      </c>
      <c r="E210" s="5" t="s">
        <v>14</v>
      </c>
      <c r="F210" s="5">
        <v>31.0</v>
      </c>
      <c r="G210" s="5">
        <v>0.0</v>
      </c>
      <c r="H210" s="5">
        <v>2.0</v>
      </c>
      <c r="I210" s="5">
        <v>36928.0</v>
      </c>
      <c r="J210" s="5">
        <v>164.8667</v>
      </c>
      <c r="K210" s="5" t="s">
        <v>397</v>
      </c>
      <c r="L210" s="5" t="s">
        <v>16</v>
      </c>
      <c r="M210" s="5"/>
    </row>
    <row r="211" ht="14.25" customHeight="1">
      <c r="A211" s="5">
        <v>857.0</v>
      </c>
      <c r="B211" s="5">
        <v>1.0</v>
      </c>
      <c r="C211" s="5">
        <v>1.0</v>
      </c>
      <c r="D211" s="5" t="s">
        <v>398</v>
      </c>
      <c r="E211" s="5" t="s">
        <v>14</v>
      </c>
      <c r="F211" s="5">
        <v>45.0</v>
      </c>
      <c r="G211" s="5">
        <v>1.0</v>
      </c>
      <c r="H211" s="5">
        <v>1.0</v>
      </c>
      <c r="I211" s="5">
        <v>36928.0</v>
      </c>
      <c r="J211" s="5">
        <v>164.8667</v>
      </c>
      <c r="K211" s="5"/>
      <c r="L211" s="5" t="s">
        <v>16</v>
      </c>
      <c r="M211" s="5"/>
    </row>
    <row r="212" ht="14.25" customHeight="1">
      <c r="A212" s="5">
        <v>378.0</v>
      </c>
      <c r="B212" s="5">
        <v>0.0</v>
      </c>
      <c r="C212" s="5">
        <v>1.0</v>
      </c>
      <c r="D212" s="5" t="s">
        <v>399</v>
      </c>
      <c r="E212" s="5" t="s">
        <v>18</v>
      </c>
      <c r="F212" s="5">
        <v>27.0</v>
      </c>
      <c r="G212" s="5">
        <v>0.0</v>
      </c>
      <c r="H212" s="5">
        <v>2.0</v>
      </c>
      <c r="I212" s="5">
        <v>113503.0</v>
      </c>
      <c r="J212" s="5">
        <v>211.5</v>
      </c>
      <c r="K212" s="5" t="s">
        <v>400</v>
      </c>
      <c r="L212" s="5" t="s">
        <v>32</v>
      </c>
      <c r="M212" s="5"/>
    </row>
    <row r="213" ht="14.25" customHeight="1">
      <c r="A213" s="5">
        <v>156.0</v>
      </c>
      <c r="B213" s="5">
        <v>0.0</v>
      </c>
      <c r="C213" s="5">
        <v>1.0</v>
      </c>
      <c r="D213" s="5" t="s">
        <v>401</v>
      </c>
      <c r="E213" s="5" t="s">
        <v>18</v>
      </c>
      <c r="F213" s="5">
        <v>51.0</v>
      </c>
      <c r="G213" s="5">
        <v>0.0</v>
      </c>
      <c r="H213" s="5">
        <v>1.0</v>
      </c>
      <c r="I213" s="5" t="s">
        <v>402</v>
      </c>
      <c r="J213" s="5">
        <v>61.3792</v>
      </c>
      <c r="K213" s="5"/>
      <c r="L213" s="5" t="s">
        <v>32</v>
      </c>
      <c r="M213" s="5"/>
    </row>
    <row r="214" ht="14.25" customHeight="1">
      <c r="A214" s="5">
        <v>352.0</v>
      </c>
      <c r="B214" s="5">
        <v>0.0</v>
      </c>
      <c r="C214" s="5">
        <v>1.0</v>
      </c>
      <c r="D214" s="5" t="s">
        <v>403</v>
      </c>
      <c r="E214" s="5" t="s">
        <v>18</v>
      </c>
      <c r="F214" s="5"/>
      <c r="G214" s="5">
        <v>0.0</v>
      </c>
      <c r="H214" s="5">
        <v>0.0</v>
      </c>
      <c r="I214" s="5">
        <v>113510.0</v>
      </c>
      <c r="J214" s="5">
        <v>35.0</v>
      </c>
      <c r="K214" s="5" t="s">
        <v>404</v>
      </c>
      <c r="L214" s="5" t="s">
        <v>16</v>
      </c>
      <c r="M214" s="5"/>
    </row>
    <row r="215" ht="14.25" customHeight="1">
      <c r="A215" s="5">
        <v>56.0</v>
      </c>
      <c r="B215" s="5">
        <v>1.0</v>
      </c>
      <c r="C215" s="5">
        <v>1.0</v>
      </c>
      <c r="D215" s="5" t="s">
        <v>405</v>
      </c>
      <c r="E215" s="5" t="s">
        <v>18</v>
      </c>
      <c r="F215" s="5"/>
      <c r="G215" s="5">
        <v>0.0</v>
      </c>
      <c r="H215" s="5">
        <v>0.0</v>
      </c>
      <c r="I215" s="5">
        <v>19947.0</v>
      </c>
      <c r="J215" s="5">
        <v>35.5</v>
      </c>
      <c r="K215" s="5" t="s">
        <v>63</v>
      </c>
      <c r="L215" s="5" t="s">
        <v>16</v>
      </c>
      <c r="M215" s="5"/>
    </row>
    <row r="216" ht="14.25" customHeight="1">
      <c r="A216" s="5">
        <v>556.0</v>
      </c>
      <c r="B216" s="5">
        <v>0.0</v>
      </c>
      <c r="C216" s="5">
        <v>1.0</v>
      </c>
      <c r="D216" s="5" t="s">
        <v>406</v>
      </c>
      <c r="E216" s="5" t="s">
        <v>18</v>
      </c>
      <c r="F216" s="5">
        <v>62.0</v>
      </c>
      <c r="G216" s="5">
        <v>0.0</v>
      </c>
      <c r="H216" s="5">
        <v>0.0</v>
      </c>
      <c r="I216" s="5">
        <v>113807.0</v>
      </c>
      <c r="J216" s="5">
        <v>26.55</v>
      </c>
      <c r="K216" s="5"/>
      <c r="L216" s="5" t="s">
        <v>16</v>
      </c>
      <c r="M216" s="5"/>
    </row>
    <row r="217" ht="14.25" customHeight="1">
      <c r="A217" s="5">
        <v>326.0</v>
      </c>
      <c r="B217" s="5">
        <v>1.0</v>
      </c>
      <c r="C217" s="5">
        <v>1.0</v>
      </c>
      <c r="D217" s="5" t="s">
        <v>407</v>
      </c>
      <c r="E217" s="5" t="s">
        <v>14</v>
      </c>
      <c r="F217" s="5">
        <v>36.0</v>
      </c>
      <c r="G217" s="5">
        <v>0.0</v>
      </c>
      <c r="H217" s="5">
        <v>0.0</v>
      </c>
      <c r="I217" s="5" t="s">
        <v>60</v>
      </c>
      <c r="J217" s="5">
        <v>135.6333</v>
      </c>
      <c r="K217" s="5" t="s">
        <v>408</v>
      </c>
      <c r="L217" s="5" t="s">
        <v>32</v>
      </c>
      <c r="M217" s="5"/>
    </row>
    <row r="218" ht="14.25" customHeight="1">
      <c r="A218" s="5">
        <v>309.0</v>
      </c>
      <c r="B218" s="5">
        <v>0.0</v>
      </c>
      <c r="C218" s="5">
        <v>2.0</v>
      </c>
      <c r="D218" s="5" t="s">
        <v>409</v>
      </c>
      <c r="E218" s="5" t="s">
        <v>18</v>
      </c>
      <c r="F218" s="5">
        <v>30.0</v>
      </c>
      <c r="G218" s="5">
        <v>1.0</v>
      </c>
      <c r="H218" s="5">
        <v>0.0</v>
      </c>
      <c r="I218" s="5" t="s">
        <v>410</v>
      </c>
      <c r="J218" s="5">
        <v>24.0</v>
      </c>
      <c r="K218" s="5"/>
      <c r="L218" s="5" t="s">
        <v>32</v>
      </c>
      <c r="M218" s="5"/>
    </row>
    <row r="219" ht="14.25" customHeight="1">
      <c r="A219" s="5">
        <v>875.0</v>
      </c>
      <c r="B219" s="5">
        <v>1.0</v>
      </c>
      <c r="C219" s="5">
        <v>2.0</v>
      </c>
      <c r="D219" s="5" t="s">
        <v>411</v>
      </c>
      <c r="E219" s="5" t="s">
        <v>14</v>
      </c>
      <c r="F219" s="5">
        <v>28.0</v>
      </c>
      <c r="G219" s="5">
        <v>1.0</v>
      </c>
      <c r="H219" s="5">
        <v>0.0</v>
      </c>
      <c r="I219" s="5" t="s">
        <v>410</v>
      </c>
      <c r="J219" s="5">
        <v>24.0</v>
      </c>
      <c r="K219" s="5"/>
      <c r="L219" s="5" t="s">
        <v>32</v>
      </c>
      <c r="M219" s="5"/>
    </row>
    <row r="220" ht="14.25" customHeight="1">
      <c r="A220" s="5">
        <v>145.0</v>
      </c>
      <c r="B220" s="5">
        <v>0.0</v>
      </c>
      <c r="C220" s="5">
        <v>2.0</v>
      </c>
      <c r="D220" s="5" t="s">
        <v>412</v>
      </c>
      <c r="E220" s="5" t="s">
        <v>18</v>
      </c>
      <c r="F220" s="5">
        <v>18.0</v>
      </c>
      <c r="G220" s="5">
        <v>0.0</v>
      </c>
      <c r="H220" s="5">
        <v>0.0</v>
      </c>
      <c r="I220" s="5">
        <v>231945.0</v>
      </c>
      <c r="J220" s="5">
        <v>11.5</v>
      </c>
      <c r="K220" s="5"/>
      <c r="L220" s="5" t="s">
        <v>16</v>
      </c>
      <c r="M220" s="5"/>
    </row>
    <row r="221" ht="14.25" customHeight="1">
      <c r="A221" s="5">
        <v>519.0</v>
      </c>
      <c r="B221" s="5">
        <v>1.0</v>
      </c>
      <c r="C221" s="5">
        <v>2.0</v>
      </c>
      <c r="D221" s="5" t="s">
        <v>413</v>
      </c>
      <c r="E221" s="5" t="s">
        <v>14</v>
      </c>
      <c r="F221" s="5">
        <v>36.0</v>
      </c>
      <c r="G221" s="5">
        <v>1.0</v>
      </c>
      <c r="H221" s="5">
        <v>0.0</v>
      </c>
      <c r="I221" s="5">
        <v>226875.0</v>
      </c>
      <c r="J221" s="5">
        <v>26.0</v>
      </c>
      <c r="K221" s="5"/>
      <c r="L221" s="5" t="s">
        <v>16</v>
      </c>
      <c r="M221" s="5"/>
    </row>
    <row r="222" ht="14.25" customHeight="1">
      <c r="A222" s="5">
        <v>758.0</v>
      </c>
      <c r="B222" s="5">
        <v>0.0</v>
      </c>
      <c r="C222" s="5">
        <v>2.0</v>
      </c>
      <c r="D222" s="5" t="s">
        <v>414</v>
      </c>
      <c r="E222" s="5" t="s">
        <v>18</v>
      </c>
      <c r="F222" s="5">
        <v>18.0</v>
      </c>
      <c r="G222" s="5">
        <v>0.0</v>
      </c>
      <c r="H222" s="5">
        <v>0.0</v>
      </c>
      <c r="I222" s="5">
        <v>29108.0</v>
      </c>
      <c r="J222" s="5">
        <v>11.5</v>
      </c>
      <c r="K222" s="5"/>
      <c r="L222" s="5" t="s">
        <v>16</v>
      </c>
      <c r="M222" s="5"/>
    </row>
    <row r="223" ht="14.25" customHeight="1">
      <c r="A223" s="5">
        <v>328.0</v>
      </c>
      <c r="B223" s="5">
        <v>1.0</v>
      </c>
      <c r="C223" s="5">
        <v>2.0</v>
      </c>
      <c r="D223" s="5" t="s">
        <v>415</v>
      </c>
      <c r="E223" s="5" t="s">
        <v>14</v>
      </c>
      <c r="F223" s="5">
        <v>36.0</v>
      </c>
      <c r="G223" s="5">
        <v>0.0</v>
      </c>
      <c r="H223" s="5">
        <v>0.0</v>
      </c>
      <c r="I223" s="5">
        <v>28551.0</v>
      </c>
      <c r="J223" s="5">
        <v>13.0</v>
      </c>
      <c r="K223" s="5" t="s">
        <v>416</v>
      </c>
      <c r="L223" s="5" t="s">
        <v>16</v>
      </c>
      <c r="M223" s="5"/>
    </row>
    <row r="224" ht="14.25" customHeight="1">
      <c r="A224" s="5">
        <v>884.0</v>
      </c>
      <c r="B224" s="5">
        <v>0.0</v>
      </c>
      <c r="C224" s="5">
        <v>2.0</v>
      </c>
      <c r="D224" s="5" t="s">
        <v>417</v>
      </c>
      <c r="E224" s="5" t="s">
        <v>18</v>
      </c>
      <c r="F224" s="5">
        <v>28.0</v>
      </c>
      <c r="G224" s="5">
        <v>0.0</v>
      </c>
      <c r="H224" s="5">
        <v>0.0</v>
      </c>
      <c r="I224" s="5" t="s">
        <v>418</v>
      </c>
      <c r="J224" s="5">
        <v>10.5</v>
      </c>
      <c r="K224" s="5"/>
      <c r="L224" s="5" t="s">
        <v>16</v>
      </c>
      <c r="M224" s="5"/>
    </row>
    <row r="225" ht="14.25" customHeight="1">
      <c r="A225" s="5">
        <v>151.0</v>
      </c>
      <c r="B225" s="5">
        <v>0.0</v>
      </c>
      <c r="C225" s="5">
        <v>2.0</v>
      </c>
      <c r="D225" s="5" t="s">
        <v>419</v>
      </c>
      <c r="E225" s="5" t="s">
        <v>18</v>
      </c>
      <c r="F225" s="5">
        <v>51.0</v>
      </c>
      <c r="G225" s="5">
        <v>0.0</v>
      </c>
      <c r="H225" s="5">
        <v>0.0</v>
      </c>
      <c r="I225" s="5" t="s">
        <v>420</v>
      </c>
      <c r="J225" s="5">
        <v>12.525</v>
      </c>
      <c r="K225" s="5"/>
      <c r="L225" s="5" t="s">
        <v>16</v>
      </c>
      <c r="M225" s="5"/>
    </row>
    <row r="226" ht="14.25" customHeight="1">
      <c r="A226" s="5">
        <v>544.0</v>
      </c>
      <c r="B226" s="5">
        <v>1.0</v>
      </c>
      <c r="C226" s="5">
        <v>2.0</v>
      </c>
      <c r="D226" s="5" t="s">
        <v>421</v>
      </c>
      <c r="E226" s="5" t="s">
        <v>18</v>
      </c>
      <c r="F226" s="5">
        <v>32.0</v>
      </c>
      <c r="G226" s="5">
        <v>1.0</v>
      </c>
      <c r="H226" s="5">
        <v>0.0</v>
      </c>
      <c r="I226" s="5">
        <v>2908.0</v>
      </c>
      <c r="J226" s="5">
        <v>26.0</v>
      </c>
      <c r="K226" s="5"/>
      <c r="L226" s="5" t="s">
        <v>16</v>
      </c>
      <c r="M226" s="5"/>
    </row>
    <row r="227" ht="14.25" customHeight="1">
      <c r="A227" s="5">
        <v>547.0</v>
      </c>
      <c r="B227" s="5">
        <v>1.0</v>
      </c>
      <c r="C227" s="5">
        <v>2.0</v>
      </c>
      <c r="D227" s="5" t="s">
        <v>422</v>
      </c>
      <c r="E227" s="5" t="s">
        <v>14</v>
      </c>
      <c r="F227" s="5">
        <v>19.0</v>
      </c>
      <c r="G227" s="5">
        <v>1.0</v>
      </c>
      <c r="H227" s="5">
        <v>0.0</v>
      </c>
      <c r="I227" s="5">
        <v>2908.0</v>
      </c>
      <c r="J227" s="5">
        <v>26.0</v>
      </c>
      <c r="K227" s="5"/>
      <c r="L227" s="5" t="s">
        <v>16</v>
      </c>
      <c r="M227" s="5"/>
    </row>
    <row r="228" ht="14.25" customHeight="1">
      <c r="A228" s="5">
        <v>184.0</v>
      </c>
      <c r="B228" s="5">
        <v>1.0</v>
      </c>
      <c r="C228" s="5">
        <v>2.0</v>
      </c>
      <c r="D228" s="5" t="s">
        <v>423</v>
      </c>
      <c r="E228" s="5" t="s">
        <v>18</v>
      </c>
      <c r="F228" s="5">
        <v>1.0</v>
      </c>
      <c r="G228" s="5">
        <v>2.0</v>
      </c>
      <c r="H228" s="5">
        <v>1.0</v>
      </c>
      <c r="I228" s="5">
        <v>230136.0</v>
      </c>
      <c r="J228" s="5">
        <v>39.0</v>
      </c>
      <c r="K228" s="5" t="s">
        <v>424</v>
      </c>
      <c r="L228" s="5" t="s">
        <v>16</v>
      </c>
      <c r="M228" s="5"/>
    </row>
    <row r="229" ht="14.25" customHeight="1">
      <c r="A229" s="5">
        <v>619.0</v>
      </c>
      <c r="B229" s="5">
        <v>1.0</v>
      </c>
      <c r="C229" s="5">
        <v>2.0</v>
      </c>
      <c r="D229" s="5" t="s">
        <v>425</v>
      </c>
      <c r="E229" s="5" t="s">
        <v>14</v>
      </c>
      <c r="F229" s="5">
        <v>4.0</v>
      </c>
      <c r="G229" s="5">
        <v>2.0</v>
      </c>
      <c r="H229" s="5">
        <v>1.0</v>
      </c>
      <c r="I229" s="5">
        <v>230136.0</v>
      </c>
      <c r="J229" s="5">
        <v>39.0</v>
      </c>
      <c r="K229" s="5" t="s">
        <v>424</v>
      </c>
      <c r="L229" s="5" t="s">
        <v>16</v>
      </c>
      <c r="M229" s="5"/>
    </row>
    <row r="230" ht="14.25" customHeight="1">
      <c r="A230" s="5">
        <v>22.0</v>
      </c>
      <c r="B230" s="5">
        <v>1.0</v>
      </c>
      <c r="C230" s="5">
        <v>2.0</v>
      </c>
      <c r="D230" s="5" t="s">
        <v>426</v>
      </c>
      <c r="E230" s="5" t="s">
        <v>18</v>
      </c>
      <c r="F230" s="5">
        <v>34.0</v>
      </c>
      <c r="G230" s="5">
        <v>0.0</v>
      </c>
      <c r="H230" s="5">
        <v>0.0</v>
      </c>
      <c r="I230" s="5">
        <v>248698.0</v>
      </c>
      <c r="J230" s="5">
        <v>13.0</v>
      </c>
      <c r="K230" s="5" t="s">
        <v>427</v>
      </c>
      <c r="L230" s="5" t="s">
        <v>16</v>
      </c>
      <c r="M230" s="5"/>
    </row>
    <row r="231" ht="14.25" customHeight="1">
      <c r="A231" s="5">
        <v>734.0</v>
      </c>
      <c r="B231" s="5">
        <v>0.0</v>
      </c>
      <c r="C231" s="5">
        <v>2.0</v>
      </c>
      <c r="D231" s="5" t="s">
        <v>428</v>
      </c>
      <c r="E231" s="5" t="s">
        <v>18</v>
      </c>
      <c r="F231" s="5">
        <v>23.0</v>
      </c>
      <c r="G231" s="5">
        <v>0.0</v>
      </c>
      <c r="H231" s="5">
        <v>0.0</v>
      </c>
      <c r="I231" s="5">
        <v>28425.0</v>
      </c>
      <c r="J231" s="5">
        <v>13.0</v>
      </c>
      <c r="K231" s="5"/>
      <c r="L231" s="5" t="s">
        <v>16</v>
      </c>
      <c r="M231" s="5"/>
    </row>
    <row r="232" ht="14.25" customHeight="1">
      <c r="A232" s="5">
        <v>222.0</v>
      </c>
      <c r="B232" s="5">
        <v>0.0</v>
      </c>
      <c r="C232" s="5">
        <v>2.0</v>
      </c>
      <c r="D232" s="5" t="s">
        <v>429</v>
      </c>
      <c r="E232" s="5" t="s">
        <v>18</v>
      </c>
      <c r="F232" s="5">
        <v>27.0</v>
      </c>
      <c r="G232" s="5">
        <v>0.0</v>
      </c>
      <c r="H232" s="5">
        <v>0.0</v>
      </c>
      <c r="I232" s="5">
        <v>220367.0</v>
      </c>
      <c r="J232" s="5">
        <v>13.0</v>
      </c>
      <c r="K232" s="5"/>
      <c r="L232" s="5" t="s">
        <v>16</v>
      </c>
      <c r="M232" s="5"/>
    </row>
    <row r="233" ht="14.25" customHeight="1">
      <c r="A233" s="5">
        <v>346.0</v>
      </c>
      <c r="B233" s="5">
        <v>1.0</v>
      </c>
      <c r="C233" s="5">
        <v>2.0</v>
      </c>
      <c r="D233" s="5" t="s">
        <v>430</v>
      </c>
      <c r="E233" s="5" t="s">
        <v>14</v>
      </c>
      <c r="F233" s="5">
        <v>24.0</v>
      </c>
      <c r="G233" s="5">
        <v>0.0</v>
      </c>
      <c r="H233" s="5">
        <v>0.0</v>
      </c>
      <c r="I233" s="5">
        <v>248733.0</v>
      </c>
      <c r="J233" s="5">
        <v>13.0</v>
      </c>
      <c r="K233" s="5" t="s">
        <v>431</v>
      </c>
      <c r="L233" s="5" t="s">
        <v>16</v>
      </c>
      <c r="M233" s="5"/>
    </row>
    <row r="234" ht="14.25" customHeight="1">
      <c r="A234" s="5">
        <v>685.0</v>
      </c>
      <c r="B234" s="5">
        <v>0.0</v>
      </c>
      <c r="C234" s="5">
        <v>2.0</v>
      </c>
      <c r="D234" s="5" t="s">
        <v>432</v>
      </c>
      <c r="E234" s="5" t="s">
        <v>18</v>
      </c>
      <c r="F234" s="5">
        <v>60.0</v>
      </c>
      <c r="G234" s="5">
        <v>1.0</v>
      </c>
      <c r="H234" s="5">
        <v>1.0</v>
      </c>
      <c r="I234" s="5">
        <v>29750.0</v>
      </c>
      <c r="J234" s="5">
        <v>39.0</v>
      </c>
      <c r="K234" s="5"/>
      <c r="L234" s="5" t="s">
        <v>16</v>
      </c>
      <c r="M234" s="5"/>
    </row>
    <row r="235" ht="14.25" customHeight="1">
      <c r="A235" s="5">
        <v>671.0</v>
      </c>
      <c r="B235" s="5">
        <v>1.0</v>
      </c>
      <c r="C235" s="5">
        <v>2.0</v>
      </c>
      <c r="D235" s="5" t="s">
        <v>433</v>
      </c>
      <c r="E235" s="5" t="s">
        <v>14</v>
      </c>
      <c r="F235" s="5">
        <v>40.0</v>
      </c>
      <c r="G235" s="5">
        <v>1.0</v>
      </c>
      <c r="H235" s="5">
        <v>1.0</v>
      </c>
      <c r="I235" s="5">
        <v>29750.0</v>
      </c>
      <c r="J235" s="5">
        <v>39.0</v>
      </c>
      <c r="K235" s="5"/>
      <c r="L235" s="5" t="s">
        <v>16</v>
      </c>
      <c r="M235" s="5"/>
    </row>
    <row r="236" ht="14.25" customHeight="1">
      <c r="A236" s="5">
        <v>729.0</v>
      </c>
      <c r="B236" s="5">
        <v>0.0</v>
      </c>
      <c r="C236" s="5">
        <v>2.0</v>
      </c>
      <c r="D236" s="5" t="s">
        <v>434</v>
      </c>
      <c r="E236" s="5" t="s">
        <v>18</v>
      </c>
      <c r="F236" s="5">
        <v>25.0</v>
      </c>
      <c r="G236" s="5">
        <v>1.0</v>
      </c>
      <c r="H236" s="5">
        <v>0.0</v>
      </c>
      <c r="I236" s="5">
        <v>236853.0</v>
      </c>
      <c r="J236" s="5">
        <v>26.0</v>
      </c>
      <c r="K236" s="5"/>
      <c r="L236" s="5" t="s">
        <v>16</v>
      </c>
      <c r="M236" s="5"/>
    </row>
    <row r="237" ht="14.25" customHeight="1">
      <c r="A237" s="5">
        <v>388.0</v>
      </c>
      <c r="B237" s="5">
        <v>1.0</v>
      </c>
      <c r="C237" s="5">
        <v>2.0</v>
      </c>
      <c r="D237" s="5" t="s">
        <v>435</v>
      </c>
      <c r="E237" s="5" t="s">
        <v>14</v>
      </c>
      <c r="F237" s="5">
        <v>36.0</v>
      </c>
      <c r="G237" s="5">
        <v>0.0</v>
      </c>
      <c r="H237" s="5">
        <v>0.0</v>
      </c>
      <c r="I237" s="5">
        <v>27849.0</v>
      </c>
      <c r="J237" s="5">
        <v>13.0</v>
      </c>
      <c r="K237" s="5"/>
      <c r="L237" s="5" t="s">
        <v>16</v>
      </c>
      <c r="M237" s="5"/>
    </row>
    <row r="238" ht="14.25" customHeight="1">
      <c r="A238" s="5">
        <v>667.0</v>
      </c>
      <c r="B238" s="5">
        <v>0.0</v>
      </c>
      <c r="C238" s="5">
        <v>2.0</v>
      </c>
      <c r="D238" s="5" t="s">
        <v>436</v>
      </c>
      <c r="E238" s="5" t="s">
        <v>18</v>
      </c>
      <c r="F238" s="5">
        <v>25.0</v>
      </c>
      <c r="G238" s="5">
        <v>0.0</v>
      </c>
      <c r="H238" s="5">
        <v>0.0</v>
      </c>
      <c r="I238" s="5">
        <v>234686.0</v>
      </c>
      <c r="J238" s="5">
        <v>13.0</v>
      </c>
      <c r="K238" s="5"/>
      <c r="L238" s="5" t="s">
        <v>16</v>
      </c>
      <c r="M238" s="5"/>
    </row>
    <row r="239" ht="14.25" customHeight="1">
      <c r="A239" s="5">
        <v>150.0</v>
      </c>
      <c r="B239" s="5">
        <v>0.0</v>
      </c>
      <c r="C239" s="5">
        <v>2.0</v>
      </c>
      <c r="D239" s="5" t="s">
        <v>437</v>
      </c>
      <c r="E239" s="5" t="s">
        <v>18</v>
      </c>
      <c r="F239" s="5">
        <v>42.0</v>
      </c>
      <c r="G239" s="5">
        <v>0.0</v>
      </c>
      <c r="H239" s="5">
        <v>0.0</v>
      </c>
      <c r="I239" s="5">
        <v>244310.0</v>
      </c>
      <c r="J239" s="5">
        <v>13.0</v>
      </c>
      <c r="K239" s="5"/>
      <c r="L239" s="5" t="s">
        <v>16</v>
      </c>
      <c r="M239" s="5"/>
    </row>
    <row r="240" ht="14.25" customHeight="1">
      <c r="A240" s="5">
        <v>866.0</v>
      </c>
      <c r="B240" s="5">
        <v>1.0</v>
      </c>
      <c r="C240" s="5">
        <v>2.0</v>
      </c>
      <c r="D240" s="5" t="s">
        <v>438</v>
      </c>
      <c r="E240" s="5" t="s">
        <v>14</v>
      </c>
      <c r="F240" s="5">
        <v>42.0</v>
      </c>
      <c r="G240" s="5">
        <v>0.0</v>
      </c>
      <c r="H240" s="5">
        <v>0.0</v>
      </c>
      <c r="I240" s="5">
        <v>236852.0</v>
      </c>
      <c r="J240" s="5">
        <v>13.0</v>
      </c>
      <c r="K240" s="5"/>
      <c r="L240" s="5" t="s">
        <v>16</v>
      </c>
      <c r="M240" s="5"/>
    </row>
    <row r="241" ht="14.25" customHeight="1">
      <c r="A241" s="5">
        <v>79.0</v>
      </c>
      <c r="B241" s="5">
        <v>1.0</v>
      </c>
      <c r="C241" s="5">
        <v>2.0</v>
      </c>
      <c r="D241" s="5" t="s">
        <v>439</v>
      </c>
      <c r="E241" s="5" t="s">
        <v>18</v>
      </c>
      <c r="F241" s="5">
        <v>0.83</v>
      </c>
      <c r="G241" s="5">
        <v>0.0</v>
      </c>
      <c r="H241" s="5">
        <v>2.0</v>
      </c>
      <c r="I241" s="5">
        <v>248738.0</v>
      </c>
      <c r="J241" s="5">
        <v>29.0</v>
      </c>
      <c r="K241" s="5"/>
      <c r="L241" s="5" t="s">
        <v>16</v>
      </c>
      <c r="M241" s="5"/>
    </row>
    <row r="242" ht="14.25" customHeight="1">
      <c r="A242" s="5">
        <v>324.0</v>
      </c>
      <c r="B242" s="5">
        <v>1.0</v>
      </c>
      <c r="C242" s="5">
        <v>2.0</v>
      </c>
      <c r="D242" s="5" t="s">
        <v>440</v>
      </c>
      <c r="E242" s="5" t="s">
        <v>14</v>
      </c>
      <c r="F242" s="5">
        <v>22.0</v>
      </c>
      <c r="G242" s="5">
        <v>1.0</v>
      </c>
      <c r="H242" s="5">
        <v>1.0</v>
      </c>
      <c r="I242" s="5">
        <v>248738.0</v>
      </c>
      <c r="J242" s="5">
        <v>29.0</v>
      </c>
      <c r="K242" s="5"/>
      <c r="L242" s="5" t="s">
        <v>16</v>
      </c>
      <c r="M242" s="5"/>
    </row>
    <row r="243" ht="14.25" customHeight="1">
      <c r="A243" s="5">
        <v>212.0</v>
      </c>
      <c r="B243" s="5">
        <v>1.0</v>
      </c>
      <c r="C243" s="5">
        <v>2.0</v>
      </c>
      <c r="D243" s="5" t="s">
        <v>441</v>
      </c>
      <c r="E243" s="5" t="s">
        <v>14</v>
      </c>
      <c r="F243" s="5">
        <v>35.0</v>
      </c>
      <c r="G243" s="5">
        <v>0.0</v>
      </c>
      <c r="H243" s="5">
        <v>0.0</v>
      </c>
      <c r="I243" s="5" t="s">
        <v>442</v>
      </c>
      <c r="J243" s="5">
        <v>21.0</v>
      </c>
      <c r="K243" s="5"/>
      <c r="L243" s="5" t="s">
        <v>16</v>
      </c>
      <c r="M243" s="5"/>
    </row>
    <row r="244" ht="14.25" customHeight="1">
      <c r="A244" s="5">
        <v>467.0</v>
      </c>
      <c r="B244" s="5">
        <v>0.0</v>
      </c>
      <c r="C244" s="5">
        <v>2.0</v>
      </c>
      <c r="D244" s="5" t="s">
        <v>443</v>
      </c>
      <c r="E244" s="5" t="s">
        <v>18</v>
      </c>
      <c r="F244" s="5"/>
      <c r="G244" s="5">
        <v>0.0</v>
      </c>
      <c r="H244" s="5">
        <v>0.0</v>
      </c>
      <c r="I244" s="5">
        <v>239853.0</v>
      </c>
      <c r="J244" s="5">
        <v>0.0</v>
      </c>
      <c r="K244" s="5"/>
      <c r="L244" s="5" t="s">
        <v>16</v>
      </c>
      <c r="M244" s="5"/>
    </row>
    <row r="245" ht="14.25" customHeight="1">
      <c r="A245" s="5">
        <v>192.0</v>
      </c>
      <c r="B245" s="5">
        <v>0.0</v>
      </c>
      <c r="C245" s="5">
        <v>2.0</v>
      </c>
      <c r="D245" s="5" t="s">
        <v>444</v>
      </c>
      <c r="E245" s="5" t="s">
        <v>18</v>
      </c>
      <c r="F245" s="5">
        <v>19.0</v>
      </c>
      <c r="G245" s="5">
        <v>0.0</v>
      </c>
      <c r="H245" s="5">
        <v>0.0</v>
      </c>
      <c r="I245" s="5">
        <v>28424.0</v>
      </c>
      <c r="J245" s="5">
        <v>13.0</v>
      </c>
      <c r="K245" s="5"/>
      <c r="L245" s="5" t="s">
        <v>16</v>
      </c>
      <c r="M245" s="5"/>
    </row>
    <row r="246" ht="14.25" customHeight="1">
      <c r="A246" s="5">
        <v>855.0</v>
      </c>
      <c r="B246" s="5">
        <v>0.0</v>
      </c>
      <c r="C246" s="5">
        <v>2.0</v>
      </c>
      <c r="D246" s="5" t="s">
        <v>445</v>
      </c>
      <c r="E246" s="5" t="s">
        <v>14</v>
      </c>
      <c r="F246" s="5">
        <v>44.0</v>
      </c>
      <c r="G246" s="5">
        <v>1.0</v>
      </c>
      <c r="H246" s="5">
        <v>0.0</v>
      </c>
      <c r="I246" s="5">
        <v>244252.0</v>
      </c>
      <c r="J246" s="5">
        <v>26.0</v>
      </c>
      <c r="K246" s="5"/>
      <c r="L246" s="5" t="s">
        <v>16</v>
      </c>
      <c r="M246" s="5"/>
    </row>
    <row r="247" ht="14.25" customHeight="1">
      <c r="A247" s="5">
        <v>250.0</v>
      </c>
      <c r="B247" s="5">
        <v>0.0</v>
      </c>
      <c r="C247" s="5">
        <v>2.0</v>
      </c>
      <c r="D247" s="5" t="s">
        <v>446</v>
      </c>
      <c r="E247" s="5" t="s">
        <v>18</v>
      </c>
      <c r="F247" s="5">
        <v>54.0</v>
      </c>
      <c r="G247" s="5">
        <v>1.0</v>
      </c>
      <c r="H247" s="5">
        <v>0.0</v>
      </c>
      <c r="I247" s="5">
        <v>244252.0</v>
      </c>
      <c r="J247" s="5">
        <v>26.0</v>
      </c>
      <c r="K247" s="5"/>
      <c r="L247" s="5" t="s">
        <v>16</v>
      </c>
      <c r="M247" s="5"/>
    </row>
    <row r="248" ht="14.25" customHeight="1">
      <c r="A248" s="5">
        <v>696.0</v>
      </c>
      <c r="B248" s="5">
        <v>0.0</v>
      </c>
      <c r="C248" s="5">
        <v>2.0</v>
      </c>
      <c r="D248" s="5" t="s">
        <v>447</v>
      </c>
      <c r="E248" s="5" t="s">
        <v>18</v>
      </c>
      <c r="F248" s="5">
        <v>52.0</v>
      </c>
      <c r="G248" s="5">
        <v>0.0</v>
      </c>
      <c r="H248" s="5">
        <v>0.0</v>
      </c>
      <c r="I248" s="5">
        <v>248731.0</v>
      </c>
      <c r="J248" s="5">
        <v>13.5</v>
      </c>
      <c r="K248" s="5"/>
      <c r="L248" s="5" t="s">
        <v>16</v>
      </c>
      <c r="M248" s="5"/>
    </row>
    <row r="249" ht="14.25" customHeight="1">
      <c r="A249" s="5">
        <v>595.0</v>
      </c>
      <c r="B249" s="5">
        <v>0.0</v>
      </c>
      <c r="C249" s="5">
        <v>2.0</v>
      </c>
      <c r="D249" s="5" t="s">
        <v>448</v>
      </c>
      <c r="E249" s="5" t="s">
        <v>18</v>
      </c>
      <c r="F249" s="5">
        <v>37.0</v>
      </c>
      <c r="G249" s="5">
        <v>1.0</v>
      </c>
      <c r="H249" s="5">
        <v>0.0</v>
      </c>
      <c r="I249" s="5" t="s">
        <v>449</v>
      </c>
      <c r="J249" s="5">
        <v>26.0</v>
      </c>
      <c r="K249" s="5"/>
      <c r="L249" s="5" t="s">
        <v>16</v>
      </c>
      <c r="M249" s="5"/>
    </row>
    <row r="250" ht="14.25" customHeight="1">
      <c r="A250" s="5">
        <v>581.0</v>
      </c>
      <c r="B250" s="5">
        <v>1.0</v>
      </c>
      <c r="C250" s="5">
        <v>2.0</v>
      </c>
      <c r="D250" s="5" t="s">
        <v>450</v>
      </c>
      <c r="E250" s="5" t="s">
        <v>14</v>
      </c>
      <c r="F250" s="5">
        <v>25.0</v>
      </c>
      <c r="G250" s="5">
        <v>1.0</v>
      </c>
      <c r="H250" s="5">
        <v>1.0</v>
      </c>
      <c r="I250" s="5">
        <v>237789.0</v>
      </c>
      <c r="J250" s="5">
        <v>30.0</v>
      </c>
      <c r="K250" s="5"/>
      <c r="L250" s="5" t="s">
        <v>16</v>
      </c>
      <c r="M250" s="5"/>
    </row>
    <row r="251" ht="14.25" customHeight="1">
      <c r="A251" s="5">
        <v>427.0</v>
      </c>
      <c r="B251" s="5">
        <v>1.0</v>
      </c>
      <c r="C251" s="5">
        <v>2.0</v>
      </c>
      <c r="D251" s="5" t="s">
        <v>451</v>
      </c>
      <c r="E251" s="5" t="s">
        <v>14</v>
      </c>
      <c r="F251" s="5">
        <v>28.0</v>
      </c>
      <c r="G251" s="5">
        <v>1.0</v>
      </c>
      <c r="H251" s="5">
        <v>0.0</v>
      </c>
      <c r="I251" s="5">
        <v>2003.0</v>
      </c>
      <c r="J251" s="5">
        <v>26.0</v>
      </c>
      <c r="K251" s="5"/>
      <c r="L251" s="5" t="s">
        <v>16</v>
      </c>
      <c r="M251" s="5"/>
    </row>
    <row r="252" ht="14.25" customHeight="1">
      <c r="A252" s="5">
        <v>243.0</v>
      </c>
      <c r="B252" s="5">
        <v>0.0</v>
      </c>
      <c r="C252" s="5">
        <v>2.0</v>
      </c>
      <c r="D252" s="5" t="s">
        <v>452</v>
      </c>
      <c r="E252" s="5" t="s">
        <v>18</v>
      </c>
      <c r="F252" s="5">
        <v>29.0</v>
      </c>
      <c r="G252" s="5">
        <v>0.0</v>
      </c>
      <c r="H252" s="5">
        <v>0.0</v>
      </c>
      <c r="I252" s="5" t="s">
        <v>453</v>
      </c>
      <c r="J252" s="5">
        <v>10.5</v>
      </c>
      <c r="K252" s="5"/>
      <c r="L252" s="5" t="s">
        <v>16</v>
      </c>
      <c r="M252" s="5"/>
    </row>
    <row r="253" ht="14.25" customHeight="1">
      <c r="A253" s="5">
        <v>343.0</v>
      </c>
      <c r="B253" s="5">
        <v>0.0</v>
      </c>
      <c r="C253" s="5">
        <v>2.0</v>
      </c>
      <c r="D253" s="5" t="s">
        <v>454</v>
      </c>
      <c r="E253" s="5" t="s">
        <v>18</v>
      </c>
      <c r="F253" s="5">
        <v>28.0</v>
      </c>
      <c r="G253" s="5">
        <v>0.0</v>
      </c>
      <c r="H253" s="5">
        <v>0.0</v>
      </c>
      <c r="I253" s="5">
        <v>248740.0</v>
      </c>
      <c r="J253" s="5">
        <v>13.0</v>
      </c>
      <c r="K253" s="5"/>
      <c r="L253" s="5" t="s">
        <v>16</v>
      </c>
      <c r="M253" s="5"/>
    </row>
    <row r="254" ht="14.25" customHeight="1">
      <c r="A254" s="5">
        <v>238.0</v>
      </c>
      <c r="B254" s="5">
        <v>1.0</v>
      </c>
      <c r="C254" s="5">
        <v>2.0</v>
      </c>
      <c r="D254" s="5" t="s">
        <v>455</v>
      </c>
      <c r="E254" s="5" t="s">
        <v>14</v>
      </c>
      <c r="F254" s="5">
        <v>8.0</v>
      </c>
      <c r="G254" s="5">
        <v>0.0</v>
      </c>
      <c r="H254" s="5">
        <v>2.0</v>
      </c>
      <c r="I254" s="5" t="s">
        <v>456</v>
      </c>
      <c r="J254" s="5">
        <v>26.25</v>
      </c>
      <c r="K254" s="5"/>
      <c r="L254" s="5" t="s">
        <v>16</v>
      </c>
      <c r="M254" s="5"/>
    </row>
    <row r="255" ht="14.25" customHeight="1">
      <c r="A255" s="5">
        <v>638.0</v>
      </c>
      <c r="B255" s="5">
        <v>0.0</v>
      </c>
      <c r="C255" s="5">
        <v>2.0</v>
      </c>
      <c r="D255" s="5" t="s">
        <v>457</v>
      </c>
      <c r="E255" s="5" t="s">
        <v>18</v>
      </c>
      <c r="F255" s="5">
        <v>31.0</v>
      </c>
      <c r="G255" s="5">
        <v>1.0</v>
      </c>
      <c r="H255" s="5">
        <v>1.0</v>
      </c>
      <c r="I255" s="5" t="s">
        <v>456</v>
      </c>
      <c r="J255" s="5">
        <v>26.25</v>
      </c>
      <c r="K255" s="5"/>
      <c r="L255" s="5" t="s">
        <v>16</v>
      </c>
      <c r="M255" s="5"/>
    </row>
    <row r="256" ht="14.25" customHeight="1">
      <c r="A256" s="5">
        <v>802.0</v>
      </c>
      <c r="B256" s="5">
        <v>1.0</v>
      </c>
      <c r="C256" s="5">
        <v>2.0</v>
      </c>
      <c r="D256" s="5" t="s">
        <v>458</v>
      </c>
      <c r="E256" s="5" t="s">
        <v>14</v>
      </c>
      <c r="F256" s="5">
        <v>31.0</v>
      </c>
      <c r="G256" s="5">
        <v>1.0</v>
      </c>
      <c r="H256" s="5">
        <v>1.0</v>
      </c>
      <c r="I256" s="5" t="s">
        <v>456</v>
      </c>
      <c r="J256" s="5">
        <v>26.25</v>
      </c>
      <c r="K256" s="5"/>
      <c r="L256" s="5" t="s">
        <v>16</v>
      </c>
      <c r="M256" s="5"/>
    </row>
    <row r="257" ht="14.25" customHeight="1">
      <c r="A257" s="5">
        <v>414.0</v>
      </c>
      <c r="B257" s="5">
        <v>0.0</v>
      </c>
      <c r="C257" s="5">
        <v>2.0</v>
      </c>
      <c r="D257" s="5" t="s">
        <v>459</v>
      </c>
      <c r="E257" s="5" t="s">
        <v>18</v>
      </c>
      <c r="F257" s="5"/>
      <c r="G257" s="5">
        <v>0.0</v>
      </c>
      <c r="H257" s="5">
        <v>0.0</v>
      </c>
      <c r="I257" s="5">
        <v>239853.0</v>
      </c>
      <c r="J257" s="5">
        <v>0.0</v>
      </c>
      <c r="K257" s="5"/>
      <c r="L257" s="5" t="s">
        <v>16</v>
      </c>
      <c r="M257" s="5"/>
    </row>
    <row r="258" ht="14.25" customHeight="1">
      <c r="A258" s="5">
        <v>550.0</v>
      </c>
      <c r="B258" s="5">
        <v>1.0</v>
      </c>
      <c r="C258" s="5">
        <v>2.0</v>
      </c>
      <c r="D258" s="5" t="s">
        <v>460</v>
      </c>
      <c r="E258" s="5" t="s">
        <v>18</v>
      </c>
      <c r="F258" s="5">
        <v>8.0</v>
      </c>
      <c r="G258" s="5">
        <v>1.0</v>
      </c>
      <c r="H258" s="5">
        <v>1.0</v>
      </c>
      <c r="I258" s="5" t="s">
        <v>461</v>
      </c>
      <c r="J258" s="5">
        <v>36.75</v>
      </c>
      <c r="K258" s="5"/>
      <c r="L258" s="5" t="s">
        <v>16</v>
      </c>
      <c r="M258" s="5"/>
    </row>
    <row r="259" ht="14.25" customHeight="1">
      <c r="A259" s="5">
        <v>386.0</v>
      </c>
      <c r="B259" s="5">
        <v>0.0</v>
      </c>
      <c r="C259" s="5">
        <v>2.0</v>
      </c>
      <c r="D259" s="5" t="s">
        <v>462</v>
      </c>
      <c r="E259" s="5" t="s">
        <v>18</v>
      </c>
      <c r="F259" s="5">
        <v>18.0</v>
      </c>
      <c r="G259" s="5">
        <v>0.0</v>
      </c>
      <c r="H259" s="5">
        <v>0.0</v>
      </c>
      <c r="I259" s="5" t="s">
        <v>463</v>
      </c>
      <c r="J259" s="5">
        <v>73.5</v>
      </c>
      <c r="K259" s="5"/>
      <c r="L259" s="5" t="s">
        <v>16</v>
      </c>
      <c r="M259" s="5"/>
    </row>
    <row r="260" ht="14.25" customHeight="1">
      <c r="A260" s="5">
        <v>636.0</v>
      </c>
      <c r="B260" s="5">
        <v>1.0</v>
      </c>
      <c r="C260" s="5">
        <v>2.0</v>
      </c>
      <c r="D260" s="5" t="s">
        <v>464</v>
      </c>
      <c r="E260" s="5" t="s">
        <v>14</v>
      </c>
      <c r="F260" s="5">
        <v>28.0</v>
      </c>
      <c r="G260" s="5">
        <v>0.0</v>
      </c>
      <c r="H260" s="5">
        <v>0.0</v>
      </c>
      <c r="I260" s="5">
        <v>237668.0</v>
      </c>
      <c r="J260" s="5">
        <v>13.0</v>
      </c>
      <c r="K260" s="5"/>
      <c r="L260" s="5" t="s">
        <v>16</v>
      </c>
      <c r="M260" s="5"/>
    </row>
    <row r="261" ht="14.25" customHeight="1">
      <c r="A261" s="5">
        <v>362.0</v>
      </c>
      <c r="B261" s="5">
        <v>0.0</v>
      </c>
      <c r="C261" s="5">
        <v>2.0</v>
      </c>
      <c r="D261" s="5" t="s">
        <v>465</v>
      </c>
      <c r="E261" s="5" t="s">
        <v>18</v>
      </c>
      <c r="F261" s="5">
        <v>29.0</v>
      </c>
      <c r="G261" s="5">
        <v>1.0</v>
      </c>
      <c r="H261" s="5">
        <v>0.0</v>
      </c>
      <c r="I261" s="5" t="s">
        <v>466</v>
      </c>
      <c r="J261" s="5">
        <v>27.7208</v>
      </c>
      <c r="K261" s="5"/>
      <c r="L261" s="5" t="s">
        <v>32</v>
      </c>
      <c r="M261" s="5"/>
    </row>
    <row r="262" ht="14.25" customHeight="1">
      <c r="A262" s="5">
        <v>652.0</v>
      </c>
      <c r="B262" s="5">
        <v>1.0</v>
      </c>
      <c r="C262" s="5">
        <v>2.0</v>
      </c>
      <c r="D262" s="5" t="s">
        <v>467</v>
      </c>
      <c r="E262" s="5" t="s">
        <v>14</v>
      </c>
      <c r="F262" s="5">
        <v>18.0</v>
      </c>
      <c r="G262" s="5">
        <v>0.0</v>
      </c>
      <c r="H262" s="5">
        <v>1.0</v>
      </c>
      <c r="I262" s="5">
        <v>231919.0</v>
      </c>
      <c r="J262" s="5">
        <v>23.0</v>
      </c>
      <c r="K262" s="5"/>
      <c r="L262" s="5" t="s">
        <v>16</v>
      </c>
      <c r="M262" s="5"/>
    </row>
    <row r="263" ht="14.25" customHeight="1">
      <c r="A263" s="5">
        <v>99.0</v>
      </c>
      <c r="B263" s="5">
        <v>1.0</v>
      </c>
      <c r="C263" s="5">
        <v>2.0</v>
      </c>
      <c r="D263" s="5" t="s">
        <v>468</v>
      </c>
      <c r="E263" s="5" t="s">
        <v>14</v>
      </c>
      <c r="F263" s="5">
        <v>34.0</v>
      </c>
      <c r="G263" s="5">
        <v>0.0</v>
      </c>
      <c r="H263" s="5">
        <v>1.0</v>
      </c>
      <c r="I263" s="5">
        <v>231919.0</v>
      </c>
      <c r="J263" s="5">
        <v>23.0</v>
      </c>
      <c r="K263" s="5"/>
      <c r="L263" s="5" t="s">
        <v>16</v>
      </c>
      <c r="M263" s="5"/>
    </row>
    <row r="264" ht="14.25" customHeight="1">
      <c r="A264" s="5">
        <v>583.0</v>
      </c>
      <c r="B264" s="5">
        <v>0.0</v>
      </c>
      <c r="C264" s="5">
        <v>2.0</v>
      </c>
      <c r="D264" s="5" t="s">
        <v>469</v>
      </c>
      <c r="E264" s="5" t="s">
        <v>18</v>
      </c>
      <c r="F264" s="5">
        <v>54.0</v>
      </c>
      <c r="G264" s="5">
        <v>0.0</v>
      </c>
      <c r="H264" s="5">
        <v>0.0</v>
      </c>
      <c r="I264" s="5">
        <v>28403.0</v>
      </c>
      <c r="J264" s="5">
        <v>26.0</v>
      </c>
      <c r="K264" s="5"/>
      <c r="L264" s="5" t="s">
        <v>16</v>
      </c>
      <c r="M264" s="5"/>
    </row>
    <row r="265" ht="14.25" customHeight="1">
      <c r="A265" s="5">
        <v>417.0</v>
      </c>
      <c r="B265" s="5">
        <v>1.0</v>
      </c>
      <c r="C265" s="5">
        <v>2.0</v>
      </c>
      <c r="D265" s="5" t="s">
        <v>470</v>
      </c>
      <c r="E265" s="5" t="s">
        <v>14</v>
      </c>
      <c r="F265" s="5">
        <v>34.0</v>
      </c>
      <c r="G265" s="5">
        <v>1.0</v>
      </c>
      <c r="H265" s="5">
        <v>1.0</v>
      </c>
      <c r="I265" s="5">
        <v>28220.0</v>
      </c>
      <c r="J265" s="5">
        <v>32.5</v>
      </c>
      <c r="K265" s="5"/>
      <c r="L265" s="5" t="s">
        <v>16</v>
      </c>
      <c r="M265" s="5"/>
    </row>
    <row r="266" ht="14.25" customHeight="1">
      <c r="A266" s="5">
        <v>867.0</v>
      </c>
      <c r="B266" s="5">
        <v>1.0</v>
      </c>
      <c r="C266" s="5">
        <v>2.0</v>
      </c>
      <c r="D266" s="5" t="s">
        <v>471</v>
      </c>
      <c r="E266" s="5" t="s">
        <v>14</v>
      </c>
      <c r="F266" s="5">
        <v>27.0</v>
      </c>
      <c r="G266" s="5">
        <v>1.0</v>
      </c>
      <c r="H266" s="5">
        <v>0.0</v>
      </c>
      <c r="I266" s="5" t="s">
        <v>472</v>
      </c>
      <c r="J266" s="5">
        <v>13.8583</v>
      </c>
      <c r="K266" s="5"/>
      <c r="L266" s="5" t="s">
        <v>32</v>
      </c>
      <c r="M266" s="5"/>
    </row>
    <row r="267" ht="14.25" customHeight="1">
      <c r="A267" s="5">
        <v>659.0</v>
      </c>
      <c r="B267" s="5">
        <v>0.0</v>
      </c>
      <c r="C267" s="5">
        <v>2.0</v>
      </c>
      <c r="D267" s="5" t="s">
        <v>473</v>
      </c>
      <c r="E267" s="5" t="s">
        <v>18</v>
      </c>
      <c r="F267" s="5">
        <v>23.0</v>
      </c>
      <c r="G267" s="5">
        <v>0.0</v>
      </c>
      <c r="H267" s="5">
        <v>0.0</v>
      </c>
      <c r="I267" s="5">
        <v>29751.0</v>
      </c>
      <c r="J267" s="5">
        <v>13.0</v>
      </c>
      <c r="K267" s="5"/>
      <c r="L267" s="5" t="s">
        <v>16</v>
      </c>
      <c r="M267" s="5"/>
    </row>
    <row r="268" ht="14.25" customHeight="1">
      <c r="A268" s="5">
        <v>229.0</v>
      </c>
      <c r="B268" s="5">
        <v>0.0</v>
      </c>
      <c r="C268" s="5">
        <v>2.0</v>
      </c>
      <c r="D268" s="5" t="s">
        <v>474</v>
      </c>
      <c r="E268" s="5" t="s">
        <v>18</v>
      </c>
      <c r="F268" s="5">
        <v>18.0</v>
      </c>
      <c r="G268" s="5">
        <v>0.0</v>
      </c>
      <c r="H268" s="5">
        <v>0.0</v>
      </c>
      <c r="I268" s="5">
        <v>236171.0</v>
      </c>
      <c r="J268" s="5">
        <v>13.0</v>
      </c>
      <c r="K268" s="5"/>
      <c r="L268" s="5" t="s">
        <v>16</v>
      </c>
      <c r="M268" s="5"/>
    </row>
    <row r="269" ht="14.25" customHeight="1">
      <c r="A269" s="5">
        <v>54.0</v>
      </c>
      <c r="B269" s="5">
        <v>1.0</v>
      </c>
      <c r="C269" s="5">
        <v>2.0</v>
      </c>
      <c r="D269" s="5" t="s">
        <v>475</v>
      </c>
      <c r="E269" s="5" t="s">
        <v>14</v>
      </c>
      <c r="F269" s="5">
        <v>29.0</v>
      </c>
      <c r="G269" s="5">
        <v>1.0</v>
      </c>
      <c r="H269" s="5">
        <v>0.0</v>
      </c>
      <c r="I269" s="5">
        <v>2926.0</v>
      </c>
      <c r="J269" s="5">
        <v>26.0</v>
      </c>
      <c r="K269" s="5"/>
      <c r="L269" s="5" t="s">
        <v>16</v>
      </c>
      <c r="M269" s="5"/>
    </row>
    <row r="270" ht="14.25" customHeight="1">
      <c r="A270" s="5">
        <v>345.0</v>
      </c>
      <c r="B270" s="5">
        <v>0.0</v>
      </c>
      <c r="C270" s="5">
        <v>2.0</v>
      </c>
      <c r="D270" s="5" t="s">
        <v>476</v>
      </c>
      <c r="E270" s="5" t="s">
        <v>18</v>
      </c>
      <c r="F270" s="5">
        <v>36.0</v>
      </c>
      <c r="G270" s="5">
        <v>0.0</v>
      </c>
      <c r="H270" s="5">
        <v>0.0</v>
      </c>
      <c r="I270" s="5">
        <v>229236.0</v>
      </c>
      <c r="J270" s="5">
        <v>13.0</v>
      </c>
      <c r="K270" s="5"/>
      <c r="L270" s="5" t="s">
        <v>16</v>
      </c>
      <c r="M270" s="5"/>
    </row>
    <row r="271" ht="14.25" customHeight="1">
      <c r="A271" s="5">
        <v>482.0</v>
      </c>
      <c r="B271" s="5">
        <v>0.0</v>
      </c>
      <c r="C271" s="5">
        <v>2.0</v>
      </c>
      <c r="D271" s="5" t="s">
        <v>477</v>
      </c>
      <c r="E271" s="5" t="s">
        <v>18</v>
      </c>
      <c r="F271" s="5"/>
      <c r="G271" s="5">
        <v>0.0</v>
      </c>
      <c r="H271" s="5">
        <v>0.0</v>
      </c>
      <c r="I271" s="5">
        <v>239854.0</v>
      </c>
      <c r="J271" s="5">
        <v>0.0</v>
      </c>
      <c r="K271" s="5"/>
      <c r="L271" s="5" t="s">
        <v>16</v>
      </c>
      <c r="M271" s="5"/>
    </row>
    <row r="272" ht="14.25" customHeight="1">
      <c r="A272" s="5">
        <v>358.0</v>
      </c>
      <c r="B272" s="5">
        <v>0.0</v>
      </c>
      <c r="C272" s="5">
        <v>2.0</v>
      </c>
      <c r="D272" s="5" t="s">
        <v>478</v>
      </c>
      <c r="E272" s="5" t="s">
        <v>14</v>
      </c>
      <c r="F272" s="5">
        <v>38.0</v>
      </c>
      <c r="G272" s="5">
        <v>0.0</v>
      </c>
      <c r="H272" s="5">
        <v>0.0</v>
      </c>
      <c r="I272" s="5">
        <v>237671.0</v>
      </c>
      <c r="J272" s="5">
        <v>13.0</v>
      </c>
      <c r="K272" s="5"/>
      <c r="L272" s="5" t="s">
        <v>16</v>
      </c>
      <c r="M272" s="5"/>
    </row>
    <row r="273" ht="14.25" customHeight="1">
      <c r="A273" s="5">
        <v>21.0</v>
      </c>
      <c r="B273" s="5">
        <v>0.0</v>
      </c>
      <c r="C273" s="5">
        <v>2.0</v>
      </c>
      <c r="D273" s="5" t="s">
        <v>479</v>
      </c>
      <c r="E273" s="5" t="s">
        <v>18</v>
      </c>
      <c r="F273" s="5">
        <v>35.0</v>
      </c>
      <c r="G273" s="5">
        <v>0.0</v>
      </c>
      <c r="H273" s="5">
        <v>0.0</v>
      </c>
      <c r="I273" s="5">
        <v>239865.0</v>
      </c>
      <c r="J273" s="5">
        <v>26.0</v>
      </c>
      <c r="K273" s="5"/>
      <c r="L273" s="5" t="s">
        <v>16</v>
      </c>
      <c r="M273" s="5"/>
    </row>
    <row r="274" ht="14.25" customHeight="1">
      <c r="A274" s="5">
        <v>406.0</v>
      </c>
      <c r="B274" s="5">
        <v>0.0</v>
      </c>
      <c r="C274" s="5">
        <v>2.0</v>
      </c>
      <c r="D274" s="5" t="s">
        <v>480</v>
      </c>
      <c r="E274" s="5" t="s">
        <v>18</v>
      </c>
      <c r="F274" s="5">
        <v>34.0</v>
      </c>
      <c r="G274" s="5">
        <v>1.0</v>
      </c>
      <c r="H274" s="5">
        <v>0.0</v>
      </c>
      <c r="I274" s="5">
        <v>28664.0</v>
      </c>
      <c r="J274" s="5">
        <v>21.0</v>
      </c>
      <c r="K274" s="5"/>
      <c r="L274" s="5" t="s">
        <v>16</v>
      </c>
      <c r="M274" s="5"/>
    </row>
    <row r="275" ht="14.25" customHeight="1">
      <c r="A275" s="5">
        <v>577.0</v>
      </c>
      <c r="B275" s="5">
        <v>1.0</v>
      </c>
      <c r="C275" s="5">
        <v>2.0</v>
      </c>
      <c r="D275" s="5" t="s">
        <v>481</v>
      </c>
      <c r="E275" s="5" t="s">
        <v>14</v>
      </c>
      <c r="F275" s="5">
        <v>34.0</v>
      </c>
      <c r="G275" s="5">
        <v>0.0</v>
      </c>
      <c r="H275" s="5">
        <v>0.0</v>
      </c>
      <c r="I275" s="5">
        <v>243880.0</v>
      </c>
      <c r="J275" s="5">
        <v>13.0</v>
      </c>
      <c r="K275" s="5"/>
      <c r="L275" s="5" t="s">
        <v>16</v>
      </c>
      <c r="M275" s="5"/>
    </row>
    <row r="276" ht="14.25" customHeight="1">
      <c r="A276" s="5">
        <v>792.0</v>
      </c>
      <c r="B276" s="5">
        <v>0.0</v>
      </c>
      <c r="C276" s="5">
        <v>2.0</v>
      </c>
      <c r="D276" s="5" t="s">
        <v>482</v>
      </c>
      <c r="E276" s="5" t="s">
        <v>18</v>
      </c>
      <c r="F276" s="5">
        <v>16.0</v>
      </c>
      <c r="G276" s="5">
        <v>0.0</v>
      </c>
      <c r="H276" s="5">
        <v>0.0</v>
      </c>
      <c r="I276" s="5">
        <v>239865.0</v>
      </c>
      <c r="J276" s="5">
        <v>26.0</v>
      </c>
      <c r="K276" s="5"/>
      <c r="L276" s="5" t="s">
        <v>16</v>
      </c>
      <c r="M276" s="5"/>
    </row>
    <row r="277" ht="14.25" customHeight="1">
      <c r="A277" s="5">
        <v>620.0</v>
      </c>
      <c r="B277" s="5">
        <v>0.0</v>
      </c>
      <c r="C277" s="5">
        <v>2.0</v>
      </c>
      <c r="D277" s="5" t="s">
        <v>483</v>
      </c>
      <c r="E277" s="5" t="s">
        <v>18</v>
      </c>
      <c r="F277" s="5">
        <v>26.0</v>
      </c>
      <c r="G277" s="5">
        <v>0.0</v>
      </c>
      <c r="H277" s="5">
        <v>0.0</v>
      </c>
      <c r="I277" s="5">
        <v>31028.0</v>
      </c>
      <c r="J277" s="5">
        <v>10.5</v>
      </c>
      <c r="K277" s="5"/>
      <c r="L277" s="5" t="s">
        <v>16</v>
      </c>
      <c r="M277" s="5"/>
    </row>
    <row r="278" ht="14.25" customHeight="1">
      <c r="A278" s="5">
        <v>862.0</v>
      </c>
      <c r="B278" s="5">
        <v>0.0</v>
      </c>
      <c r="C278" s="5">
        <v>2.0</v>
      </c>
      <c r="D278" s="5" t="s">
        <v>484</v>
      </c>
      <c r="E278" s="5" t="s">
        <v>18</v>
      </c>
      <c r="F278" s="5">
        <v>21.0</v>
      </c>
      <c r="G278" s="5">
        <v>1.0</v>
      </c>
      <c r="H278" s="5">
        <v>0.0</v>
      </c>
      <c r="I278" s="5">
        <v>28134.0</v>
      </c>
      <c r="J278" s="5">
        <v>11.5</v>
      </c>
      <c r="K278" s="5"/>
      <c r="L278" s="5" t="s">
        <v>16</v>
      </c>
      <c r="M278" s="5"/>
    </row>
    <row r="279" ht="14.25" customHeight="1">
      <c r="A279" s="5">
        <v>865.0</v>
      </c>
      <c r="B279" s="5">
        <v>0.0</v>
      </c>
      <c r="C279" s="5">
        <v>2.0</v>
      </c>
      <c r="D279" s="5" t="s">
        <v>485</v>
      </c>
      <c r="E279" s="5" t="s">
        <v>18</v>
      </c>
      <c r="F279" s="5">
        <v>24.0</v>
      </c>
      <c r="G279" s="5">
        <v>0.0</v>
      </c>
      <c r="H279" s="5">
        <v>0.0</v>
      </c>
      <c r="I279" s="5">
        <v>233866.0</v>
      </c>
      <c r="J279" s="5">
        <v>13.0</v>
      </c>
      <c r="K279" s="5"/>
      <c r="L279" s="5" t="s">
        <v>16</v>
      </c>
      <c r="M279" s="5"/>
    </row>
    <row r="280" ht="14.25" customHeight="1">
      <c r="A280" s="5">
        <v>723.0</v>
      </c>
      <c r="B280" s="5">
        <v>0.0</v>
      </c>
      <c r="C280" s="5">
        <v>2.0</v>
      </c>
      <c r="D280" s="5" t="s">
        <v>486</v>
      </c>
      <c r="E280" s="5" t="s">
        <v>18</v>
      </c>
      <c r="F280" s="5">
        <v>34.0</v>
      </c>
      <c r="G280" s="5">
        <v>0.0</v>
      </c>
      <c r="H280" s="5">
        <v>0.0</v>
      </c>
      <c r="I280" s="5">
        <v>12233.0</v>
      </c>
      <c r="J280" s="5">
        <v>13.0</v>
      </c>
      <c r="K280" s="5"/>
      <c r="L280" s="5" t="s">
        <v>16</v>
      </c>
      <c r="M280" s="5"/>
    </row>
    <row r="281" ht="14.25" customHeight="1">
      <c r="A281" s="5">
        <v>214.0</v>
      </c>
      <c r="B281" s="5">
        <v>0.0</v>
      </c>
      <c r="C281" s="5">
        <v>2.0</v>
      </c>
      <c r="D281" s="5" t="s">
        <v>487</v>
      </c>
      <c r="E281" s="5" t="s">
        <v>18</v>
      </c>
      <c r="F281" s="5">
        <v>30.0</v>
      </c>
      <c r="G281" s="5">
        <v>0.0</v>
      </c>
      <c r="H281" s="5">
        <v>0.0</v>
      </c>
      <c r="I281" s="5">
        <v>250646.0</v>
      </c>
      <c r="J281" s="5">
        <v>13.0</v>
      </c>
      <c r="K281" s="5"/>
      <c r="L281" s="5" t="s">
        <v>16</v>
      </c>
      <c r="M281" s="5"/>
    </row>
    <row r="282" ht="14.25" customHeight="1">
      <c r="A282" s="5">
        <v>715.0</v>
      </c>
      <c r="B282" s="5">
        <v>0.0</v>
      </c>
      <c r="C282" s="5">
        <v>2.0</v>
      </c>
      <c r="D282" s="5" t="s">
        <v>488</v>
      </c>
      <c r="E282" s="5" t="s">
        <v>18</v>
      </c>
      <c r="F282" s="5">
        <v>52.0</v>
      </c>
      <c r="G282" s="5">
        <v>0.0</v>
      </c>
      <c r="H282" s="5">
        <v>0.0</v>
      </c>
      <c r="I282" s="5">
        <v>250647.0</v>
      </c>
      <c r="J282" s="5">
        <v>13.0</v>
      </c>
      <c r="K282" s="5"/>
      <c r="L282" s="5" t="s">
        <v>16</v>
      </c>
      <c r="M282" s="5"/>
    </row>
    <row r="283" ht="14.25" customHeight="1">
      <c r="A283" s="5">
        <v>179.0</v>
      </c>
      <c r="B283" s="5">
        <v>0.0</v>
      </c>
      <c r="C283" s="5">
        <v>2.0</v>
      </c>
      <c r="D283" s="5" t="s">
        <v>489</v>
      </c>
      <c r="E283" s="5" t="s">
        <v>18</v>
      </c>
      <c r="F283" s="5">
        <v>30.0</v>
      </c>
      <c r="G283" s="5">
        <v>0.0</v>
      </c>
      <c r="H283" s="5">
        <v>0.0</v>
      </c>
      <c r="I283" s="5">
        <v>250653.0</v>
      </c>
      <c r="J283" s="5">
        <v>13.0</v>
      </c>
      <c r="K283" s="5"/>
      <c r="L283" s="5" t="s">
        <v>16</v>
      </c>
      <c r="M283" s="5"/>
    </row>
    <row r="284" ht="14.25" customHeight="1">
      <c r="A284" s="5">
        <v>756.0</v>
      </c>
      <c r="B284" s="5">
        <v>1.0</v>
      </c>
      <c r="C284" s="5">
        <v>2.0</v>
      </c>
      <c r="D284" s="5" t="s">
        <v>490</v>
      </c>
      <c r="E284" s="5" t="s">
        <v>18</v>
      </c>
      <c r="F284" s="5">
        <v>0.67</v>
      </c>
      <c r="G284" s="5">
        <v>1.0</v>
      </c>
      <c r="H284" s="5">
        <v>1.0</v>
      </c>
      <c r="I284" s="5">
        <v>250649.0</v>
      </c>
      <c r="J284" s="5">
        <v>14.5</v>
      </c>
      <c r="K284" s="5"/>
      <c r="L284" s="5" t="s">
        <v>16</v>
      </c>
      <c r="M284" s="5"/>
    </row>
    <row r="285" ht="14.25" customHeight="1">
      <c r="A285" s="5">
        <v>248.0</v>
      </c>
      <c r="B285" s="5">
        <v>1.0</v>
      </c>
      <c r="C285" s="5">
        <v>2.0</v>
      </c>
      <c r="D285" s="5" t="s">
        <v>491</v>
      </c>
      <c r="E285" s="5" t="s">
        <v>14</v>
      </c>
      <c r="F285" s="5">
        <v>24.0</v>
      </c>
      <c r="G285" s="5">
        <v>0.0</v>
      </c>
      <c r="H285" s="5">
        <v>2.0</v>
      </c>
      <c r="I285" s="5">
        <v>250649.0</v>
      </c>
      <c r="J285" s="5">
        <v>14.5</v>
      </c>
      <c r="K285" s="5"/>
      <c r="L285" s="5" t="s">
        <v>16</v>
      </c>
      <c r="M285" s="5"/>
    </row>
    <row r="286" ht="14.25" customHeight="1">
      <c r="A286" s="5">
        <v>721.0</v>
      </c>
      <c r="B286" s="5">
        <v>1.0</v>
      </c>
      <c r="C286" s="5">
        <v>2.0</v>
      </c>
      <c r="D286" s="5" t="s">
        <v>492</v>
      </c>
      <c r="E286" s="5" t="s">
        <v>14</v>
      </c>
      <c r="F286" s="5">
        <v>6.0</v>
      </c>
      <c r="G286" s="5">
        <v>0.0</v>
      </c>
      <c r="H286" s="5">
        <v>1.0</v>
      </c>
      <c r="I286" s="5">
        <v>248727.0</v>
      </c>
      <c r="J286" s="5">
        <v>33.0</v>
      </c>
      <c r="K286" s="5"/>
      <c r="L286" s="5" t="s">
        <v>16</v>
      </c>
      <c r="M286" s="5"/>
    </row>
    <row r="287" ht="14.25" customHeight="1">
      <c r="A287" s="5">
        <v>849.0</v>
      </c>
      <c r="B287" s="5">
        <v>0.0</v>
      </c>
      <c r="C287" s="5">
        <v>2.0</v>
      </c>
      <c r="D287" s="5" t="s">
        <v>493</v>
      </c>
      <c r="E287" s="5" t="s">
        <v>18</v>
      </c>
      <c r="F287" s="5">
        <v>28.0</v>
      </c>
      <c r="G287" s="5">
        <v>0.0</v>
      </c>
      <c r="H287" s="5">
        <v>1.0</v>
      </c>
      <c r="I287" s="5">
        <v>248727.0</v>
      </c>
      <c r="J287" s="5">
        <v>33.0</v>
      </c>
      <c r="K287" s="5"/>
      <c r="L287" s="5" t="s">
        <v>16</v>
      </c>
      <c r="M287" s="5"/>
    </row>
    <row r="288" ht="14.25" customHeight="1">
      <c r="A288" s="5">
        <v>571.0</v>
      </c>
      <c r="B288" s="5">
        <v>1.0</v>
      </c>
      <c r="C288" s="5">
        <v>2.0</v>
      </c>
      <c r="D288" s="5" t="s">
        <v>494</v>
      </c>
      <c r="E288" s="5" t="s">
        <v>18</v>
      </c>
      <c r="F288" s="5">
        <v>62.0</v>
      </c>
      <c r="G288" s="5">
        <v>0.0</v>
      </c>
      <c r="H288" s="5">
        <v>0.0</v>
      </c>
      <c r="I288" s="5" t="s">
        <v>495</v>
      </c>
      <c r="J288" s="5">
        <v>10.5</v>
      </c>
      <c r="K288" s="5"/>
      <c r="L288" s="5" t="s">
        <v>16</v>
      </c>
      <c r="M288" s="5"/>
    </row>
    <row r="289" ht="14.25" customHeight="1">
      <c r="A289" s="5">
        <v>220.0</v>
      </c>
      <c r="B289" s="5">
        <v>0.0</v>
      </c>
      <c r="C289" s="5">
        <v>2.0</v>
      </c>
      <c r="D289" s="5" t="s">
        <v>496</v>
      </c>
      <c r="E289" s="5" t="s">
        <v>18</v>
      </c>
      <c r="F289" s="5">
        <v>30.0</v>
      </c>
      <c r="G289" s="5">
        <v>0.0</v>
      </c>
      <c r="H289" s="5">
        <v>0.0</v>
      </c>
      <c r="I289" s="5" t="s">
        <v>497</v>
      </c>
      <c r="J289" s="5">
        <v>10.5</v>
      </c>
      <c r="K289" s="5"/>
      <c r="L289" s="5" t="s">
        <v>16</v>
      </c>
      <c r="M289" s="5"/>
    </row>
    <row r="290" ht="14.25" customHeight="1">
      <c r="A290" s="5">
        <v>536.0</v>
      </c>
      <c r="B290" s="5">
        <v>1.0</v>
      </c>
      <c r="C290" s="5">
        <v>2.0</v>
      </c>
      <c r="D290" s="5" t="s">
        <v>498</v>
      </c>
      <c r="E290" s="5" t="s">
        <v>14</v>
      </c>
      <c r="F290" s="5">
        <v>7.0</v>
      </c>
      <c r="G290" s="5">
        <v>0.0</v>
      </c>
      <c r="H290" s="5">
        <v>2.0</v>
      </c>
      <c r="I290" s="5" t="s">
        <v>499</v>
      </c>
      <c r="J290" s="5">
        <v>26.25</v>
      </c>
      <c r="K290" s="5"/>
      <c r="L290" s="5" t="s">
        <v>16</v>
      </c>
      <c r="M290" s="5"/>
    </row>
    <row r="291" ht="14.25" customHeight="1">
      <c r="A291" s="5">
        <v>315.0</v>
      </c>
      <c r="B291" s="5">
        <v>0.0</v>
      </c>
      <c r="C291" s="5">
        <v>2.0</v>
      </c>
      <c r="D291" s="5" t="s">
        <v>500</v>
      </c>
      <c r="E291" s="5" t="s">
        <v>18</v>
      </c>
      <c r="F291" s="5">
        <v>43.0</v>
      </c>
      <c r="G291" s="5">
        <v>1.0</v>
      </c>
      <c r="H291" s="5">
        <v>1.0</v>
      </c>
      <c r="I291" s="5" t="s">
        <v>499</v>
      </c>
      <c r="J291" s="5">
        <v>26.25</v>
      </c>
      <c r="K291" s="5"/>
      <c r="L291" s="5" t="s">
        <v>16</v>
      </c>
      <c r="M291" s="5"/>
    </row>
    <row r="292" ht="14.25" customHeight="1">
      <c r="A292" s="5">
        <v>441.0</v>
      </c>
      <c r="B292" s="5">
        <v>1.0</v>
      </c>
      <c r="C292" s="5">
        <v>2.0</v>
      </c>
      <c r="D292" s="5" t="s">
        <v>501</v>
      </c>
      <c r="E292" s="5" t="s">
        <v>14</v>
      </c>
      <c r="F292" s="5">
        <v>45.0</v>
      </c>
      <c r="G292" s="5">
        <v>1.0</v>
      </c>
      <c r="H292" s="5">
        <v>1.0</v>
      </c>
      <c r="I292" s="5" t="s">
        <v>499</v>
      </c>
      <c r="J292" s="5">
        <v>26.25</v>
      </c>
      <c r="K292" s="5"/>
      <c r="L292" s="5" t="s">
        <v>16</v>
      </c>
      <c r="M292" s="5"/>
    </row>
    <row r="293" ht="14.25" customHeight="1">
      <c r="A293" s="5">
        <v>616.0</v>
      </c>
      <c r="B293" s="5">
        <v>1.0</v>
      </c>
      <c r="C293" s="5">
        <v>2.0</v>
      </c>
      <c r="D293" s="5" t="s">
        <v>502</v>
      </c>
      <c r="E293" s="5" t="s">
        <v>14</v>
      </c>
      <c r="F293" s="5">
        <v>24.0</v>
      </c>
      <c r="G293" s="5">
        <v>1.0</v>
      </c>
      <c r="H293" s="5">
        <v>2.0</v>
      </c>
      <c r="I293" s="5">
        <v>220845.0</v>
      </c>
      <c r="J293" s="5">
        <v>65.0</v>
      </c>
      <c r="K293" s="5"/>
      <c r="L293" s="5" t="s">
        <v>16</v>
      </c>
      <c r="M293" s="5"/>
    </row>
    <row r="294" ht="14.25" customHeight="1">
      <c r="A294" s="5">
        <v>755.0</v>
      </c>
      <c r="B294" s="5">
        <v>1.0</v>
      </c>
      <c r="C294" s="5">
        <v>2.0</v>
      </c>
      <c r="D294" s="5" t="s">
        <v>503</v>
      </c>
      <c r="E294" s="5" t="s">
        <v>14</v>
      </c>
      <c r="F294" s="5">
        <v>48.0</v>
      </c>
      <c r="G294" s="5">
        <v>1.0</v>
      </c>
      <c r="H294" s="5">
        <v>2.0</v>
      </c>
      <c r="I294" s="5">
        <v>220845.0</v>
      </c>
      <c r="J294" s="5">
        <v>65.0</v>
      </c>
      <c r="K294" s="5"/>
      <c r="L294" s="5" t="s">
        <v>16</v>
      </c>
      <c r="M294" s="5"/>
    </row>
    <row r="295" ht="14.25" customHeight="1">
      <c r="A295" s="5">
        <v>16.0</v>
      </c>
      <c r="B295" s="5">
        <v>1.0</v>
      </c>
      <c r="C295" s="5">
        <v>2.0</v>
      </c>
      <c r="D295" s="5" t="s">
        <v>504</v>
      </c>
      <c r="E295" s="5" t="s">
        <v>14</v>
      </c>
      <c r="F295" s="5">
        <v>55.0</v>
      </c>
      <c r="G295" s="5">
        <v>0.0</v>
      </c>
      <c r="H295" s="5">
        <v>0.0</v>
      </c>
      <c r="I295" s="5">
        <v>248706.0</v>
      </c>
      <c r="J295" s="5">
        <v>16.0</v>
      </c>
      <c r="K295" s="5"/>
      <c r="L295" s="5" t="s">
        <v>16</v>
      </c>
      <c r="M295" s="5"/>
    </row>
    <row r="296" ht="14.25" customHeight="1">
      <c r="A296" s="5">
        <v>656.0</v>
      </c>
      <c r="B296" s="5">
        <v>0.0</v>
      </c>
      <c r="C296" s="5">
        <v>2.0</v>
      </c>
      <c r="D296" s="5" t="s">
        <v>505</v>
      </c>
      <c r="E296" s="5" t="s">
        <v>18</v>
      </c>
      <c r="F296" s="5">
        <v>24.0</v>
      </c>
      <c r="G296" s="5">
        <v>2.0</v>
      </c>
      <c r="H296" s="5">
        <v>0.0</v>
      </c>
      <c r="I296" s="5" t="s">
        <v>463</v>
      </c>
      <c r="J296" s="5">
        <v>73.5</v>
      </c>
      <c r="K296" s="5"/>
      <c r="L296" s="5" t="s">
        <v>16</v>
      </c>
      <c r="M296" s="5"/>
    </row>
    <row r="297" ht="14.25" customHeight="1">
      <c r="A297" s="5">
        <v>666.0</v>
      </c>
      <c r="B297" s="5">
        <v>0.0</v>
      </c>
      <c r="C297" s="5">
        <v>2.0</v>
      </c>
      <c r="D297" s="5" t="s">
        <v>506</v>
      </c>
      <c r="E297" s="5" t="s">
        <v>18</v>
      </c>
      <c r="F297" s="5">
        <v>32.0</v>
      </c>
      <c r="G297" s="5">
        <v>2.0</v>
      </c>
      <c r="H297" s="5">
        <v>0.0</v>
      </c>
      <c r="I297" s="5" t="s">
        <v>463</v>
      </c>
      <c r="J297" s="5">
        <v>73.5</v>
      </c>
      <c r="K297" s="5"/>
      <c r="L297" s="5" t="s">
        <v>16</v>
      </c>
      <c r="M297" s="5"/>
    </row>
    <row r="298" ht="14.25" customHeight="1">
      <c r="A298" s="5">
        <v>121.0</v>
      </c>
      <c r="B298" s="5">
        <v>0.0</v>
      </c>
      <c r="C298" s="5">
        <v>2.0</v>
      </c>
      <c r="D298" s="5" t="s">
        <v>507</v>
      </c>
      <c r="E298" s="5" t="s">
        <v>18</v>
      </c>
      <c r="F298" s="5">
        <v>21.0</v>
      </c>
      <c r="G298" s="5">
        <v>2.0</v>
      </c>
      <c r="H298" s="5">
        <v>0.0</v>
      </c>
      <c r="I298" s="5" t="s">
        <v>463</v>
      </c>
      <c r="J298" s="5">
        <v>73.5</v>
      </c>
      <c r="K298" s="5"/>
      <c r="L298" s="5" t="s">
        <v>16</v>
      </c>
      <c r="M298" s="5"/>
    </row>
    <row r="299" ht="14.25" customHeight="1">
      <c r="A299" s="5">
        <v>530.0</v>
      </c>
      <c r="B299" s="5">
        <v>0.0</v>
      </c>
      <c r="C299" s="5">
        <v>2.0</v>
      </c>
      <c r="D299" s="5" t="s">
        <v>508</v>
      </c>
      <c r="E299" s="5" t="s">
        <v>18</v>
      </c>
      <c r="F299" s="5">
        <v>23.0</v>
      </c>
      <c r="G299" s="5">
        <v>2.0</v>
      </c>
      <c r="H299" s="5">
        <v>1.0</v>
      </c>
      <c r="I299" s="5">
        <v>29104.0</v>
      </c>
      <c r="J299" s="5">
        <v>11.5</v>
      </c>
      <c r="K299" s="5"/>
      <c r="L299" s="5" t="s">
        <v>16</v>
      </c>
      <c r="M299" s="5"/>
    </row>
    <row r="300" ht="14.25" customHeight="1">
      <c r="A300" s="5">
        <v>775.0</v>
      </c>
      <c r="B300" s="5">
        <v>1.0</v>
      </c>
      <c r="C300" s="5">
        <v>2.0</v>
      </c>
      <c r="D300" s="5" t="s">
        <v>509</v>
      </c>
      <c r="E300" s="5" t="s">
        <v>14</v>
      </c>
      <c r="F300" s="5">
        <v>54.0</v>
      </c>
      <c r="G300" s="5">
        <v>1.0</v>
      </c>
      <c r="H300" s="5">
        <v>3.0</v>
      </c>
      <c r="I300" s="5">
        <v>29105.0</v>
      </c>
      <c r="J300" s="5">
        <v>23.0</v>
      </c>
      <c r="K300" s="5"/>
      <c r="L300" s="5" t="s">
        <v>16</v>
      </c>
      <c r="M300" s="5"/>
    </row>
    <row r="301" ht="14.25" customHeight="1">
      <c r="A301" s="5">
        <v>724.0</v>
      </c>
      <c r="B301" s="5">
        <v>0.0</v>
      </c>
      <c r="C301" s="5">
        <v>2.0</v>
      </c>
      <c r="D301" s="5" t="s">
        <v>510</v>
      </c>
      <c r="E301" s="5" t="s">
        <v>18</v>
      </c>
      <c r="F301" s="5">
        <v>50.0</v>
      </c>
      <c r="G301" s="5">
        <v>0.0</v>
      </c>
      <c r="H301" s="5">
        <v>0.0</v>
      </c>
      <c r="I301" s="5">
        <v>250643.0</v>
      </c>
      <c r="J301" s="5">
        <v>13.0</v>
      </c>
      <c r="K301" s="5"/>
      <c r="L301" s="5" t="s">
        <v>16</v>
      </c>
      <c r="M301" s="5"/>
    </row>
    <row r="302" ht="14.25" customHeight="1">
      <c r="A302" s="5">
        <v>237.0</v>
      </c>
      <c r="B302" s="5">
        <v>0.0</v>
      </c>
      <c r="C302" s="5">
        <v>2.0</v>
      </c>
      <c r="D302" s="5" t="s">
        <v>511</v>
      </c>
      <c r="E302" s="5" t="s">
        <v>18</v>
      </c>
      <c r="F302" s="5">
        <v>44.0</v>
      </c>
      <c r="G302" s="5">
        <v>1.0</v>
      </c>
      <c r="H302" s="5">
        <v>0.0</v>
      </c>
      <c r="I302" s="5">
        <v>26707.0</v>
      </c>
      <c r="J302" s="5">
        <v>26.0</v>
      </c>
      <c r="K302" s="5"/>
      <c r="L302" s="5" t="s">
        <v>16</v>
      </c>
      <c r="M302" s="5"/>
    </row>
    <row r="303" ht="14.25" customHeight="1">
      <c r="A303" s="5">
        <v>73.0</v>
      </c>
      <c r="B303" s="5">
        <v>0.0</v>
      </c>
      <c r="C303" s="5">
        <v>2.0</v>
      </c>
      <c r="D303" s="5" t="s">
        <v>512</v>
      </c>
      <c r="E303" s="5" t="s">
        <v>18</v>
      </c>
      <c r="F303" s="5">
        <v>21.0</v>
      </c>
      <c r="G303" s="5">
        <v>0.0</v>
      </c>
      <c r="H303" s="5">
        <v>0.0</v>
      </c>
      <c r="I303" s="5" t="s">
        <v>463</v>
      </c>
      <c r="J303" s="5">
        <v>73.5</v>
      </c>
      <c r="K303" s="5"/>
      <c r="L303" s="5" t="s">
        <v>16</v>
      </c>
      <c r="M303" s="5"/>
    </row>
    <row r="304" ht="14.25" customHeight="1">
      <c r="A304" s="5">
        <v>289.0</v>
      </c>
      <c r="B304" s="5">
        <v>1.0</v>
      </c>
      <c r="C304" s="5">
        <v>2.0</v>
      </c>
      <c r="D304" s="5" t="s">
        <v>513</v>
      </c>
      <c r="E304" s="5" t="s">
        <v>18</v>
      </c>
      <c r="F304" s="5">
        <v>42.0</v>
      </c>
      <c r="G304" s="5">
        <v>0.0</v>
      </c>
      <c r="H304" s="5">
        <v>0.0</v>
      </c>
      <c r="I304" s="5">
        <v>237798.0</v>
      </c>
      <c r="J304" s="5">
        <v>13.0</v>
      </c>
      <c r="K304" s="5"/>
      <c r="L304" s="5" t="s">
        <v>16</v>
      </c>
      <c r="M304" s="5"/>
    </row>
    <row r="305" ht="14.25" customHeight="1">
      <c r="A305" s="5">
        <v>240.0</v>
      </c>
      <c r="B305" s="5">
        <v>0.0</v>
      </c>
      <c r="C305" s="5">
        <v>2.0</v>
      </c>
      <c r="D305" s="5" t="s">
        <v>514</v>
      </c>
      <c r="E305" s="5" t="s">
        <v>18</v>
      </c>
      <c r="F305" s="5">
        <v>33.0</v>
      </c>
      <c r="G305" s="5">
        <v>0.0</v>
      </c>
      <c r="H305" s="5">
        <v>0.0</v>
      </c>
      <c r="I305" s="5" t="s">
        <v>515</v>
      </c>
      <c r="J305" s="5">
        <v>12.275</v>
      </c>
      <c r="K305" s="5"/>
      <c r="L305" s="5" t="s">
        <v>16</v>
      </c>
      <c r="M305" s="5"/>
    </row>
    <row r="306" ht="14.25" customHeight="1">
      <c r="A306" s="5">
        <v>85.0</v>
      </c>
      <c r="B306" s="5">
        <v>1.0</v>
      </c>
      <c r="C306" s="5">
        <v>2.0</v>
      </c>
      <c r="D306" s="5" t="s">
        <v>516</v>
      </c>
      <c r="E306" s="5" t="s">
        <v>14</v>
      </c>
      <c r="F306" s="5">
        <v>17.0</v>
      </c>
      <c r="G306" s="5">
        <v>0.0</v>
      </c>
      <c r="H306" s="5">
        <v>0.0</v>
      </c>
      <c r="I306" s="5" t="s">
        <v>517</v>
      </c>
      <c r="J306" s="5">
        <v>10.5</v>
      </c>
      <c r="K306" s="5"/>
      <c r="L306" s="5" t="s">
        <v>16</v>
      </c>
      <c r="M306" s="5"/>
    </row>
    <row r="307" ht="14.25" customHeight="1">
      <c r="A307" s="5">
        <v>218.0</v>
      </c>
      <c r="B307" s="5">
        <v>0.0</v>
      </c>
      <c r="C307" s="5">
        <v>2.0</v>
      </c>
      <c r="D307" s="5" t="s">
        <v>518</v>
      </c>
      <c r="E307" s="5" t="s">
        <v>18</v>
      </c>
      <c r="F307" s="5">
        <v>42.0</v>
      </c>
      <c r="G307" s="5">
        <v>1.0</v>
      </c>
      <c r="H307" s="5">
        <v>0.0</v>
      </c>
      <c r="I307" s="5">
        <v>243847.0</v>
      </c>
      <c r="J307" s="5">
        <v>27.0</v>
      </c>
      <c r="K307" s="5"/>
      <c r="L307" s="5" t="s">
        <v>16</v>
      </c>
      <c r="M307" s="5"/>
    </row>
    <row r="308" ht="14.25" customHeight="1">
      <c r="A308" s="5">
        <v>601.0</v>
      </c>
      <c r="B308" s="5">
        <v>1.0</v>
      </c>
      <c r="C308" s="5">
        <v>2.0</v>
      </c>
      <c r="D308" s="5" t="s">
        <v>519</v>
      </c>
      <c r="E308" s="5" t="s">
        <v>14</v>
      </c>
      <c r="F308" s="5">
        <v>24.0</v>
      </c>
      <c r="G308" s="5">
        <v>2.0</v>
      </c>
      <c r="H308" s="5">
        <v>1.0</v>
      </c>
      <c r="I308" s="5">
        <v>243847.0</v>
      </c>
      <c r="J308" s="5">
        <v>27.0</v>
      </c>
      <c r="K308" s="5"/>
      <c r="L308" s="5" t="s">
        <v>16</v>
      </c>
      <c r="M308" s="5"/>
    </row>
    <row r="309" ht="14.25" customHeight="1">
      <c r="A309" s="5">
        <v>587.0</v>
      </c>
      <c r="B309" s="5">
        <v>0.0</v>
      </c>
      <c r="C309" s="5">
        <v>2.0</v>
      </c>
      <c r="D309" s="5" t="s">
        <v>520</v>
      </c>
      <c r="E309" s="5" t="s">
        <v>18</v>
      </c>
      <c r="F309" s="5">
        <v>47.0</v>
      </c>
      <c r="G309" s="5">
        <v>0.0</v>
      </c>
      <c r="H309" s="5">
        <v>0.0</v>
      </c>
      <c r="I309" s="5">
        <v>237565.0</v>
      </c>
      <c r="J309" s="5">
        <v>15.0</v>
      </c>
      <c r="K309" s="5"/>
      <c r="L309" s="5" t="s">
        <v>16</v>
      </c>
      <c r="M309" s="5"/>
    </row>
    <row r="310" ht="14.25" customHeight="1">
      <c r="A310" s="5">
        <v>71.0</v>
      </c>
      <c r="B310" s="5">
        <v>0.0</v>
      </c>
      <c r="C310" s="5">
        <v>2.0</v>
      </c>
      <c r="D310" s="5" t="s">
        <v>521</v>
      </c>
      <c r="E310" s="5" t="s">
        <v>18</v>
      </c>
      <c r="F310" s="5">
        <v>32.0</v>
      </c>
      <c r="G310" s="5">
        <v>0.0</v>
      </c>
      <c r="H310" s="5">
        <v>0.0</v>
      </c>
      <c r="I310" s="5" t="s">
        <v>522</v>
      </c>
      <c r="J310" s="5">
        <v>10.5</v>
      </c>
      <c r="K310" s="5"/>
      <c r="L310" s="5" t="s">
        <v>16</v>
      </c>
      <c r="M310" s="5"/>
    </row>
    <row r="311" ht="14.25" customHeight="1">
      <c r="A311" s="5">
        <v>474.0</v>
      </c>
      <c r="B311" s="5">
        <v>1.0</v>
      </c>
      <c r="C311" s="5">
        <v>2.0</v>
      </c>
      <c r="D311" s="5" t="s">
        <v>523</v>
      </c>
      <c r="E311" s="5" t="s">
        <v>14</v>
      </c>
      <c r="F311" s="5">
        <v>23.0</v>
      </c>
      <c r="G311" s="5">
        <v>0.0</v>
      </c>
      <c r="H311" s="5">
        <v>0.0</v>
      </c>
      <c r="I311" s="5" t="s">
        <v>524</v>
      </c>
      <c r="J311" s="5">
        <v>13.7917</v>
      </c>
      <c r="K311" s="5" t="s">
        <v>416</v>
      </c>
      <c r="L311" s="5" t="s">
        <v>32</v>
      </c>
      <c r="M311" s="5"/>
    </row>
    <row r="312" ht="14.25" customHeight="1">
      <c r="A312" s="5">
        <v>100.0</v>
      </c>
      <c r="B312" s="5">
        <v>0.0</v>
      </c>
      <c r="C312" s="5">
        <v>2.0</v>
      </c>
      <c r="D312" s="5" t="s">
        <v>525</v>
      </c>
      <c r="E312" s="5" t="s">
        <v>18</v>
      </c>
      <c r="F312" s="5">
        <v>34.0</v>
      </c>
      <c r="G312" s="5">
        <v>1.0</v>
      </c>
      <c r="H312" s="5">
        <v>0.0</v>
      </c>
      <c r="I312" s="5">
        <v>244367.0</v>
      </c>
      <c r="J312" s="5">
        <v>26.0</v>
      </c>
      <c r="K312" s="5"/>
      <c r="L312" s="5" t="s">
        <v>16</v>
      </c>
      <c r="M312" s="5"/>
    </row>
    <row r="313" ht="14.25" customHeight="1">
      <c r="A313" s="5">
        <v>317.0</v>
      </c>
      <c r="B313" s="5">
        <v>1.0</v>
      </c>
      <c r="C313" s="5">
        <v>2.0</v>
      </c>
      <c r="D313" s="5" t="s">
        <v>526</v>
      </c>
      <c r="E313" s="5" t="s">
        <v>14</v>
      </c>
      <c r="F313" s="5">
        <v>24.0</v>
      </c>
      <c r="G313" s="5">
        <v>1.0</v>
      </c>
      <c r="H313" s="5">
        <v>0.0</v>
      </c>
      <c r="I313" s="5">
        <v>244367.0</v>
      </c>
      <c r="J313" s="5">
        <v>26.0</v>
      </c>
      <c r="K313" s="5"/>
      <c r="L313" s="5" t="s">
        <v>16</v>
      </c>
      <c r="M313" s="5"/>
    </row>
    <row r="314" ht="14.25" customHeight="1">
      <c r="A314" s="5">
        <v>304.0</v>
      </c>
      <c r="B314" s="5">
        <v>1.0</v>
      </c>
      <c r="C314" s="5">
        <v>2.0</v>
      </c>
      <c r="D314" s="5" t="s">
        <v>527</v>
      </c>
      <c r="E314" s="5" t="s">
        <v>14</v>
      </c>
      <c r="F314" s="5"/>
      <c r="G314" s="5">
        <v>0.0</v>
      </c>
      <c r="H314" s="5">
        <v>0.0</v>
      </c>
      <c r="I314" s="5">
        <v>226593.0</v>
      </c>
      <c r="J314" s="5">
        <v>12.35</v>
      </c>
      <c r="K314" s="5" t="s">
        <v>528</v>
      </c>
      <c r="L314" s="5" t="s">
        <v>279</v>
      </c>
      <c r="M314" s="5"/>
    </row>
    <row r="315" ht="14.25" customHeight="1">
      <c r="A315" s="5">
        <v>707.0</v>
      </c>
      <c r="B315" s="5">
        <v>1.0</v>
      </c>
      <c r="C315" s="5">
        <v>2.0</v>
      </c>
      <c r="D315" s="5" t="s">
        <v>529</v>
      </c>
      <c r="E315" s="5" t="s">
        <v>14</v>
      </c>
      <c r="F315" s="5">
        <v>45.0</v>
      </c>
      <c r="G315" s="5">
        <v>0.0</v>
      </c>
      <c r="H315" s="5">
        <v>0.0</v>
      </c>
      <c r="I315" s="5">
        <v>223596.0</v>
      </c>
      <c r="J315" s="5">
        <v>13.5</v>
      </c>
      <c r="K315" s="5"/>
      <c r="L315" s="5" t="s">
        <v>16</v>
      </c>
      <c r="M315" s="5"/>
    </row>
    <row r="316" ht="14.25" customHeight="1">
      <c r="A316" s="5">
        <v>627.0</v>
      </c>
      <c r="B316" s="5">
        <v>0.0</v>
      </c>
      <c r="C316" s="5">
        <v>2.0</v>
      </c>
      <c r="D316" s="5" t="s">
        <v>530</v>
      </c>
      <c r="E316" s="5" t="s">
        <v>18</v>
      </c>
      <c r="F316" s="5">
        <v>57.0</v>
      </c>
      <c r="G316" s="5">
        <v>0.0</v>
      </c>
      <c r="H316" s="5">
        <v>0.0</v>
      </c>
      <c r="I316" s="5">
        <v>219533.0</v>
      </c>
      <c r="J316" s="5">
        <v>12.35</v>
      </c>
      <c r="K316" s="5"/>
      <c r="L316" s="5" t="s">
        <v>279</v>
      </c>
      <c r="M316" s="5"/>
    </row>
    <row r="317" ht="14.25" customHeight="1">
      <c r="A317" s="5">
        <v>733.0</v>
      </c>
      <c r="B317" s="5">
        <v>0.0</v>
      </c>
      <c r="C317" s="5">
        <v>2.0</v>
      </c>
      <c r="D317" s="5" t="s">
        <v>531</v>
      </c>
      <c r="E317" s="5" t="s">
        <v>18</v>
      </c>
      <c r="F317" s="5"/>
      <c r="G317" s="5">
        <v>0.0</v>
      </c>
      <c r="H317" s="5">
        <v>0.0</v>
      </c>
      <c r="I317" s="5">
        <v>239855.0</v>
      </c>
      <c r="J317" s="5">
        <v>0.0</v>
      </c>
      <c r="K317" s="5"/>
      <c r="L317" s="5" t="s">
        <v>16</v>
      </c>
      <c r="M317" s="5"/>
    </row>
    <row r="318" ht="14.25" customHeight="1">
      <c r="A318" s="5">
        <v>440.0</v>
      </c>
      <c r="B318" s="5">
        <v>0.0</v>
      </c>
      <c r="C318" s="5">
        <v>2.0</v>
      </c>
      <c r="D318" s="5" t="s">
        <v>532</v>
      </c>
      <c r="E318" s="5" t="s">
        <v>18</v>
      </c>
      <c r="F318" s="5">
        <v>31.0</v>
      </c>
      <c r="G318" s="5">
        <v>0.0</v>
      </c>
      <c r="H318" s="5">
        <v>0.0</v>
      </c>
      <c r="I318" s="5" t="s">
        <v>533</v>
      </c>
      <c r="J318" s="5">
        <v>10.5</v>
      </c>
      <c r="K318" s="5"/>
      <c r="L318" s="5" t="s">
        <v>16</v>
      </c>
      <c r="M318" s="5"/>
    </row>
    <row r="319" ht="14.25" customHeight="1">
      <c r="A319" s="5">
        <v>313.0</v>
      </c>
      <c r="B319" s="5">
        <v>0.0</v>
      </c>
      <c r="C319" s="5">
        <v>2.0</v>
      </c>
      <c r="D319" s="5" t="s">
        <v>534</v>
      </c>
      <c r="E319" s="5" t="s">
        <v>14</v>
      </c>
      <c r="F319" s="5">
        <v>26.0</v>
      </c>
      <c r="G319" s="5">
        <v>1.0</v>
      </c>
      <c r="H319" s="5">
        <v>1.0</v>
      </c>
      <c r="I319" s="5">
        <v>250651.0</v>
      </c>
      <c r="J319" s="5">
        <v>26.0</v>
      </c>
      <c r="K319" s="5"/>
      <c r="L319" s="5" t="s">
        <v>16</v>
      </c>
      <c r="M319" s="5"/>
    </row>
    <row r="320" ht="14.25" customHeight="1">
      <c r="A320" s="5">
        <v>44.0</v>
      </c>
      <c r="B320" s="5">
        <v>1.0</v>
      </c>
      <c r="C320" s="5">
        <v>2.0</v>
      </c>
      <c r="D320" s="5" t="s">
        <v>535</v>
      </c>
      <c r="E320" s="5" t="s">
        <v>14</v>
      </c>
      <c r="F320" s="5">
        <v>3.0</v>
      </c>
      <c r="G320" s="5">
        <v>1.0</v>
      </c>
      <c r="H320" s="5">
        <v>2.0</v>
      </c>
      <c r="I320" s="5" t="s">
        <v>536</v>
      </c>
      <c r="J320" s="5">
        <v>41.5792</v>
      </c>
      <c r="K320" s="5"/>
      <c r="L320" s="5" t="s">
        <v>32</v>
      </c>
      <c r="M320" s="5"/>
    </row>
    <row r="321" ht="14.25" customHeight="1">
      <c r="A321" s="5">
        <v>686.0</v>
      </c>
      <c r="B321" s="5">
        <v>0.0</v>
      </c>
      <c r="C321" s="5">
        <v>2.0</v>
      </c>
      <c r="D321" s="5" t="s">
        <v>537</v>
      </c>
      <c r="E321" s="5" t="s">
        <v>18</v>
      </c>
      <c r="F321" s="5">
        <v>25.0</v>
      </c>
      <c r="G321" s="5">
        <v>1.0</v>
      </c>
      <c r="H321" s="5">
        <v>2.0</v>
      </c>
      <c r="I321" s="5" t="s">
        <v>536</v>
      </c>
      <c r="J321" s="5">
        <v>41.5792</v>
      </c>
      <c r="K321" s="5"/>
      <c r="L321" s="5" t="s">
        <v>32</v>
      </c>
      <c r="M321" s="5"/>
    </row>
    <row r="322" ht="14.25" customHeight="1">
      <c r="A322" s="5">
        <v>609.0</v>
      </c>
      <c r="B322" s="5">
        <v>1.0</v>
      </c>
      <c r="C322" s="5">
        <v>2.0</v>
      </c>
      <c r="D322" s="5" t="s">
        <v>538</v>
      </c>
      <c r="E322" s="5" t="s">
        <v>14</v>
      </c>
      <c r="F322" s="5">
        <v>22.0</v>
      </c>
      <c r="G322" s="5">
        <v>1.0</v>
      </c>
      <c r="H322" s="5">
        <v>2.0</v>
      </c>
      <c r="I322" s="5" t="s">
        <v>536</v>
      </c>
      <c r="J322" s="5">
        <v>41.5792</v>
      </c>
      <c r="K322" s="5"/>
      <c r="L322" s="5" t="s">
        <v>32</v>
      </c>
      <c r="M322" s="5"/>
    </row>
    <row r="323" ht="14.25" customHeight="1">
      <c r="A323" s="5">
        <v>390.0</v>
      </c>
      <c r="B323" s="5">
        <v>1.0</v>
      </c>
      <c r="C323" s="5">
        <v>2.0</v>
      </c>
      <c r="D323" s="5" t="s">
        <v>539</v>
      </c>
      <c r="E323" s="5" t="s">
        <v>14</v>
      </c>
      <c r="F323" s="5">
        <v>17.0</v>
      </c>
      <c r="G323" s="5">
        <v>0.0</v>
      </c>
      <c r="H323" s="5">
        <v>0.0</v>
      </c>
      <c r="I323" s="5" t="s">
        <v>540</v>
      </c>
      <c r="J323" s="5">
        <v>12.0</v>
      </c>
      <c r="K323" s="5"/>
      <c r="L323" s="5" t="s">
        <v>32</v>
      </c>
      <c r="M323" s="5"/>
    </row>
    <row r="324" ht="14.25" customHeight="1">
      <c r="A324" s="5">
        <v>597.0</v>
      </c>
      <c r="B324" s="5">
        <v>1.0</v>
      </c>
      <c r="C324" s="5">
        <v>2.0</v>
      </c>
      <c r="D324" s="5" t="s">
        <v>541</v>
      </c>
      <c r="E324" s="5" t="s">
        <v>14</v>
      </c>
      <c r="F324" s="5"/>
      <c r="G324" s="5">
        <v>0.0</v>
      </c>
      <c r="H324" s="5">
        <v>0.0</v>
      </c>
      <c r="I324" s="5">
        <v>248727.0</v>
      </c>
      <c r="J324" s="5">
        <v>33.0</v>
      </c>
      <c r="K324" s="5"/>
      <c r="L324" s="5" t="s">
        <v>16</v>
      </c>
      <c r="M324" s="5"/>
    </row>
    <row r="325" ht="14.25" customHeight="1">
      <c r="A325" s="5">
        <v>517.0</v>
      </c>
      <c r="B325" s="5">
        <v>1.0</v>
      </c>
      <c r="C325" s="5">
        <v>2.0</v>
      </c>
      <c r="D325" s="5" t="s">
        <v>542</v>
      </c>
      <c r="E325" s="5" t="s">
        <v>14</v>
      </c>
      <c r="F325" s="5">
        <v>34.0</v>
      </c>
      <c r="G325" s="5">
        <v>0.0</v>
      </c>
      <c r="H325" s="5">
        <v>0.0</v>
      </c>
      <c r="I325" s="5" t="s">
        <v>543</v>
      </c>
      <c r="J325" s="5">
        <v>10.5</v>
      </c>
      <c r="K325" s="5" t="s">
        <v>431</v>
      </c>
      <c r="L325" s="5" t="s">
        <v>16</v>
      </c>
      <c r="M325" s="5"/>
    </row>
    <row r="326" ht="14.25" customHeight="1">
      <c r="A326" s="5">
        <v>293.0</v>
      </c>
      <c r="B326" s="5">
        <v>0.0</v>
      </c>
      <c r="C326" s="5">
        <v>2.0</v>
      </c>
      <c r="D326" s="5" t="s">
        <v>544</v>
      </c>
      <c r="E326" s="5" t="s">
        <v>18</v>
      </c>
      <c r="F326" s="5">
        <v>36.0</v>
      </c>
      <c r="G326" s="5">
        <v>0.0</v>
      </c>
      <c r="H326" s="5">
        <v>0.0</v>
      </c>
      <c r="I326" s="5" t="s">
        <v>545</v>
      </c>
      <c r="J326" s="5">
        <v>12.875</v>
      </c>
      <c r="K326" s="5" t="s">
        <v>416</v>
      </c>
      <c r="L326" s="5" t="s">
        <v>32</v>
      </c>
      <c r="M326" s="5"/>
    </row>
    <row r="327" ht="14.25" customHeight="1">
      <c r="A327" s="5">
        <v>235.0</v>
      </c>
      <c r="B327" s="5">
        <v>0.0</v>
      </c>
      <c r="C327" s="5">
        <v>2.0</v>
      </c>
      <c r="D327" s="5" t="s">
        <v>546</v>
      </c>
      <c r="E327" s="5" t="s">
        <v>18</v>
      </c>
      <c r="F327" s="5">
        <v>24.0</v>
      </c>
      <c r="G327" s="5">
        <v>0.0</v>
      </c>
      <c r="H327" s="5">
        <v>0.0</v>
      </c>
      <c r="I327" s="5" t="s">
        <v>547</v>
      </c>
      <c r="J327" s="5">
        <v>10.5</v>
      </c>
      <c r="K327" s="5"/>
      <c r="L327" s="5" t="s">
        <v>16</v>
      </c>
      <c r="M327" s="5"/>
    </row>
    <row r="328" ht="14.25" customHeight="1">
      <c r="A328" s="5">
        <v>433.0</v>
      </c>
      <c r="B328" s="5">
        <v>1.0</v>
      </c>
      <c r="C328" s="5">
        <v>2.0</v>
      </c>
      <c r="D328" s="5" t="s">
        <v>548</v>
      </c>
      <c r="E328" s="5" t="s">
        <v>14</v>
      </c>
      <c r="F328" s="5">
        <v>42.0</v>
      </c>
      <c r="G328" s="5">
        <v>1.0</v>
      </c>
      <c r="H328" s="5">
        <v>0.0</v>
      </c>
      <c r="I328" s="5" t="s">
        <v>549</v>
      </c>
      <c r="J328" s="5">
        <v>26.0</v>
      </c>
      <c r="K328" s="5"/>
      <c r="L328" s="5" t="s">
        <v>16</v>
      </c>
      <c r="M328" s="5"/>
    </row>
    <row r="329" ht="14.25" customHeight="1">
      <c r="A329" s="5">
        <v>773.0</v>
      </c>
      <c r="B329" s="5">
        <v>0.0</v>
      </c>
      <c r="C329" s="5">
        <v>2.0</v>
      </c>
      <c r="D329" s="5" t="s">
        <v>550</v>
      </c>
      <c r="E329" s="5" t="s">
        <v>14</v>
      </c>
      <c r="F329" s="5">
        <v>57.0</v>
      </c>
      <c r="G329" s="5">
        <v>0.0</v>
      </c>
      <c r="H329" s="5">
        <v>0.0</v>
      </c>
      <c r="I329" s="5" t="s">
        <v>551</v>
      </c>
      <c r="J329" s="5">
        <v>10.5</v>
      </c>
      <c r="K329" s="5" t="s">
        <v>552</v>
      </c>
      <c r="L329" s="5" t="s">
        <v>16</v>
      </c>
      <c r="M329" s="5"/>
    </row>
    <row r="330" ht="14.25" customHeight="1">
      <c r="A330" s="5">
        <v>828.0</v>
      </c>
      <c r="B330" s="5">
        <v>1.0</v>
      </c>
      <c r="C330" s="5">
        <v>2.0</v>
      </c>
      <c r="D330" s="5" t="s">
        <v>553</v>
      </c>
      <c r="E330" s="5" t="s">
        <v>18</v>
      </c>
      <c r="F330" s="5">
        <v>1.0</v>
      </c>
      <c r="G330" s="5">
        <v>0.0</v>
      </c>
      <c r="H330" s="5">
        <v>2.0</v>
      </c>
      <c r="I330" s="5" t="s">
        <v>554</v>
      </c>
      <c r="J330" s="5">
        <v>37.0042</v>
      </c>
      <c r="K330" s="5"/>
      <c r="L330" s="5" t="s">
        <v>32</v>
      </c>
      <c r="M330" s="5"/>
    </row>
    <row r="331" ht="14.25" customHeight="1">
      <c r="A331" s="5">
        <v>818.0</v>
      </c>
      <c r="B331" s="5">
        <v>0.0</v>
      </c>
      <c r="C331" s="5">
        <v>2.0</v>
      </c>
      <c r="D331" s="5" t="s">
        <v>555</v>
      </c>
      <c r="E331" s="5" t="s">
        <v>18</v>
      </c>
      <c r="F331" s="5">
        <v>31.0</v>
      </c>
      <c r="G331" s="5">
        <v>1.0</v>
      </c>
      <c r="H331" s="5">
        <v>1.0</v>
      </c>
      <c r="I331" s="5" t="s">
        <v>554</v>
      </c>
      <c r="J331" s="5">
        <v>37.0042</v>
      </c>
      <c r="K331" s="5"/>
      <c r="L331" s="5" t="s">
        <v>32</v>
      </c>
      <c r="M331" s="5"/>
    </row>
    <row r="332" ht="14.25" customHeight="1">
      <c r="A332" s="5">
        <v>419.0</v>
      </c>
      <c r="B332" s="5">
        <v>0.0</v>
      </c>
      <c r="C332" s="5">
        <v>2.0</v>
      </c>
      <c r="D332" s="5" t="s">
        <v>556</v>
      </c>
      <c r="E332" s="5" t="s">
        <v>18</v>
      </c>
      <c r="F332" s="5">
        <v>30.0</v>
      </c>
      <c r="G332" s="5">
        <v>0.0</v>
      </c>
      <c r="H332" s="5">
        <v>0.0</v>
      </c>
      <c r="I332" s="5">
        <v>28228.0</v>
      </c>
      <c r="J332" s="5">
        <v>13.0</v>
      </c>
      <c r="K332" s="5"/>
      <c r="L332" s="5" t="s">
        <v>16</v>
      </c>
      <c r="M332" s="5"/>
    </row>
    <row r="333" ht="14.25" customHeight="1">
      <c r="A333" s="5">
        <v>398.0</v>
      </c>
      <c r="B333" s="5">
        <v>0.0</v>
      </c>
      <c r="C333" s="5">
        <v>2.0</v>
      </c>
      <c r="D333" s="5" t="s">
        <v>557</v>
      </c>
      <c r="E333" s="5" t="s">
        <v>18</v>
      </c>
      <c r="F333" s="5">
        <v>46.0</v>
      </c>
      <c r="G333" s="5">
        <v>0.0</v>
      </c>
      <c r="H333" s="5">
        <v>0.0</v>
      </c>
      <c r="I333" s="5">
        <v>28403.0</v>
      </c>
      <c r="J333" s="5">
        <v>26.0</v>
      </c>
      <c r="K333" s="5"/>
      <c r="L333" s="5" t="s">
        <v>16</v>
      </c>
      <c r="M333" s="5"/>
    </row>
    <row r="334" ht="14.25" customHeight="1">
      <c r="A334" s="5">
        <v>447.0</v>
      </c>
      <c r="B334" s="5">
        <v>1.0</v>
      </c>
      <c r="C334" s="5">
        <v>2.0</v>
      </c>
      <c r="D334" s="5" t="s">
        <v>558</v>
      </c>
      <c r="E334" s="5" t="s">
        <v>14</v>
      </c>
      <c r="F334" s="5">
        <v>13.0</v>
      </c>
      <c r="G334" s="5">
        <v>0.0</v>
      </c>
      <c r="H334" s="5">
        <v>1.0</v>
      </c>
      <c r="I334" s="5">
        <v>250644.0</v>
      </c>
      <c r="J334" s="5">
        <v>19.5</v>
      </c>
      <c r="K334" s="5"/>
      <c r="L334" s="5" t="s">
        <v>16</v>
      </c>
      <c r="M334" s="5"/>
    </row>
    <row r="335" ht="14.25" customHeight="1">
      <c r="A335" s="5">
        <v>273.0</v>
      </c>
      <c r="B335" s="5">
        <v>1.0</v>
      </c>
      <c r="C335" s="5">
        <v>2.0</v>
      </c>
      <c r="D335" s="5" t="s">
        <v>559</v>
      </c>
      <c r="E335" s="5" t="s">
        <v>14</v>
      </c>
      <c r="F335" s="5">
        <v>41.0</v>
      </c>
      <c r="G335" s="5">
        <v>0.0</v>
      </c>
      <c r="H335" s="5">
        <v>1.0</v>
      </c>
      <c r="I335" s="5">
        <v>250644.0</v>
      </c>
      <c r="J335" s="5">
        <v>19.5</v>
      </c>
      <c r="K335" s="5"/>
      <c r="L335" s="5" t="s">
        <v>16</v>
      </c>
      <c r="M335" s="5"/>
    </row>
    <row r="336" ht="14.25" customHeight="1">
      <c r="A336" s="5">
        <v>227.0</v>
      </c>
      <c r="B336" s="5">
        <v>1.0</v>
      </c>
      <c r="C336" s="5">
        <v>2.0</v>
      </c>
      <c r="D336" s="5" t="s">
        <v>560</v>
      </c>
      <c r="E336" s="5" t="s">
        <v>18</v>
      </c>
      <c r="F336" s="5">
        <v>19.0</v>
      </c>
      <c r="G336" s="5">
        <v>0.0</v>
      </c>
      <c r="H336" s="5">
        <v>0.0</v>
      </c>
      <c r="I336" s="5" t="s">
        <v>561</v>
      </c>
      <c r="J336" s="5">
        <v>10.5</v>
      </c>
      <c r="K336" s="5"/>
      <c r="L336" s="5" t="s">
        <v>16</v>
      </c>
      <c r="M336" s="5"/>
    </row>
    <row r="337" ht="14.25" customHeight="1">
      <c r="A337" s="5">
        <v>809.0</v>
      </c>
      <c r="B337" s="5">
        <v>0.0</v>
      </c>
      <c r="C337" s="5">
        <v>2.0</v>
      </c>
      <c r="D337" s="5" t="s">
        <v>562</v>
      </c>
      <c r="E337" s="5" t="s">
        <v>18</v>
      </c>
      <c r="F337" s="5">
        <v>39.0</v>
      </c>
      <c r="G337" s="5">
        <v>0.0</v>
      </c>
      <c r="H337" s="5">
        <v>0.0</v>
      </c>
      <c r="I337" s="5">
        <v>248723.0</v>
      </c>
      <c r="J337" s="5">
        <v>13.0</v>
      </c>
      <c r="K337" s="5"/>
      <c r="L337" s="5" t="s">
        <v>16</v>
      </c>
      <c r="M337" s="5"/>
    </row>
    <row r="338" ht="14.25" customHeight="1">
      <c r="A338" s="5">
        <v>464.0</v>
      </c>
      <c r="B338" s="5">
        <v>0.0</v>
      </c>
      <c r="C338" s="5">
        <v>2.0</v>
      </c>
      <c r="D338" s="5" t="s">
        <v>563</v>
      </c>
      <c r="E338" s="5" t="s">
        <v>18</v>
      </c>
      <c r="F338" s="5">
        <v>48.0</v>
      </c>
      <c r="G338" s="5">
        <v>0.0</v>
      </c>
      <c r="H338" s="5">
        <v>0.0</v>
      </c>
      <c r="I338" s="5">
        <v>234360.0</v>
      </c>
      <c r="J338" s="5">
        <v>13.0</v>
      </c>
      <c r="K338" s="5"/>
      <c r="L338" s="5" t="s">
        <v>16</v>
      </c>
      <c r="M338" s="5"/>
    </row>
    <row r="339" ht="14.25" customHeight="1">
      <c r="A339" s="5">
        <v>673.0</v>
      </c>
      <c r="B339" s="5">
        <v>0.0</v>
      </c>
      <c r="C339" s="5">
        <v>2.0</v>
      </c>
      <c r="D339" s="5" t="s">
        <v>564</v>
      </c>
      <c r="E339" s="5" t="s">
        <v>18</v>
      </c>
      <c r="F339" s="5">
        <v>70.0</v>
      </c>
      <c r="G339" s="5">
        <v>0.0</v>
      </c>
      <c r="H339" s="5">
        <v>0.0</v>
      </c>
      <c r="I339" s="5" t="s">
        <v>565</v>
      </c>
      <c r="J339" s="5">
        <v>10.5</v>
      </c>
      <c r="K339" s="5"/>
      <c r="L339" s="5" t="s">
        <v>16</v>
      </c>
      <c r="M339" s="5"/>
    </row>
    <row r="340" ht="14.25" customHeight="1">
      <c r="A340" s="5">
        <v>887.0</v>
      </c>
      <c r="B340" s="5">
        <v>0.0</v>
      </c>
      <c r="C340" s="5">
        <v>2.0</v>
      </c>
      <c r="D340" s="5" t="s">
        <v>566</v>
      </c>
      <c r="E340" s="5" t="s">
        <v>18</v>
      </c>
      <c r="F340" s="5">
        <v>27.0</v>
      </c>
      <c r="G340" s="5">
        <v>0.0</v>
      </c>
      <c r="H340" s="5">
        <v>0.0</v>
      </c>
      <c r="I340" s="5">
        <v>211536.0</v>
      </c>
      <c r="J340" s="5">
        <v>13.0</v>
      </c>
      <c r="K340" s="5"/>
      <c r="L340" s="5" t="s">
        <v>16</v>
      </c>
      <c r="M340" s="5"/>
    </row>
    <row r="341" ht="14.25" customHeight="1">
      <c r="A341" s="5">
        <v>318.0</v>
      </c>
      <c r="B341" s="5">
        <v>0.0</v>
      </c>
      <c r="C341" s="5">
        <v>2.0</v>
      </c>
      <c r="D341" s="5" t="s">
        <v>567</v>
      </c>
      <c r="E341" s="5" t="s">
        <v>18</v>
      </c>
      <c r="F341" s="5">
        <v>54.0</v>
      </c>
      <c r="G341" s="5">
        <v>0.0</v>
      </c>
      <c r="H341" s="5">
        <v>0.0</v>
      </c>
      <c r="I341" s="5">
        <v>29011.0</v>
      </c>
      <c r="J341" s="5">
        <v>14.0</v>
      </c>
      <c r="K341" s="5"/>
      <c r="L341" s="5" t="s">
        <v>16</v>
      </c>
      <c r="M341" s="5"/>
    </row>
    <row r="342" ht="14.25" customHeight="1">
      <c r="A342" s="5">
        <v>706.0</v>
      </c>
      <c r="B342" s="5">
        <v>0.0</v>
      </c>
      <c r="C342" s="5">
        <v>2.0</v>
      </c>
      <c r="D342" s="5" t="s">
        <v>568</v>
      </c>
      <c r="E342" s="5" t="s">
        <v>18</v>
      </c>
      <c r="F342" s="5">
        <v>39.0</v>
      </c>
      <c r="G342" s="5">
        <v>0.0</v>
      </c>
      <c r="H342" s="5">
        <v>0.0</v>
      </c>
      <c r="I342" s="5">
        <v>250655.0</v>
      </c>
      <c r="J342" s="5">
        <v>26.0</v>
      </c>
      <c r="K342" s="5"/>
      <c r="L342" s="5" t="s">
        <v>16</v>
      </c>
      <c r="M342" s="5"/>
    </row>
    <row r="343" ht="14.25" customHeight="1">
      <c r="A343" s="5">
        <v>842.0</v>
      </c>
      <c r="B343" s="5">
        <v>0.0</v>
      </c>
      <c r="C343" s="5">
        <v>2.0</v>
      </c>
      <c r="D343" s="5" t="s">
        <v>569</v>
      </c>
      <c r="E343" s="5" t="s">
        <v>18</v>
      </c>
      <c r="F343" s="5">
        <v>16.0</v>
      </c>
      <c r="G343" s="5">
        <v>0.0</v>
      </c>
      <c r="H343" s="5">
        <v>0.0</v>
      </c>
      <c r="I343" s="5" t="s">
        <v>551</v>
      </c>
      <c r="J343" s="5">
        <v>10.5</v>
      </c>
      <c r="K343" s="5"/>
      <c r="L343" s="5" t="s">
        <v>16</v>
      </c>
      <c r="M343" s="5"/>
    </row>
    <row r="344" ht="14.25" customHeight="1">
      <c r="A344" s="5">
        <v>123.0</v>
      </c>
      <c r="B344" s="5">
        <v>0.0</v>
      </c>
      <c r="C344" s="5">
        <v>2.0</v>
      </c>
      <c r="D344" s="5" t="s">
        <v>570</v>
      </c>
      <c r="E344" s="5" t="s">
        <v>18</v>
      </c>
      <c r="F344" s="5">
        <v>32.5</v>
      </c>
      <c r="G344" s="5">
        <v>1.0</v>
      </c>
      <c r="H344" s="5">
        <v>0.0</v>
      </c>
      <c r="I344" s="5">
        <v>237736.0</v>
      </c>
      <c r="J344" s="5">
        <v>30.0708</v>
      </c>
      <c r="K344" s="5"/>
      <c r="L344" s="5" t="s">
        <v>32</v>
      </c>
      <c r="M344" s="5"/>
    </row>
    <row r="345" ht="14.25" customHeight="1">
      <c r="A345" s="5">
        <v>10.0</v>
      </c>
      <c r="B345" s="5">
        <v>1.0</v>
      </c>
      <c r="C345" s="5">
        <v>2.0</v>
      </c>
      <c r="D345" s="5" t="s">
        <v>571</v>
      </c>
      <c r="E345" s="5" t="s">
        <v>14</v>
      </c>
      <c r="F345" s="5">
        <v>14.0</v>
      </c>
      <c r="G345" s="5">
        <v>1.0</v>
      </c>
      <c r="H345" s="5">
        <v>0.0</v>
      </c>
      <c r="I345" s="5">
        <v>237736.0</v>
      </c>
      <c r="J345" s="5">
        <v>30.0708</v>
      </c>
      <c r="K345" s="5"/>
      <c r="L345" s="5" t="s">
        <v>32</v>
      </c>
      <c r="M345" s="5"/>
    </row>
    <row r="346" ht="14.25" customHeight="1">
      <c r="A346" s="5">
        <v>341.0</v>
      </c>
      <c r="B346" s="5">
        <v>1.0</v>
      </c>
      <c r="C346" s="5">
        <v>2.0</v>
      </c>
      <c r="D346" s="5" t="s">
        <v>572</v>
      </c>
      <c r="E346" s="5" t="s">
        <v>18</v>
      </c>
      <c r="F346" s="5">
        <v>2.0</v>
      </c>
      <c r="G346" s="5">
        <v>1.0</v>
      </c>
      <c r="H346" s="5">
        <v>1.0</v>
      </c>
      <c r="I346" s="5">
        <v>230080.0</v>
      </c>
      <c r="J346" s="5">
        <v>26.0</v>
      </c>
      <c r="K346" s="5" t="s">
        <v>573</v>
      </c>
      <c r="L346" s="5" t="s">
        <v>16</v>
      </c>
      <c r="M346" s="5"/>
    </row>
    <row r="347" ht="14.25" customHeight="1">
      <c r="A347" s="5">
        <v>194.0</v>
      </c>
      <c r="B347" s="5">
        <v>1.0</v>
      </c>
      <c r="C347" s="5">
        <v>2.0</v>
      </c>
      <c r="D347" s="5" t="s">
        <v>574</v>
      </c>
      <c r="E347" s="5" t="s">
        <v>18</v>
      </c>
      <c r="F347" s="5">
        <v>3.0</v>
      </c>
      <c r="G347" s="5">
        <v>1.0</v>
      </c>
      <c r="H347" s="5">
        <v>1.0</v>
      </c>
      <c r="I347" s="5">
        <v>230080.0</v>
      </c>
      <c r="J347" s="5">
        <v>26.0</v>
      </c>
      <c r="K347" s="5" t="s">
        <v>573</v>
      </c>
      <c r="L347" s="5" t="s">
        <v>16</v>
      </c>
      <c r="M347" s="5"/>
    </row>
    <row r="348" ht="14.25" customHeight="1">
      <c r="A348" s="5">
        <v>149.0</v>
      </c>
      <c r="B348" s="5">
        <v>0.0</v>
      </c>
      <c r="C348" s="5">
        <v>2.0</v>
      </c>
      <c r="D348" s="5" t="s">
        <v>575</v>
      </c>
      <c r="E348" s="5" t="s">
        <v>18</v>
      </c>
      <c r="F348" s="5">
        <v>36.5</v>
      </c>
      <c r="G348" s="5">
        <v>0.0</v>
      </c>
      <c r="H348" s="5">
        <v>2.0</v>
      </c>
      <c r="I348" s="5">
        <v>230080.0</v>
      </c>
      <c r="J348" s="5">
        <v>26.0</v>
      </c>
      <c r="K348" s="5" t="s">
        <v>573</v>
      </c>
      <c r="L348" s="5" t="s">
        <v>16</v>
      </c>
      <c r="M348" s="5"/>
    </row>
    <row r="349" ht="14.25" customHeight="1">
      <c r="A349" s="5">
        <v>146.0</v>
      </c>
      <c r="B349" s="5">
        <v>0.0</v>
      </c>
      <c r="C349" s="5">
        <v>2.0</v>
      </c>
      <c r="D349" s="5" t="s">
        <v>576</v>
      </c>
      <c r="E349" s="5" t="s">
        <v>18</v>
      </c>
      <c r="F349" s="5">
        <v>19.0</v>
      </c>
      <c r="G349" s="5">
        <v>1.0</v>
      </c>
      <c r="H349" s="5">
        <v>1.0</v>
      </c>
      <c r="I349" s="5" t="s">
        <v>461</v>
      </c>
      <c r="J349" s="5">
        <v>36.75</v>
      </c>
      <c r="K349" s="5"/>
      <c r="L349" s="5" t="s">
        <v>16</v>
      </c>
      <c r="M349" s="5"/>
    </row>
    <row r="350" ht="14.25" customHeight="1">
      <c r="A350" s="5">
        <v>563.0</v>
      </c>
      <c r="B350" s="5">
        <v>0.0</v>
      </c>
      <c r="C350" s="5">
        <v>2.0</v>
      </c>
      <c r="D350" s="5" t="s">
        <v>577</v>
      </c>
      <c r="E350" s="5" t="s">
        <v>18</v>
      </c>
      <c r="F350" s="5">
        <v>28.0</v>
      </c>
      <c r="G350" s="5">
        <v>0.0</v>
      </c>
      <c r="H350" s="5">
        <v>0.0</v>
      </c>
      <c r="I350" s="5">
        <v>218629.0</v>
      </c>
      <c r="J350" s="5">
        <v>13.5</v>
      </c>
      <c r="K350" s="5"/>
      <c r="L350" s="5" t="s">
        <v>16</v>
      </c>
      <c r="M350" s="5"/>
    </row>
    <row r="351" ht="14.25" customHeight="1">
      <c r="A351" s="5">
        <v>67.0</v>
      </c>
      <c r="B351" s="5">
        <v>1.0</v>
      </c>
      <c r="C351" s="5">
        <v>2.0</v>
      </c>
      <c r="D351" s="5" t="s">
        <v>578</v>
      </c>
      <c r="E351" s="5" t="s">
        <v>14</v>
      </c>
      <c r="F351" s="5">
        <v>29.0</v>
      </c>
      <c r="G351" s="5">
        <v>0.0</v>
      </c>
      <c r="H351" s="5">
        <v>0.0</v>
      </c>
      <c r="I351" s="5" t="s">
        <v>579</v>
      </c>
      <c r="J351" s="5">
        <v>10.5</v>
      </c>
      <c r="K351" s="5" t="s">
        <v>431</v>
      </c>
      <c r="L351" s="5" t="s">
        <v>16</v>
      </c>
      <c r="M351" s="5"/>
    </row>
    <row r="352" ht="14.25" customHeight="1">
      <c r="A352" s="5">
        <v>796.0</v>
      </c>
      <c r="B352" s="5">
        <v>0.0</v>
      </c>
      <c r="C352" s="5">
        <v>2.0</v>
      </c>
      <c r="D352" s="5" t="s">
        <v>580</v>
      </c>
      <c r="E352" s="5" t="s">
        <v>18</v>
      </c>
      <c r="F352" s="5">
        <v>39.0</v>
      </c>
      <c r="G352" s="5">
        <v>0.0</v>
      </c>
      <c r="H352" s="5">
        <v>0.0</v>
      </c>
      <c r="I352" s="5">
        <v>28213.0</v>
      </c>
      <c r="J352" s="5">
        <v>13.0</v>
      </c>
      <c r="K352" s="5"/>
      <c r="L352" s="5" t="s">
        <v>16</v>
      </c>
      <c r="M352" s="5"/>
    </row>
    <row r="353" ht="14.25" customHeight="1">
      <c r="A353" s="5">
        <v>548.0</v>
      </c>
      <c r="B353" s="5">
        <v>1.0</v>
      </c>
      <c r="C353" s="5">
        <v>2.0</v>
      </c>
      <c r="D353" s="5" t="s">
        <v>581</v>
      </c>
      <c r="E353" s="5" t="s">
        <v>18</v>
      </c>
      <c r="F353" s="5"/>
      <c r="G353" s="5">
        <v>0.0</v>
      </c>
      <c r="H353" s="5">
        <v>0.0</v>
      </c>
      <c r="I353" s="5" t="s">
        <v>582</v>
      </c>
      <c r="J353" s="5">
        <v>13.8625</v>
      </c>
      <c r="K353" s="5"/>
      <c r="L353" s="5" t="s">
        <v>32</v>
      </c>
      <c r="M353" s="5"/>
    </row>
    <row r="354" ht="14.25" customHeight="1">
      <c r="A354" s="5">
        <v>399.0</v>
      </c>
      <c r="B354" s="5">
        <v>0.0</v>
      </c>
      <c r="C354" s="5">
        <v>2.0</v>
      </c>
      <c r="D354" s="5" t="s">
        <v>583</v>
      </c>
      <c r="E354" s="5" t="s">
        <v>18</v>
      </c>
      <c r="F354" s="5">
        <v>23.0</v>
      </c>
      <c r="G354" s="5">
        <v>0.0</v>
      </c>
      <c r="H354" s="5">
        <v>0.0</v>
      </c>
      <c r="I354" s="5">
        <v>244278.0</v>
      </c>
      <c r="J354" s="5">
        <v>10.5</v>
      </c>
      <c r="K354" s="5"/>
      <c r="L354" s="5" t="s">
        <v>16</v>
      </c>
      <c r="M354" s="5"/>
    </row>
    <row r="355" ht="14.25" customHeight="1">
      <c r="A355" s="5">
        <v>278.0</v>
      </c>
      <c r="B355" s="5">
        <v>0.0</v>
      </c>
      <c r="C355" s="5">
        <v>2.0</v>
      </c>
      <c r="D355" s="5" t="s">
        <v>584</v>
      </c>
      <c r="E355" s="5" t="s">
        <v>18</v>
      </c>
      <c r="F355" s="5"/>
      <c r="G355" s="5">
        <v>0.0</v>
      </c>
      <c r="H355" s="5">
        <v>0.0</v>
      </c>
      <c r="I355" s="5">
        <v>239853.0</v>
      </c>
      <c r="J355" s="5">
        <v>0.0</v>
      </c>
      <c r="K355" s="5"/>
      <c r="L355" s="5" t="s">
        <v>16</v>
      </c>
      <c r="M355" s="5"/>
    </row>
    <row r="356" ht="14.25" customHeight="1">
      <c r="A356" s="5">
        <v>260.0</v>
      </c>
      <c r="B356" s="5">
        <v>1.0</v>
      </c>
      <c r="C356" s="5">
        <v>2.0</v>
      </c>
      <c r="D356" s="5" t="s">
        <v>585</v>
      </c>
      <c r="E356" s="5" t="s">
        <v>14</v>
      </c>
      <c r="F356" s="5">
        <v>50.0</v>
      </c>
      <c r="G356" s="5">
        <v>0.0</v>
      </c>
      <c r="H356" s="5">
        <v>1.0</v>
      </c>
      <c r="I356" s="5">
        <v>230433.0</v>
      </c>
      <c r="J356" s="5">
        <v>26.0</v>
      </c>
      <c r="K356" s="5"/>
      <c r="L356" s="5" t="s">
        <v>16</v>
      </c>
      <c r="M356" s="5"/>
    </row>
    <row r="357" ht="14.25" customHeight="1">
      <c r="A357" s="5">
        <v>239.0</v>
      </c>
      <c r="B357" s="5">
        <v>0.0</v>
      </c>
      <c r="C357" s="5">
        <v>2.0</v>
      </c>
      <c r="D357" s="5" t="s">
        <v>586</v>
      </c>
      <c r="E357" s="5" t="s">
        <v>18</v>
      </c>
      <c r="F357" s="5">
        <v>19.0</v>
      </c>
      <c r="G357" s="5">
        <v>0.0</v>
      </c>
      <c r="H357" s="5">
        <v>0.0</v>
      </c>
      <c r="I357" s="5">
        <v>28665.0</v>
      </c>
      <c r="J357" s="5">
        <v>10.5</v>
      </c>
      <c r="K357" s="5"/>
      <c r="L357" s="5" t="s">
        <v>16</v>
      </c>
      <c r="M357" s="5"/>
    </row>
    <row r="358" ht="14.25" customHeight="1">
      <c r="A358" s="5">
        <v>182.0</v>
      </c>
      <c r="B358" s="5">
        <v>0.0</v>
      </c>
      <c r="C358" s="5">
        <v>2.0</v>
      </c>
      <c r="D358" s="5" t="s">
        <v>587</v>
      </c>
      <c r="E358" s="5" t="s">
        <v>18</v>
      </c>
      <c r="F358" s="5"/>
      <c r="G358" s="5">
        <v>0.0</v>
      </c>
      <c r="H358" s="5">
        <v>0.0</v>
      </c>
      <c r="I358" s="5" t="s">
        <v>588</v>
      </c>
      <c r="J358" s="5">
        <v>15.05</v>
      </c>
      <c r="K358" s="5"/>
      <c r="L358" s="5" t="s">
        <v>32</v>
      </c>
      <c r="M358" s="5"/>
    </row>
    <row r="359" ht="14.25" customHeight="1">
      <c r="A359" s="5">
        <v>428.0</v>
      </c>
      <c r="B359" s="5">
        <v>1.0</v>
      </c>
      <c r="C359" s="5">
        <v>2.0</v>
      </c>
      <c r="D359" s="5" t="s">
        <v>589</v>
      </c>
      <c r="E359" s="5" t="s">
        <v>14</v>
      </c>
      <c r="F359" s="5">
        <v>19.0</v>
      </c>
      <c r="G359" s="5">
        <v>0.0</v>
      </c>
      <c r="H359" s="5">
        <v>0.0</v>
      </c>
      <c r="I359" s="5">
        <v>250655.0</v>
      </c>
      <c r="J359" s="5">
        <v>26.0</v>
      </c>
      <c r="K359" s="5"/>
      <c r="L359" s="5" t="s">
        <v>16</v>
      </c>
      <c r="M359" s="5"/>
    </row>
    <row r="360" ht="14.25" customHeight="1">
      <c r="A360" s="5">
        <v>191.0</v>
      </c>
      <c r="B360" s="5">
        <v>1.0</v>
      </c>
      <c r="C360" s="5">
        <v>2.0</v>
      </c>
      <c r="D360" s="5" t="s">
        <v>590</v>
      </c>
      <c r="E360" s="5" t="s">
        <v>14</v>
      </c>
      <c r="F360" s="5">
        <v>32.0</v>
      </c>
      <c r="G360" s="5">
        <v>0.0</v>
      </c>
      <c r="H360" s="5">
        <v>0.0</v>
      </c>
      <c r="I360" s="5">
        <v>234604.0</v>
      </c>
      <c r="J360" s="5">
        <v>13.0</v>
      </c>
      <c r="K360" s="5"/>
      <c r="L360" s="5" t="s">
        <v>16</v>
      </c>
      <c r="M360" s="5"/>
    </row>
    <row r="361" ht="14.25" customHeight="1">
      <c r="A361" s="5">
        <v>801.0</v>
      </c>
      <c r="B361" s="5">
        <v>0.0</v>
      </c>
      <c r="C361" s="5">
        <v>2.0</v>
      </c>
      <c r="D361" s="5" t="s">
        <v>591</v>
      </c>
      <c r="E361" s="5" t="s">
        <v>18</v>
      </c>
      <c r="F361" s="5">
        <v>34.0</v>
      </c>
      <c r="G361" s="5">
        <v>0.0</v>
      </c>
      <c r="H361" s="5">
        <v>0.0</v>
      </c>
      <c r="I361" s="5">
        <v>250647.0</v>
      </c>
      <c r="J361" s="5">
        <v>13.0</v>
      </c>
      <c r="K361" s="5"/>
      <c r="L361" s="5" t="s">
        <v>16</v>
      </c>
      <c r="M361" s="5"/>
    </row>
    <row r="362" ht="14.25" customHeight="1">
      <c r="A362" s="5">
        <v>531.0</v>
      </c>
      <c r="B362" s="5">
        <v>1.0</v>
      </c>
      <c r="C362" s="5">
        <v>2.0</v>
      </c>
      <c r="D362" s="5" t="s">
        <v>592</v>
      </c>
      <c r="E362" s="5" t="s">
        <v>14</v>
      </c>
      <c r="F362" s="5">
        <v>2.0</v>
      </c>
      <c r="G362" s="5">
        <v>1.0</v>
      </c>
      <c r="H362" s="5">
        <v>1.0</v>
      </c>
      <c r="I362" s="5">
        <v>26360.0</v>
      </c>
      <c r="J362" s="5">
        <v>26.0</v>
      </c>
      <c r="K362" s="5"/>
      <c r="L362" s="5" t="s">
        <v>16</v>
      </c>
      <c r="M362" s="5"/>
    </row>
    <row r="363" ht="14.25" customHeight="1">
      <c r="A363" s="5">
        <v>507.0</v>
      </c>
      <c r="B363" s="5">
        <v>1.0</v>
      </c>
      <c r="C363" s="5">
        <v>2.0</v>
      </c>
      <c r="D363" s="5" t="s">
        <v>593</v>
      </c>
      <c r="E363" s="5" t="s">
        <v>14</v>
      </c>
      <c r="F363" s="5">
        <v>33.0</v>
      </c>
      <c r="G363" s="5">
        <v>0.0</v>
      </c>
      <c r="H363" s="5">
        <v>2.0</v>
      </c>
      <c r="I363" s="5">
        <v>26360.0</v>
      </c>
      <c r="J363" s="5">
        <v>26.0</v>
      </c>
      <c r="K363" s="5"/>
      <c r="L363" s="5" t="s">
        <v>16</v>
      </c>
      <c r="M363" s="5"/>
    </row>
    <row r="364" ht="14.25" customHeight="1">
      <c r="A364" s="5">
        <v>266.0</v>
      </c>
      <c r="B364" s="5">
        <v>0.0</v>
      </c>
      <c r="C364" s="5">
        <v>2.0</v>
      </c>
      <c r="D364" s="5" t="s">
        <v>594</v>
      </c>
      <c r="E364" s="5" t="s">
        <v>18</v>
      </c>
      <c r="F364" s="5">
        <v>36.0</v>
      </c>
      <c r="G364" s="5">
        <v>0.0</v>
      </c>
      <c r="H364" s="5">
        <v>0.0</v>
      </c>
      <c r="I364" s="5" t="s">
        <v>595</v>
      </c>
      <c r="J364" s="5">
        <v>10.5</v>
      </c>
      <c r="K364" s="5"/>
      <c r="L364" s="5" t="s">
        <v>16</v>
      </c>
      <c r="M364" s="5"/>
    </row>
    <row r="365" ht="14.25" customHeight="1">
      <c r="A365" s="5">
        <v>477.0</v>
      </c>
      <c r="B365" s="5">
        <v>0.0</v>
      </c>
      <c r="C365" s="5">
        <v>2.0</v>
      </c>
      <c r="D365" s="5" t="s">
        <v>596</v>
      </c>
      <c r="E365" s="5" t="s">
        <v>18</v>
      </c>
      <c r="F365" s="5">
        <v>34.0</v>
      </c>
      <c r="G365" s="5">
        <v>1.0</v>
      </c>
      <c r="H365" s="5">
        <v>0.0</v>
      </c>
      <c r="I365" s="5">
        <v>31027.0</v>
      </c>
      <c r="J365" s="5">
        <v>21.0</v>
      </c>
      <c r="K365" s="5"/>
      <c r="L365" s="5" t="s">
        <v>16</v>
      </c>
      <c r="M365" s="5"/>
    </row>
    <row r="366" ht="14.25" customHeight="1">
      <c r="A366" s="5">
        <v>727.0</v>
      </c>
      <c r="B366" s="5">
        <v>1.0</v>
      </c>
      <c r="C366" s="5">
        <v>2.0</v>
      </c>
      <c r="D366" s="5" t="s">
        <v>597</v>
      </c>
      <c r="E366" s="5" t="s">
        <v>14</v>
      </c>
      <c r="F366" s="5">
        <v>30.0</v>
      </c>
      <c r="G366" s="5">
        <v>3.0</v>
      </c>
      <c r="H366" s="5">
        <v>0.0</v>
      </c>
      <c r="I366" s="5">
        <v>31027.0</v>
      </c>
      <c r="J366" s="5">
        <v>21.0</v>
      </c>
      <c r="K366" s="5"/>
      <c r="L366" s="5" t="s">
        <v>16</v>
      </c>
      <c r="M366" s="5"/>
    </row>
    <row r="367" ht="14.25" customHeight="1">
      <c r="A367" s="5">
        <v>444.0</v>
      </c>
      <c r="B367" s="5">
        <v>1.0</v>
      </c>
      <c r="C367" s="5">
        <v>2.0</v>
      </c>
      <c r="D367" s="5" t="s">
        <v>598</v>
      </c>
      <c r="E367" s="5" t="s">
        <v>14</v>
      </c>
      <c r="F367" s="5">
        <v>28.0</v>
      </c>
      <c r="G367" s="5">
        <v>0.0</v>
      </c>
      <c r="H367" s="5">
        <v>0.0</v>
      </c>
      <c r="I367" s="5">
        <v>230434.0</v>
      </c>
      <c r="J367" s="5">
        <v>13.0</v>
      </c>
      <c r="K367" s="5"/>
      <c r="L367" s="5" t="s">
        <v>16</v>
      </c>
      <c r="M367" s="5"/>
    </row>
    <row r="368" ht="14.25" customHeight="1">
      <c r="A368" s="5">
        <v>136.0</v>
      </c>
      <c r="B368" s="5">
        <v>0.0</v>
      </c>
      <c r="C368" s="5">
        <v>2.0</v>
      </c>
      <c r="D368" s="5" t="s">
        <v>599</v>
      </c>
      <c r="E368" s="5" t="s">
        <v>18</v>
      </c>
      <c r="F368" s="5">
        <v>23.0</v>
      </c>
      <c r="G368" s="5">
        <v>0.0</v>
      </c>
      <c r="H368" s="5">
        <v>0.0</v>
      </c>
      <c r="I368" s="5" t="s">
        <v>600</v>
      </c>
      <c r="J368" s="5">
        <v>15.0458</v>
      </c>
      <c r="K368" s="5"/>
      <c r="L368" s="5" t="s">
        <v>32</v>
      </c>
      <c r="M368" s="5"/>
    </row>
    <row r="369" ht="14.25" customHeight="1">
      <c r="A369" s="5">
        <v>832.0</v>
      </c>
      <c r="B369" s="5">
        <v>1.0</v>
      </c>
      <c r="C369" s="5">
        <v>2.0</v>
      </c>
      <c r="D369" s="5" t="s">
        <v>601</v>
      </c>
      <c r="E369" s="5" t="s">
        <v>18</v>
      </c>
      <c r="F369" s="5">
        <v>0.83</v>
      </c>
      <c r="G369" s="5">
        <v>1.0</v>
      </c>
      <c r="H369" s="5">
        <v>1.0</v>
      </c>
      <c r="I369" s="5">
        <v>29106.0</v>
      </c>
      <c r="J369" s="5">
        <v>18.75</v>
      </c>
      <c r="K369" s="5"/>
      <c r="L369" s="5" t="s">
        <v>16</v>
      </c>
      <c r="M369" s="5"/>
    </row>
    <row r="370" ht="14.25" customHeight="1">
      <c r="A370" s="5">
        <v>408.0</v>
      </c>
      <c r="B370" s="5">
        <v>1.0</v>
      </c>
      <c r="C370" s="5">
        <v>2.0</v>
      </c>
      <c r="D370" s="5" t="s">
        <v>602</v>
      </c>
      <c r="E370" s="5" t="s">
        <v>18</v>
      </c>
      <c r="F370" s="5">
        <v>3.0</v>
      </c>
      <c r="G370" s="5">
        <v>1.0</v>
      </c>
      <c r="H370" s="5">
        <v>1.0</v>
      </c>
      <c r="I370" s="5">
        <v>29106.0</v>
      </c>
      <c r="J370" s="5">
        <v>18.75</v>
      </c>
      <c r="K370" s="5"/>
      <c r="L370" s="5" t="s">
        <v>16</v>
      </c>
      <c r="M370" s="5"/>
    </row>
    <row r="371" ht="14.25" customHeight="1">
      <c r="A371" s="5">
        <v>438.0</v>
      </c>
      <c r="B371" s="5">
        <v>1.0</v>
      </c>
      <c r="C371" s="5">
        <v>2.0</v>
      </c>
      <c r="D371" s="5" t="s">
        <v>603</v>
      </c>
      <c r="E371" s="5" t="s">
        <v>14</v>
      </c>
      <c r="F371" s="5">
        <v>24.0</v>
      </c>
      <c r="G371" s="5">
        <v>2.0</v>
      </c>
      <c r="H371" s="5">
        <v>3.0</v>
      </c>
      <c r="I371" s="5">
        <v>29106.0</v>
      </c>
      <c r="J371" s="5">
        <v>18.75</v>
      </c>
      <c r="K371" s="5"/>
      <c r="L371" s="5" t="s">
        <v>16</v>
      </c>
      <c r="M371" s="5"/>
    </row>
    <row r="372" ht="14.25" customHeight="1">
      <c r="A372" s="5">
        <v>527.0</v>
      </c>
      <c r="B372" s="5">
        <v>1.0</v>
      </c>
      <c r="C372" s="5">
        <v>2.0</v>
      </c>
      <c r="D372" s="5" t="s">
        <v>604</v>
      </c>
      <c r="E372" s="5" t="s">
        <v>14</v>
      </c>
      <c r="F372" s="5">
        <v>50.0</v>
      </c>
      <c r="G372" s="5">
        <v>0.0</v>
      </c>
      <c r="H372" s="5">
        <v>0.0</v>
      </c>
      <c r="I372" s="5" t="s">
        <v>605</v>
      </c>
      <c r="J372" s="5">
        <v>10.5</v>
      </c>
      <c r="K372" s="5"/>
      <c r="L372" s="5" t="s">
        <v>16</v>
      </c>
      <c r="M372" s="5"/>
    </row>
    <row r="373" ht="14.25" customHeight="1">
      <c r="A373" s="5">
        <v>57.0</v>
      </c>
      <c r="B373" s="5">
        <v>1.0</v>
      </c>
      <c r="C373" s="5">
        <v>2.0</v>
      </c>
      <c r="D373" s="5" t="s">
        <v>606</v>
      </c>
      <c r="E373" s="5" t="s">
        <v>14</v>
      </c>
      <c r="F373" s="5">
        <v>21.0</v>
      </c>
      <c r="G373" s="5">
        <v>0.0</v>
      </c>
      <c r="H373" s="5">
        <v>0.0</v>
      </c>
      <c r="I373" s="5" t="s">
        <v>607</v>
      </c>
      <c r="J373" s="5">
        <v>10.5</v>
      </c>
      <c r="K373" s="5"/>
      <c r="L373" s="5" t="s">
        <v>16</v>
      </c>
      <c r="M373" s="5"/>
    </row>
    <row r="374" ht="14.25" customHeight="1">
      <c r="A374" s="5">
        <v>344.0</v>
      </c>
      <c r="B374" s="5">
        <v>0.0</v>
      </c>
      <c r="C374" s="5">
        <v>2.0</v>
      </c>
      <c r="D374" s="5" t="s">
        <v>608</v>
      </c>
      <c r="E374" s="5" t="s">
        <v>18</v>
      </c>
      <c r="F374" s="5">
        <v>25.0</v>
      </c>
      <c r="G374" s="5">
        <v>0.0</v>
      </c>
      <c r="H374" s="5">
        <v>0.0</v>
      </c>
      <c r="I374" s="5">
        <v>244361.0</v>
      </c>
      <c r="J374" s="5">
        <v>13.0</v>
      </c>
      <c r="K374" s="5"/>
      <c r="L374" s="5" t="s">
        <v>16</v>
      </c>
      <c r="M374" s="5"/>
    </row>
    <row r="375" ht="14.25" customHeight="1">
      <c r="A375" s="5">
        <v>552.0</v>
      </c>
      <c r="B375" s="5">
        <v>0.0</v>
      </c>
      <c r="C375" s="5">
        <v>2.0</v>
      </c>
      <c r="D375" s="5" t="s">
        <v>609</v>
      </c>
      <c r="E375" s="5" t="s">
        <v>18</v>
      </c>
      <c r="F375" s="5">
        <v>27.0</v>
      </c>
      <c r="G375" s="5">
        <v>0.0</v>
      </c>
      <c r="H375" s="5">
        <v>0.0</v>
      </c>
      <c r="I375" s="5">
        <v>244358.0</v>
      </c>
      <c r="J375" s="5">
        <v>26.0</v>
      </c>
      <c r="K375" s="5"/>
      <c r="L375" s="5" t="s">
        <v>16</v>
      </c>
      <c r="M375" s="5"/>
    </row>
    <row r="376" ht="14.25" customHeight="1">
      <c r="A376" s="5">
        <v>881.0</v>
      </c>
      <c r="B376" s="5">
        <v>1.0</v>
      </c>
      <c r="C376" s="5">
        <v>2.0</v>
      </c>
      <c r="D376" s="5" t="s">
        <v>610</v>
      </c>
      <c r="E376" s="5" t="s">
        <v>14</v>
      </c>
      <c r="F376" s="5">
        <v>25.0</v>
      </c>
      <c r="G376" s="5">
        <v>0.0</v>
      </c>
      <c r="H376" s="5">
        <v>1.0</v>
      </c>
      <c r="I376" s="5">
        <v>230433.0</v>
      </c>
      <c r="J376" s="5">
        <v>26.0</v>
      </c>
      <c r="K376" s="5"/>
      <c r="L376" s="5" t="s">
        <v>16</v>
      </c>
      <c r="M376" s="5"/>
    </row>
    <row r="377" ht="14.25" customHeight="1">
      <c r="A377" s="5">
        <v>418.0</v>
      </c>
      <c r="B377" s="5">
        <v>1.0</v>
      </c>
      <c r="C377" s="5">
        <v>2.0</v>
      </c>
      <c r="D377" s="5" t="s">
        <v>611</v>
      </c>
      <c r="E377" s="5" t="s">
        <v>14</v>
      </c>
      <c r="F377" s="5">
        <v>18.0</v>
      </c>
      <c r="G377" s="5">
        <v>0.0</v>
      </c>
      <c r="H377" s="5">
        <v>2.0</v>
      </c>
      <c r="I377" s="5">
        <v>250652.0</v>
      </c>
      <c r="J377" s="5">
        <v>13.0</v>
      </c>
      <c r="K377" s="5"/>
      <c r="L377" s="5" t="s">
        <v>16</v>
      </c>
      <c r="M377" s="5"/>
    </row>
    <row r="378" ht="14.25" customHeight="1">
      <c r="A378" s="5">
        <v>748.0</v>
      </c>
      <c r="B378" s="5">
        <v>1.0</v>
      </c>
      <c r="C378" s="5">
        <v>2.0</v>
      </c>
      <c r="D378" s="5" t="s">
        <v>612</v>
      </c>
      <c r="E378" s="5" t="s">
        <v>14</v>
      </c>
      <c r="F378" s="5">
        <v>30.0</v>
      </c>
      <c r="G378" s="5">
        <v>0.0</v>
      </c>
      <c r="H378" s="5">
        <v>0.0</v>
      </c>
      <c r="I378" s="5">
        <v>250648.0</v>
      </c>
      <c r="J378" s="5">
        <v>13.0</v>
      </c>
      <c r="K378" s="5"/>
      <c r="L378" s="5" t="s">
        <v>16</v>
      </c>
      <c r="M378" s="5"/>
    </row>
    <row r="379" ht="14.25" customHeight="1">
      <c r="A379" s="5">
        <v>233.0</v>
      </c>
      <c r="B379" s="5">
        <v>0.0</v>
      </c>
      <c r="C379" s="5">
        <v>2.0</v>
      </c>
      <c r="D379" s="5" t="s">
        <v>613</v>
      </c>
      <c r="E379" s="5" t="s">
        <v>18</v>
      </c>
      <c r="F379" s="5">
        <v>59.0</v>
      </c>
      <c r="G379" s="5">
        <v>0.0</v>
      </c>
      <c r="H379" s="5">
        <v>0.0</v>
      </c>
      <c r="I379" s="5">
        <v>237442.0</v>
      </c>
      <c r="J379" s="5">
        <v>13.5</v>
      </c>
      <c r="K379" s="5"/>
      <c r="L379" s="5" t="s">
        <v>16</v>
      </c>
      <c r="M379" s="5"/>
    </row>
    <row r="380" ht="14.25" customHeight="1">
      <c r="A380" s="5">
        <v>323.0</v>
      </c>
      <c r="B380" s="5">
        <v>1.0</v>
      </c>
      <c r="C380" s="5">
        <v>2.0</v>
      </c>
      <c r="D380" s="5" t="s">
        <v>614</v>
      </c>
      <c r="E380" s="5" t="s">
        <v>14</v>
      </c>
      <c r="F380" s="5">
        <v>30.0</v>
      </c>
      <c r="G380" s="5">
        <v>0.0</v>
      </c>
      <c r="H380" s="5">
        <v>0.0</v>
      </c>
      <c r="I380" s="5">
        <v>234818.0</v>
      </c>
      <c r="J380" s="5">
        <v>12.35</v>
      </c>
      <c r="K380" s="5"/>
      <c r="L380" s="5" t="s">
        <v>279</v>
      </c>
      <c r="M380" s="5"/>
    </row>
    <row r="381" ht="14.25" customHeight="1">
      <c r="A381" s="5">
        <v>813.0</v>
      </c>
      <c r="B381" s="5">
        <v>0.0</v>
      </c>
      <c r="C381" s="5">
        <v>2.0</v>
      </c>
      <c r="D381" s="5" t="s">
        <v>615</v>
      </c>
      <c r="E381" s="5" t="s">
        <v>18</v>
      </c>
      <c r="F381" s="5">
        <v>35.0</v>
      </c>
      <c r="G381" s="5">
        <v>0.0</v>
      </c>
      <c r="H381" s="5">
        <v>0.0</v>
      </c>
      <c r="I381" s="5">
        <v>28206.0</v>
      </c>
      <c r="J381" s="5">
        <v>10.5</v>
      </c>
      <c r="K381" s="5"/>
      <c r="L381" s="5" t="s">
        <v>16</v>
      </c>
      <c r="M381" s="5"/>
    </row>
    <row r="382" ht="14.25" customHeight="1">
      <c r="A382" s="5">
        <v>347.0</v>
      </c>
      <c r="B382" s="5">
        <v>1.0</v>
      </c>
      <c r="C382" s="5">
        <v>2.0</v>
      </c>
      <c r="D382" s="5" t="s">
        <v>616</v>
      </c>
      <c r="E382" s="5" t="s">
        <v>14</v>
      </c>
      <c r="F382" s="5">
        <v>40.0</v>
      </c>
      <c r="G382" s="5">
        <v>0.0</v>
      </c>
      <c r="H382" s="5">
        <v>0.0</v>
      </c>
      <c r="I382" s="5">
        <v>31418.0</v>
      </c>
      <c r="J382" s="5">
        <v>13.0</v>
      </c>
      <c r="K382" s="5"/>
      <c r="L382" s="5" t="s">
        <v>16</v>
      </c>
      <c r="M382" s="5"/>
    </row>
    <row r="383" ht="14.25" customHeight="1">
      <c r="A383" s="5">
        <v>135.0</v>
      </c>
      <c r="B383" s="5">
        <v>0.0</v>
      </c>
      <c r="C383" s="5">
        <v>2.0</v>
      </c>
      <c r="D383" s="5" t="s">
        <v>617</v>
      </c>
      <c r="E383" s="5" t="s">
        <v>18</v>
      </c>
      <c r="F383" s="5">
        <v>25.0</v>
      </c>
      <c r="G383" s="5">
        <v>0.0</v>
      </c>
      <c r="H383" s="5">
        <v>0.0</v>
      </c>
      <c r="I383" s="5" t="s">
        <v>618</v>
      </c>
      <c r="J383" s="5">
        <v>13.0</v>
      </c>
      <c r="K383" s="5"/>
      <c r="L383" s="5" t="s">
        <v>16</v>
      </c>
      <c r="M383" s="5"/>
    </row>
    <row r="384" ht="14.25" customHeight="1">
      <c r="A384" s="5">
        <v>459.0</v>
      </c>
      <c r="B384" s="5">
        <v>1.0</v>
      </c>
      <c r="C384" s="5">
        <v>2.0</v>
      </c>
      <c r="D384" s="5" t="s">
        <v>619</v>
      </c>
      <c r="E384" s="5" t="s">
        <v>14</v>
      </c>
      <c r="F384" s="5">
        <v>50.0</v>
      </c>
      <c r="G384" s="5">
        <v>0.0</v>
      </c>
      <c r="H384" s="5">
        <v>0.0</v>
      </c>
      <c r="I384" s="5" t="s">
        <v>620</v>
      </c>
      <c r="J384" s="5">
        <v>10.5</v>
      </c>
      <c r="K384" s="5"/>
      <c r="L384" s="5" t="s">
        <v>16</v>
      </c>
      <c r="M384" s="5"/>
    </row>
    <row r="385" ht="14.25" customHeight="1">
      <c r="A385" s="5">
        <v>735.0</v>
      </c>
      <c r="B385" s="5">
        <v>0.0</v>
      </c>
      <c r="C385" s="5">
        <v>2.0</v>
      </c>
      <c r="D385" s="5" t="s">
        <v>621</v>
      </c>
      <c r="E385" s="5" t="s">
        <v>18</v>
      </c>
      <c r="F385" s="5">
        <v>23.0</v>
      </c>
      <c r="G385" s="5">
        <v>0.0</v>
      </c>
      <c r="H385" s="5">
        <v>0.0</v>
      </c>
      <c r="I385" s="5">
        <v>233639.0</v>
      </c>
      <c r="J385" s="5">
        <v>13.0</v>
      </c>
      <c r="K385" s="5"/>
      <c r="L385" s="5" t="s">
        <v>16</v>
      </c>
      <c r="M385" s="5"/>
    </row>
    <row r="386" ht="14.25" customHeight="1">
      <c r="A386" s="5">
        <v>400.0</v>
      </c>
      <c r="B386" s="5">
        <v>1.0</v>
      </c>
      <c r="C386" s="5">
        <v>2.0</v>
      </c>
      <c r="D386" s="5" t="s">
        <v>622</v>
      </c>
      <c r="E386" s="5" t="s">
        <v>14</v>
      </c>
      <c r="F386" s="5">
        <v>28.0</v>
      </c>
      <c r="G386" s="5">
        <v>0.0</v>
      </c>
      <c r="H386" s="5">
        <v>0.0</v>
      </c>
      <c r="I386" s="5">
        <v>240929.0</v>
      </c>
      <c r="J386" s="5">
        <v>12.65</v>
      </c>
      <c r="K386" s="5"/>
      <c r="L386" s="5" t="s">
        <v>16</v>
      </c>
      <c r="M386" s="5"/>
    </row>
    <row r="387" ht="14.25" customHeight="1">
      <c r="A387" s="5">
        <v>718.0</v>
      </c>
      <c r="B387" s="5">
        <v>1.0</v>
      </c>
      <c r="C387" s="5">
        <v>2.0</v>
      </c>
      <c r="D387" s="5" t="s">
        <v>623</v>
      </c>
      <c r="E387" s="5" t="s">
        <v>14</v>
      </c>
      <c r="F387" s="5">
        <v>27.0</v>
      </c>
      <c r="G387" s="5">
        <v>0.0</v>
      </c>
      <c r="H387" s="5">
        <v>0.0</v>
      </c>
      <c r="I387" s="5">
        <v>34218.0</v>
      </c>
      <c r="J387" s="5">
        <v>10.5</v>
      </c>
      <c r="K387" s="5" t="s">
        <v>528</v>
      </c>
      <c r="L387" s="5" t="s">
        <v>16</v>
      </c>
      <c r="M387" s="5"/>
    </row>
    <row r="388" ht="14.25" customHeight="1">
      <c r="A388" s="5">
        <v>118.0</v>
      </c>
      <c r="B388" s="5">
        <v>0.0</v>
      </c>
      <c r="C388" s="5">
        <v>2.0</v>
      </c>
      <c r="D388" s="5" t="s">
        <v>624</v>
      </c>
      <c r="E388" s="5" t="s">
        <v>18</v>
      </c>
      <c r="F388" s="5">
        <v>29.0</v>
      </c>
      <c r="G388" s="5">
        <v>1.0</v>
      </c>
      <c r="H388" s="5">
        <v>0.0</v>
      </c>
      <c r="I388" s="5">
        <v>11668.0</v>
      </c>
      <c r="J388" s="5">
        <v>21.0</v>
      </c>
      <c r="K388" s="5"/>
      <c r="L388" s="5" t="s">
        <v>16</v>
      </c>
      <c r="M388" s="5"/>
    </row>
    <row r="389" ht="14.25" customHeight="1">
      <c r="A389" s="5">
        <v>42.0</v>
      </c>
      <c r="B389" s="5">
        <v>0.0</v>
      </c>
      <c r="C389" s="5">
        <v>2.0</v>
      </c>
      <c r="D389" s="5" t="s">
        <v>625</v>
      </c>
      <c r="E389" s="5" t="s">
        <v>14</v>
      </c>
      <c r="F389" s="5">
        <v>27.0</v>
      </c>
      <c r="G389" s="5">
        <v>1.0</v>
      </c>
      <c r="H389" s="5">
        <v>0.0</v>
      </c>
      <c r="I389" s="5">
        <v>11668.0</v>
      </c>
      <c r="J389" s="5">
        <v>21.0</v>
      </c>
      <c r="K389" s="5"/>
      <c r="L389" s="5" t="s">
        <v>16</v>
      </c>
      <c r="M389" s="5"/>
    </row>
    <row r="390" ht="14.25" customHeight="1">
      <c r="A390" s="5">
        <v>675.0</v>
      </c>
      <c r="B390" s="5">
        <v>0.0</v>
      </c>
      <c r="C390" s="5">
        <v>2.0</v>
      </c>
      <c r="D390" s="5" t="s">
        <v>626</v>
      </c>
      <c r="E390" s="5" t="s">
        <v>18</v>
      </c>
      <c r="F390" s="5"/>
      <c r="G390" s="5">
        <v>0.0</v>
      </c>
      <c r="H390" s="5">
        <v>0.0</v>
      </c>
      <c r="I390" s="5">
        <v>239856.0</v>
      </c>
      <c r="J390" s="5">
        <v>0.0</v>
      </c>
      <c r="K390" s="5"/>
      <c r="L390" s="5" t="s">
        <v>16</v>
      </c>
      <c r="M390" s="5"/>
    </row>
    <row r="391" ht="14.25" customHeight="1">
      <c r="A391" s="5">
        <v>162.0</v>
      </c>
      <c r="B391" s="5">
        <v>1.0</v>
      </c>
      <c r="C391" s="5">
        <v>2.0</v>
      </c>
      <c r="D391" s="5" t="s">
        <v>627</v>
      </c>
      <c r="E391" s="5" t="s">
        <v>14</v>
      </c>
      <c r="F391" s="5">
        <v>40.0</v>
      </c>
      <c r="G391" s="5">
        <v>0.0</v>
      </c>
      <c r="H391" s="5">
        <v>0.0</v>
      </c>
      <c r="I391" s="5" t="s">
        <v>628</v>
      </c>
      <c r="J391" s="5">
        <v>15.75</v>
      </c>
      <c r="K391" s="5"/>
      <c r="L391" s="5" t="s">
        <v>16</v>
      </c>
      <c r="M391" s="5"/>
    </row>
    <row r="392" ht="14.25" customHeight="1">
      <c r="A392" s="5">
        <v>124.0</v>
      </c>
      <c r="B392" s="5">
        <v>1.0</v>
      </c>
      <c r="C392" s="5">
        <v>2.0</v>
      </c>
      <c r="D392" s="5" t="s">
        <v>629</v>
      </c>
      <c r="E392" s="5" t="s">
        <v>14</v>
      </c>
      <c r="F392" s="5">
        <v>32.5</v>
      </c>
      <c r="G392" s="5">
        <v>0.0</v>
      </c>
      <c r="H392" s="5">
        <v>0.0</v>
      </c>
      <c r="I392" s="5">
        <v>27267.0</v>
      </c>
      <c r="J392" s="5">
        <v>13.0</v>
      </c>
      <c r="K392" s="5" t="s">
        <v>528</v>
      </c>
      <c r="L392" s="5" t="s">
        <v>16</v>
      </c>
      <c r="M392" s="5"/>
    </row>
    <row r="393" ht="14.25" customHeight="1">
      <c r="A393" s="5">
        <v>134.0</v>
      </c>
      <c r="B393" s="5">
        <v>1.0</v>
      </c>
      <c r="C393" s="5">
        <v>2.0</v>
      </c>
      <c r="D393" s="5" t="s">
        <v>630</v>
      </c>
      <c r="E393" s="5" t="s">
        <v>14</v>
      </c>
      <c r="F393" s="5">
        <v>29.0</v>
      </c>
      <c r="G393" s="5">
        <v>1.0</v>
      </c>
      <c r="H393" s="5">
        <v>0.0</v>
      </c>
      <c r="I393" s="5">
        <v>228414.0</v>
      </c>
      <c r="J393" s="5">
        <v>26.0</v>
      </c>
      <c r="K393" s="5"/>
      <c r="L393" s="5" t="s">
        <v>16</v>
      </c>
      <c r="M393" s="5"/>
    </row>
    <row r="394" ht="14.25" customHeight="1">
      <c r="A394" s="5">
        <v>751.0</v>
      </c>
      <c r="B394" s="5">
        <v>1.0</v>
      </c>
      <c r="C394" s="5">
        <v>2.0</v>
      </c>
      <c r="D394" s="5" t="s">
        <v>631</v>
      </c>
      <c r="E394" s="5" t="s">
        <v>14</v>
      </c>
      <c r="F394" s="5">
        <v>4.0</v>
      </c>
      <c r="G394" s="5">
        <v>1.0</v>
      </c>
      <c r="H394" s="5">
        <v>1.0</v>
      </c>
      <c r="I394" s="5">
        <v>29103.0</v>
      </c>
      <c r="J394" s="5">
        <v>23.0</v>
      </c>
      <c r="K394" s="5"/>
      <c r="L394" s="5" t="s">
        <v>16</v>
      </c>
      <c r="M394" s="5"/>
    </row>
    <row r="395" ht="14.25" customHeight="1">
      <c r="A395" s="5">
        <v>59.0</v>
      </c>
      <c r="B395" s="5">
        <v>1.0</v>
      </c>
      <c r="C395" s="5">
        <v>2.0</v>
      </c>
      <c r="D395" s="5" t="s">
        <v>632</v>
      </c>
      <c r="E395" s="5" t="s">
        <v>14</v>
      </c>
      <c r="F395" s="5">
        <v>5.0</v>
      </c>
      <c r="G395" s="5">
        <v>1.0</v>
      </c>
      <c r="H395" s="5">
        <v>2.0</v>
      </c>
      <c r="I395" s="5" t="s">
        <v>633</v>
      </c>
      <c r="J395" s="5">
        <v>27.75</v>
      </c>
      <c r="K395" s="5"/>
      <c r="L395" s="5" t="s">
        <v>16</v>
      </c>
      <c r="M395" s="5"/>
    </row>
    <row r="396" ht="14.25" customHeight="1">
      <c r="A396" s="5">
        <v>451.0</v>
      </c>
      <c r="B396" s="5">
        <v>0.0</v>
      </c>
      <c r="C396" s="5">
        <v>2.0</v>
      </c>
      <c r="D396" s="5" t="s">
        <v>634</v>
      </c>
      <c r="E396" s="5" t="s">
        <v>18</v>
      </c>
      <c r="F396" s="5">
        <v>36.0</v>
      </c>
      <c r="G396" s="5">
        <v>1.0</v>
      </c>
      <c r="H396" s="5">
        <v>2.0</v>
      </c>
      <c r="I396" s="5" t="s">
        <v>633</v>
      </c>
      <c r="J396" s="5">
        <v>27.75</v>
      </c>
      <c r="K396" s="5"/>
      <c r="L396" s="5" t="s">
        <v>16</v>
      </c>
      <c r="M396" s="5"/>
    </row>
    <row r="397" ht="14.25" customHeight="1">
      <c r="A397" s="5">
        <v>473.0</v>
      </c>
      <c r="B397" s="5">
        <v>1.0</v>
      </c>
      <c r="C397" s="5">
        <v>2.0</v>
      </c>
      <c r="D397" s="5" t="s">
        <v>635</v>
      </c>
      <c r="E397" s="5" t="s">
        <v>14</v>
      </c>
      <c r="F397" s="5">
        <v>33.0</v>
      </c>
      <c r="G397" s="5">
        <v>1.0</v>
      </c>
      <c r="H397" s="5">
        <v>2.0</v>
      </c>
      <c r="I397" s="5" t="s">
        <v>633</v>
      </c>
      <c r="J397" s="5">
        <v>27.75</v>
      </c>
      <c r="K397" s="5"/>
      <c r="L397" s="5" t="s">
        <v>16</v>
      </c>
      <c r="M397" s="5"/>
    </row>
    <row r="398" ht="14.25" customHeight="1">
      <c r="A398" s="5">
        <v>34.0</v>
      </c>
      <c r="B398" s="5">
        <v>0.0</v>
      </c>
      <c r="C398" s="5">
        <v>2.0</v>
      </c>
      <c r="D398" s="5" t="s">
        <v>636</v>
      </c>
      <c r="E398" s="5" t="s">
        <v>18</v>
      </c>
      <c r="F398" s="5">
        <v>66.0</v>
      </c>
      <c r="G398" s="5">
        <v>0.0</v>
      </c>
      <c r="H398" s="5">
        <v>0.0</v>
      </c>
      <c r="I398" s="5" t="s">
        <v>637</v>
      </c>
      <c r="J398" s="5">
        <v>10.5</v>
      </c>
      <c r="K398" s="5"/>
      <c r="L398" s="5" t="s">
        <v>16</v>
      </c>
      <c r="M398" s="5"/>
    </row>
    <row r="399" ht="14.25" customHeight="1">
      <c r="A399" s="5">
        <v>674.0</v>
      </c>
      <c r="B399" s="5">
        <v>1.0</v>
      </c>
      <c r="C399" s="5">
        <v>2.0</v>
      </c>
      <c r="D399" s="5" t="s">
        <v>638</v>
      </c>
      <c r="E399" s="5" t="s">
        <v>18</v>
      </c>
      <c r="F399" s="5">
        <v>31.0</v>
      </c>
      <c r="G399" s="5">
        <v>0.0</v>
      </c>
      <c r="H399" s="5">
        <v>0.0</v>
      </c>
      <c r="I399" s="5">
        <v>244270.0</v>
      </c>
      <c r="J399" s="5">
        <v>13.0</v>
      </c>
      <c r="K399" s="5"/>
      <c r="L399" s="5" t="s">
        <v>16</v>
      </c>
      <c r="M399" s="5"/>
    </row>
    <row r="400" ht="14.25" customHeight="1">
      <c r="A400" s="5">
        <v>18.0</v>
      </c>
      <c r="B400" s="5">
        <v>1.0</v>
      </c>
      <c r="C400" s="5">
        <v>2.0</v>
      </c>
      <c r="D400" s="5" t="s">
        <v>639</v>
      </c>
      <c r="E400" s="5" t="s">
        <v>18</v>
      </c>
      <c r="F400" s="5"/>
      <c r="G400" s="5">
        <v>0.0</v>
      </c>
      <c r="H400" s="5">
        <v>0.0</v>
      </c>
      <c r="I400" s="5">
        <v>244373.0</v>
      </c>
      <c r="J400" s="5">
        <v>13.0</v>
      </c>
      <c r="K400" s="5"/>
      <c r="L400" s="5" t="s">
        <v>16</v>
      </c>
      <c r="M400" s="5"/>
    </row>
    <row r="401" ht="14.25" customHeight="1">
      <c r="A401" s="5">
        <v>200.0</v>
      </c>
      <c r="B401" s="5">
        <v>0.0</v>
      </c>
      <c r="C401" s="5">
        <v>2.0</v>
      </c>
      <c r="D401" s="5" t="s">
        <v>640</v>
      </c>
      <c r="E401" s="5" t="s">
        <v>14</v>
      </c>
      <c r="F401" s="5">
        <v>24.0</v>
      </c>
      <c r="G401" s="5">
        <v>0.0</v>
      </c>
      <c r="H401" s="5">
        <v>0.0</v>
      </c>
      <c r="I401" s="5">
        <v>248747.0</v>
      </c>
      <c r="J401" s="5">
        <v>13.0</v>
      </c>
      <c r="K401" s="5"/>
      <c r="L401" s="5" t="s">
        <v>16</v>
      </c>
      <c r="M401" s="5"/>
    </row>
    <row r="402" ht="14.25" customHeight="1">
      <c r="A402" s="5">
        <v>846.0</v>
      </c>
      <c r="B402" s="5">
        <v>0.0</v>
      </c>
      <c r="C402" s="5">
        <v>3.0</v>
      </c>
      <c r="D402" s="5" t="s">
        <v>641</v>
      </c>
      <c r="E402" s="5" t="s">
        <v>18</v>
      </c>
      <c r="F402" s="5">
        <v>42.0</v>
      </c>
      <c r="G402" s="5">
        <v>0.0</v>
      </c>
      <c r="H402" s="5">
        <v>0.0</v>
      </c>
      <c r="I402" s="5" t="s">
        <v>642</v>
      </c>
      <c r="J402" s="5">
        <v>7.55</v>
      </c>
      <c r="K402" s="5"/>
      <c r="L402" s="5" t="s">
        <v>16</v>
      </c>
      <c r="M402" s="5"/>
    </row>
    <row r="403" ht="14.25" customHeight="1">
      <c r="A403" s="5">
        <v>747.0</v>
      </c>
      <c r="B403" s="5">
        <v>0.0</v>
      </c>
      <c r="C403" s="5">
        <v>3.0</v>
      </c>
      <c r="D403" s="5" t="s">
        <v>643</v>
      </c>
      <c r="E403" s="5" t="s">
        <v>18</v>
      </c>
      <c r="F403" s="5">
        <v>16.0</v>
      </c>
      <c r="G403" s="5">
        <v>1.0</v>
      </c>
      <c r="H403" s="5">
        <v>1.0</v>
      </c>
      <c r="I403" s="5" t="s">
        <v>644</v>
      </c>
      <c r="J403" s="5">
        <v>20.25</v>
      </c>
      <c r="K403" s="5"/>
      <c r="L403" s="5" t="s">
        <v>16</v>
      </c>
      <c r="M403" s="5"/>
    </row>
    <row r="404" ht="14.25" customHeight="1">
      <c r="A404" s="5">
        <v>280.0</v>
      </c>
      <c r="B404" s="5">
        <v>1.0</v>
      </c>
      <c r="C404" s="5">
        <v>3.0</v>
      </c>
      <c r="D404" s="5" t="s">
        <v>645</v>
      </c>
      <c r="E404" s="5" t="s">
        <v>14</v>
      </c>
      <c r="F404" s="5">
        <v>35.0</v>
      </c>
      <c r="G404" s="5">
        <v>1.0</v>
      </c>
      <c r="H404" s="5">
        <v>1.0</v>
      </c>
      <c r="I404" s="5" t="s">
        <v>644</v>
      </c>
      <c r="J404" s="5">
        <v>20.25</v>
      </c>
      <c r="K404" s="5"/>
      <c r="L404" s="5" t="s">
        <v>16</v>
      </c>
      <c r="M404" s="5"/>
    </row>
    <row r="405" ht="14.25" customHeight="1">
      <c r="A405" s="5">
        <v>366.0</v>
      </c>
      <c r="B405" s="5">
        <v>0.0</v>
      </c>
      <c r="C405" s="5">
        <v>3.0</v>
      </c>
      <c r="D405" s="5" t="s">
        <v>646</v>
      </c>
      <c r="E405" s="5" t="s">
        <v>18</v>
      </c>
      <c r="F405" s="5">
        <v>30.0</v>
      </c>
      <c r="G405" s="5">
        <v>0.0</v>
      </c>
      <c r="H405" s="5">
        <v>0.0</v>
      </c>
      <c r="I405" s="5" t="s">
        <v>647</v>
      </c>
      <c r="J405" s="5">
        <v>7.25</v>
      </c>
      <c r="K405" s="5"/>
      <c r="L405" s="5" t="s">
        <v>16</v>
      </c>
      <c r="M405" s="5"/>
    </row>
    <row r="406" ht="14.25" customHeight="1">
      <c r="A406" s="5">
        <v>402.0</v>
      </c>
      <c r="B406" s="5">
        <v>0.0</v>
      </c>
      <c r="C406" s="5">
        <v>3.0</v>
      </c>
      <c r="D406" s="5" t="s">
        <v>648</v>
      </c>
      <c r="E406" s="5" t="s">
        <v>18</v>
      </c>
      <c r="F406" s="5">
        <v>26.0</v>
      </c>
      <c r="G406" s="5">
        <v>0.0</v>
      </c>
      <c r="H406" s="5">
        <v>0.0</v>
      </c>
      <c r="I406" s="5">
        <v>341826.0</v>
      </c>
      <c r="J406" s="5">
        <v>8.05</v>
      </c>
      <c r="K406" s="5"/>
      <c r="L406" s="5" t="s">
        <v>16</v>
      </c>
      <c r="M406" s="5"/>
    </row>
    <row r="407" ht="14.25" customHeight="1">
      <c r="A407" s="5">
        <v>41.0</v>
      </c>
      <c r="B407" s="5">
        <v>0.0</v>
      </c>
      <c r="C407" s="5">
        <v>3.0</v>
      </c>
      <c r="D407" s="5" t="s">
        <v>649</v>
      </c>
      <c r="E407" s="5" t="s">
        <v>14</v>
      </c>
      <c r="F407" s="5">
        <v>40.0</v>
      </c>
      <c r="G407" s="5">
        <v>1.0</v>
      </c>
      <c r="H407" s="5">
        <v>0.0</v>
      </c>
      <c r="I407" s="5">
        <v>7546.0</v>
      </c>
      <c r="J407" s="5">
        <v>9.475</v>
      </c>
      <c r="K407" s="5"/>
      <c r="L407" s="5" t="s">
        <v>16</v>
      </c>
      <c r="M407" s="5"/>
    </row>
    <row r="408" ht="14.25" customHeight="1">
      <c r="A408" s="5">
        <v>856.0</v>
      </c>
      <c r="B408" s="5">
        <v>1.0</v>
      </c>
      <c r="C408" s="5">
        <v>3.0</v>
      </c>
      <c r="D408" s="5" t="s">
        <v>650</v>
      </c>
      <c r="E408" s="5" t="s">
        <v>14</v>
      </c>
      <c r="F408" s="5">
        <v>18.0</v>
      </c>
      <c r="G408" s="5">
        <v>0.0</v>
      </c>
      <c r="H408" s="5">
        <v>1.0</v>
      </c>
      <c r="I408" s="5">
        <v>392091.0</v>
      </c>
      <c r="J408" s="5">
        <v>9.35</v>
      </c>
      <c r="K408" s="5"/>
      <c r="L408" s="5" t="s">
        <v>16</v>
      </c>
      <c r="M408" s="5"/>
    </row>
    <row r="409" ht="14.25" customHeight="1">
      <c r="A409" s="5">
        <v>208.0</v>
      </c>
      <c r="B409" s="5">
        <v>1.0</v>
      </c>
      <c r="C409" s="5">
        <v>3.0</v>
      </c>
      <c r="D409" s="5" t="s">
        <v>651</v>
      </c>
      <c r="E409" s="5" t="s">
        <v>18</v>
      </c>
      <c r="F409" s="5">
        <v>26.0</v>
      </c>
      <c r="G409" s="5">
        <v>0.0</v>
      </c>
      <c r="H409" s="5">
        <v>0.0</v>
      </c>
      <c r="I409" s="5">
        <v>2699.0</v>
      </c>
      <c r="J409" s="5">
        <v>18.7875</v>
      </c>
      <c r="K409" s="5"/>
      <c r="L409" s="5" t="s">
        <v>32</v>
      </c>
      <c r="M409" s="5"/>
    </row>
    <row r="410" ht="14.25" customHeight="1">
      <c r="A410" s="5">
        <v>811.0</v>
      </c>
      <c r="B410" s="5">
        <v>0.0</v>
      </c>
      <c r="C410" s="5">
        <v>3.0</v>
      </c>
      <c r="D410" s="5" t="s">
        <v>652</v>
      </c>
      <c r="E410" s="5" t="s">
        <v>18</v>
      </c>
      <c r="F410" s="5">
        <v>26.0</v>
      </c>
      <c r="G410" s="5">
        <v>0.0</v>
      </c>
      <c r="H410" s="5">
        <v>0.0</v>
      </c>
      <c r="I410" s="5">
        <v>3474.0</v>
      </c>
      <c r="J410" s="5">
        <v>7.8875</v>
      </c>
      <c r="K410" s="5"/>
      <c r="L410" s="5" t="s">
        <v>16</v>
      </c>
      <c r="M410" s="5"/>
    </row>
    <row r="411" ht="14.25" customHeight="1">
      <c r="A411" s="5">
        <v>841.0</v>
      </c>
      <c r="B411" s="5">
        <v>0.0</v>
      </c>
      <c r="C411" s="5">
        <v>3.0</v>
      </c>
      <c r="D411" s="5" t="s">
        <v>653</v>
      </c>
      <c r="E411" s="5" t="s">
        <v>18</v>
      </c>
      <c r="F411" s="5">
        <v>20.0</v>
      </c>
      <c r="G411" s="5">
        <v>0.0</v>
      </c>
      <c r="H411" s="5">
        <v>0.0</v>
      </c>
      <c r="I411" s="5" t="s">
        <v>654</v>
      </c>
      <c r="J411" s="5">
        <v>7.925</v>
      </c>
      <c r="K411" s="5"/>
      <c r="L411" s="5" t="s">
        <v>16</v>
      </c>
      <c r="M411" s="5"/>
    </row>
    <row r="412" ht="14.25" customHeight="1">
      <c r="A412" s="5">
        <v>211.0</v>
      </c>
      <c r="B412" s="5">
        <v>0.0</v>
      </c>
      <c r="C412" s="5">
        <v>3.0</v>
      </c>
      <c r="D412" s="5" t="s">
        <v>655</v>
      </c>
      <c r="E412" s="5" t="s">
        <v>18</v>
      </c>
      <c r="F412" s="5">
        <v>24.0</v>
      </c>
      <c r="G412" s="5">
        <v>0.0</v>
      </c>
      <c r="H412" s="5">
        <v>0.0</v>
      </c>
      <c r="I412" s="5" t="s">
        <v>656</v>
      </c>
      <c r="J412" s="5">
        <v>7.05</v>
      </c>
      <c r="K412" s="5"/>
      <c r="L412" s="5" t="s">
        <v>16</v>
      </c>
      <c r="M412" s="5"/>
    </row>
    <row r="413" ht="14.25" customHeight="1">
      <c r="A413" s="5">
        <v>785.0</v>
      </c>
      <c r="B413" s="5">
        <v>0.0</v>
      </c>
      <c r="C413" s="5">
        <v>3.0</v>
      </c>
      <c r="D413" s="5" t="s">
        <v>657</v>
      </c>
      <c r="E413" s="5" t="s">
        <v>18</v>
      </c>
      <c r="F413" s="5">
        <v>25.0</v>
      </c>
      <c r="G413" s="5">
        <v>0.0</v>
      </c>
      <c r="H413" s="5">
        <v>0.0</v>
      </c>
      <c r="I413" s="5" t="s">
        <v>658</v>
      </c>
      <c r="J413" s="5">
        <v>7.05</v>
      </c>
      <c r="K413" s="5"/>
      <c r="L413" s="5" t="s">
        <v>16</v>
      </c>
      <c r="M413" s="5"/>
    </row>
    <row r="414" ht="14.25" customHeight="1">
      <c r="A414" s="5">
        <v>5.0</v>
      </c>
      <c r="B414" s="5">
        <v>0.0</v>
      </c>
      <c r="C414" s="5">
        <v>3.0</v>
      </c>
      <c r="D414" s="5" t="s">
        <v>659</v>
      </c>
      <c r="E414" s="5" t="s">
        <v>18</v>
      </c>
      <c r="F414" s="5">
        <v>35.0</v>
      </c>
      <c r="G414" s="5">
        <v>0.0</v>
      </c>
      <c r="H414" s="5">
        <v>0.0</v>
      </c>
      <c r="I414" s="5">
        <v>373450.0</v>
      </c>
      <c r="J414" s="5">
        <v>8.05</v>
      </c>
      <c r="K414" s="5"/>
      <c r="L414" s="5" t="s">
        <v>16</v>
      </c>
      <c r="M414" s="5"/>
    </row>
    <row r="415" ht="14.25" customHeight="1">
      <c r="A415" s="5">
        <v>835.0</v>
      </c>
      <c r="B415" s="5">
        <v>0.0</v>
      </c>
      <c r="C415" s="5">
        <v>3.0</v>
      </c>
      <c r="D415" s="5" t="s">
        <v>660</v>
      </c>
      <c r="E415" s="5" t="s">
        <v>18</v>
      </c>
      <c r="F415" s="5">
        <v>18.0</v>
      </c>
      <c r="G415" s="5">
        <v>0.0</v>
      </c>
      <c r="H415" s="5">
        <v>0.0</v>
      </c>
      <c r="I415" s="5">
        <v>2223.0</v>
      </c>
      <c r="J415" s="5">
        <v>8.3</v>
      </c>
      <c r="K415" s="5"/>
      <c r="L415" s="5" t="s">
        <v>16</v>
      </c>
      <c r="M415" s="5"/>
    </row>
    <row r="416" ht="14.25" customHeight="1">
      <c r="A416" s="5">
        <v>193.0</v>
      </c>
      <c r="B416" s="5">
        <v>1.0</v>
      </c>
      <c r="C416" s="5">
        <v>3.0</v>
      </c>
      <c r="D416" s="5" t="s">
        <v>661</v>
      </c>
      <c r="E416" s="5" t="s">
        <v>14</v>
      </c>
      <c r="F416" s="5">
        <v>19.0</v>
      </c>
      <c r="G416" s="5">
        <v>1.0</v>
      </c>
      <c r="H416" s="5">
        <v>0.0</v>
      </c>
      <c r="I416" s="5">
        <v>350046.0</v>
      </c>
      <c r="J416" s="5">
        <v>7.8542</v>
      </c>
      <c r="K416" s="5"/>
      <c r="L416" s="5" t="s">
        <v>16</v>
      </c>
      <c r="M416" s="5"/>
    </row>
    <row r="417" ht="14.25" customHeight="1">
      <c r="A417" s="5">
        <v>851.0</v>
      </c>
      <c r="B417" s="5">
        <v>0.0</v>
      </c>
      <c r="C417" s="5">
        <v>3.0</v>
      </c>
      <c r="D417" s="5" t="s">
        <v>662</v>
      </c>
      <c r="E417" s="5" t="s">
        <v>18</v>
      </c>
      <c r="F417" s="5">
        <v>4.0</v>
      </c>
      <c r="G417" s="5">
        <v>4.0</v>
      </c>
      <c r="H417" s="5">
        <v>2.0</v>
      </c>
      <c r="I417" s="5">
        <v>347082.0</v>
      </c>
      <c r="J417" s="5">
        <v>31.275</v>
      </c>
      <c r="K417" s="5"/>
      <c r="L417" s="5" t="s">
        <v>16</v>
      </c>
      <c r="M417" s="5"/>
    </row>
    <row r="418" ht="14.25" customHeight="1">
      <c r="A418" s="5">
        <v>814.0</v>
      </c>
      <c r="B418" s="5">
        <v>0.0</v>
      </c>
      <c r="C418" s="5">
        <v>3.0</v>
      </c>
      <c r="D418" s="5" t="s">
        <v>663</v>
      </c>
      <c r="E418" s="5" t="s">
        <v>14</v>
      </c>
      <c r="F418" s="5">
        <v>6.0</v>
      </c>
      <c r="G418" s="5">
        <v>4.0</v>
      </c>
      <c r="H418" s="5">
        <v>2.0</v>
      </c>
      <c r="I418" s="5">
        <v>347082.0</v>
      </c>
      <c r="J418" s="5">
        <v>31.275</v>
      </c>
      <c r="K418" s="5"/>
      <c r="L418" s="5" t="s">
        <v>16</v>
      </c>
      <c r="M418" s="5"/>
    </row>
    <row r="419" ht="14.25" customHeight="1">
      <c r="A419" s="5">
        <v>120.0</v>
      </c>
      <c r="B419" s="5">
        <v>0.0</v>
      </c>
      <c r="C419" s="5">
        <v>3.0</v>
      </c>
      <c r="D419" s="5" t="s">
        <v>664</v>
      </c>
      <c r="E419" s="5" t="s">
        <v>14</v>
      </c>
      <c r="F419" s="5">
        <v>2.0</v>
      </c>
      <c r="G419" s="5">
        <v>4.0</v>
      </c>
      <c r="H419" s="5">
        <v>2.0</v>
      </c>
      <c r="I419" s="5">
        <v>347082.0</v>
      </c>
      <c r="J419" s="5">
        <v>31.275</v>
      </c>
      <c r="K419" s="5"/>
      <c r="L419" s="5" t="s">
        <v>16</v>
      </c>
      <c r="M419" s="5"/>
    </row>
    <row r="420" ht="14.25" customHeight="1">
      <c r="A420" s="5">
        <v>69.0</v>
      </c>
      <c r="B420" s="5">
        <v>1.0</v>
      </c>
      <c r="C420" s="5">
        <v>3.0</v>
      </c>
      <c r="D420" s="5" t="s">
        <v>665</v>
      </c>
      <c r="E420" s="5" t="s">
        <v>14</v>
      </c>
      <c r="F420" s="5">
        <v>17.0</v>
      </c>
      <c r="G420" s="5">
        <v>4.0</v>
      </c>
      <c r="H420" s="5">
        <v>2.0</v>
      </c>
      <c r="I420" s="5">
        <v>3101281.0</v>
      </c>
      <c r="J420" s="5">
        <v>7.925</v>
      </c>
      <c r="K420" s="5"/>
      <c r="L420" s="5" t="s">
        <v>16</v>
      </c>
      <c r="M420" s="5"/>
    </row>
    <row r="421" ht="14.25" customHeight="1">
      <c r="A421" s="5">
        <v>542.0</v>
      </c>
      <c r="B421" s="5">
        <v>0.0</v>
      </c>
      <c r="C421" s="5">
        <v>3.0</v>
      </c>
      <c r="D421" s="5" t="s">
        <v>666</v>
      </c>
      <c r="E421" s="5" t="s">
        <v>14</v>
      </c>
      <c r="F421" s="5">
        <v>9.0</v>
      </c>
      <c r="G421" s="5">
        <v>4.0</v>
      </c>
      <c r="H421" s="5">
        <v>2.0</v>
      </c>
      <c r="I421" s="5">
        <v>347082.0</v>
      </c>
      <c r="J421" s="5">
        <v>31.275</v>
      </c>
      <c r="K421" s="5"/>
      <c r="L421" s="5" t="s">
        <v>16</v>
      </c>
      <c r="M421" s="5"/>
    </row>
    <row r="422" ht="14.25" customHeight="1">
      <c r="A422" s="5">
        <v>543.0</v>
      </c>
      <c r="B422" s="5">
        <v>0.0</v>
      </c>
      <c r="C422" s="5">
        <v>3.0</v>
      </c>
      <c r="D422" s="5" t="s">
        <v>667</v>
      </c>
      <c r="E422" s="5" t="s">
        <v>14</v>
      </c>
      <c r="F422" s="5">
        <v>11.0</v>
      </c>
      <c r="G422" s="5">
        <v>4.0</v>
      </c>
      <c r="H422" s="5">
        <v>2.0</v>
      </c>
      <c r="I422" s="5">
        <v>347082.0</v>
      </c>
      <c r="J422" s="5">
        <v>31.275</v>
      </c>
      <c r="K422" s="5"/>
      <c r="L422" s="5" t="s">
        <v>16</v>
      </c>
      <c r="M422" s="5"/>
    </row>
    <row r="423" ht="14.25" customHeight="1">
      <c r="A423" s="5">
        <v>14.0</v>
      </c>
      <c r="B423" s="5">
        <v>0.0</v>
      </c>
      <c r="C423" s="5">
        <v>3.0</v>
      </c>
      <c r="D423" s="5" t="s">
        <v>668</v>
      </c>
      <c r="E423" s="5" t="s">
        <v>18</v>
      </c>
      <c r="F423" s="5">
        <v>39.0</v>
      </c>
      <c r="G423" s="5">
        <v>1.0</v>
      </c>
      <c r="H423" s="5">
        <v>5.0</v>
      </c>
      <c r="I423" s="5">
        <v>347082.0</v>
      </c>
      <c r="J423" s="5">
        <v>31.275</v>
      </c>
      <c r="K423" s="5"/>
      <c r="L423" s="5" t="s">
        <v>16</v>
      </c>
      <c r="M423" s="5"/>
    </row>
    <row r="424" ht="14.25" customHeight="1">
      <c r="A424" s="5">
        <v>147.0</v>
      </c>
      <c r="B424" s="5">
        <v>1.0</v>
      </c>
      <c r="C424" s="5">
        <v>3.0</v>
      </c>
      <c r="D424" s="5" t="s">
        <v>669</v>
      </c>
      <c r="E424" s="5" t="s">
        <v>18</v>
      </c>
      <c r="F424" s="5">
        <v>27.0</v>
      </c>
      <c r="G424" s="5">
        <v>0.0</v>
      </c>
      <c r="H424" s="5">
        <v>0.0</v>
      </c>
      <c r="I424" s="5">
        <v>350043.0</v>
      </c>
      <c r="J424" s="5">
        <v>7.7958</v>
      </c>
      <c r="K424" s="5"/>
      <c r="L424" s="5" t="s">
        <v>16</v>
      </c>
      <c r="M424" s="5"/>
    </row>
    <row r="425" ht="14.25" customHeight="1">
      <c r="A425" s="5">
        <v>611.0</v>
      </c>
      <c r="B425" s="5">
        <v>0.0</v>
      </c>
      <c r="C425" s="5">
        <v>3.0</v>
      </c>
      <c r="D425" s="5" t="s">
        <v>670</v>
      </c>
      <c r="E425" s="5" t="s">
        <v>14</v>
      </c>
      <c r="F425" s="5">
        <v>39.0</v>
      </c>
      <c r="G425" s="5">
        <v>1.0</v>
      </c>
      <c r="H425" s="5">
        <v>5.0</v>
      </c>
      <c r="I425" s="5">
        <v>347082.0</v>
      </c>
      <c r="J425" s="5">
        <v>31.275</v>
      </c>
      <c r="K425" s="5"/>
      <c r="L425" s="5" t="s">
        <v>16</v>
      </c>
      <c r="M425" s="5"/>
    </row>
    <row r="426" ht="14.25" customHeight="1">
      <c r="A426" s="5">
        <v>92.0</v>
      </c>
      <c r="B426" s="5">
        <v>0.0</v>
      </c>
      <c r="C426" s="5">
        <v>3.0</v>
      </c>
      <c r="D426" s="5" t="s">
        <v>671</v>
      </c>
      <c r="E426" s="5" t="s">
        <v>18</v>
      </c>
      <c r="F426" s="5">
        <v>20.0</v>
      </c>
      <c r="G426" s="5">
        <v>0.0</v>
      </c>
      <c r="H426" s="5">
        <v>0.0</v>
      </c>
      <c r="I426" s="5">
        <v>347466.0</v>
      </c>
      <c r="J426" s="5">
        <v>7.8542</v>
      </c>
      <c r="K426" s="5"/>
      <c r="L426" s="5" t="s">
        <v>16</v>
      </c>
      <c r="M426" s="5"/>
    </row>
    <row r="427" ht="14.25" customHeight="1">
      <c r="A427" s="5">
        <v>354.0</v>
      </c>
      <c r="B427" s="5">
        <v>0.0</v>
      </c>
      <c r="C427" s="5">
        <v>3.0</v>
      </c>
      <c r="D427" s="5" t="s">
        <v>672</v>
      </c>
      <c r="E427" s="5" t="s">
        <v>18</v>
      </c>
      <c r="F427" s="5">
        <v>25.0</v>
      </c>
      <c r="G427" s="5">
        <v>1.0</v>
      </c>
      <c r="H427" s="5">
        <v>0.0</v>
      </c>
      <c r="I427" s="5">
        <v>349237.0</v>
      </c>
      <c r="J427" s="5">
        <v>17.8</v>
      </c>
      <c r="K427" s="5"/>
      <c r="L427" s="5" t="s">
        <v>16</v>
      </c>
      <c r="M427" s="5"/>
    </row>
    <row r="428" ht="14.25" customHeight="1">
      <c r="A428" s="5">
        <v>50.0</v>
      </c>
      <c r="B428" s="5">
        <v>0.0</v>
      </c>
      <c r="C428" s="5">
        <v>3.0</v>
      </c>
      <c r="D428" s="5" t="s">
        <v>673</v>
      </c>
      <c r="E428" s="5" t="s">
        <v>14</v>
      </c>
      <c r="F428" s="5">
        <v>18.0</v>
      </c>
      <c r="G428" s="5">
        <v>1.0</v>
      </c>
      <c r="H428" s="5">
        <v>0.0</v>
      </c>
      <c r="I428" s="5">
        <v>349237.0</v>
      </c>
      <c r="J428" s="5">
        <v>17.8</v>
      </c>
      <c r="K428" s="5"/>
      <c r="L428" s="5" t="s">
        <v>16</v>
      </c>
      <c r="M428" s="5"/>
    </row>
    <row r="429" ht="14.25" customHeight="1">
      <c r="A429" s="5">
        <v>364.0</v>
      </c>
      <c r="B429" s="5">
        <v>0.0</v>
      </c>
      <c r="C429" s="5">
        <v>3.0</v>
      </c>
      <c r="D429" s="5" t="s">
        <v>674</v>
      </c>
      <c r="E429" s="5" t="s">
        <v>18</v>
      </c>
      <c r="F429" s="5">
        <v>35.0</v>
      </c>
      <c r="G429" s="5">
        <v>0.0</v>
      </c>
      <c r="H429" s="5">
        <v>0.0</v>
      </c>
      <c r="I429" s="5" t="s">
        <v>675</v>
      </c>
      <c r="J429" s="5">
        <v>7.05</v>
      </c>
      <c r="K429" s="5"/>
      <c r="L429" s="5" t="s">
        <v>16</v>
      </c>
      <c r="M429" s="5"/>
    </row>
    <row r="430" ht="14.25" customHeight="1">
      <c r="A430" s="5">
        <v>183.0</v>
      </c>
      <c r="B430" s="5">
        <v>0.0</v>
      </c>
      <c r="C430" s="5">
        <v>3.0</v>
      </c>
      <c r="D430" s="5" t="s">
        <v>676</v>
      </c>
      <c r="E430" s="5" t="s">
        <v>18</v>
      </c>
      <c r="F430" s="5">
        <v>9.0</v>
      </c>
      <c r="G430" s="5">
        <v>4.0</v>
      </c>
      <c r="H430" s="5">
        <v>2.0</v>
      </c>
      <c r="I430" s="5">
        <v>347077.0</v>
      </c>
      <c r="J430" s="5">
        <v>31.3875</v>
      </c>
      <c r="K430" s="5"/>
      <c r="L430" s="5" t="s">
        <v>16</v>
      </c>
      <c r="M430" s="5"/>
    </row>
    <row r="431" ht="14.25" customHeight="1">
      <c r="A431" s="5">
        <v>262.0</v>
      </c>
      <c r="B431" s="5">
        <v>1.0</v>
      </c>
      <c r="C431" s="5">
        <v>3.0</v>
      </c>
      <c r="D431" s="5" t="s">
        <v>677</v>
      </c>
      <c r="E431" s="5" t="s">
        <v>18</v>
      </c>
      <c r="F431" s="5">
        <v>3.0</v>
      </c>
      <c r="G431" s="5">
        <v>4.0</v>
      </c>
      <c r="H431" s="5">
        <v>2.0</v>
      </c>
      <c r="I431" s="5">
        <v>347077.0</v>
      </c>
      <c r="J431" s="5">
        <v>31.3875</v>
      </c>
      <c r="K431" s="5"/>
      <c r="L431" s="5" t="s">
        <v>16</v>
      </c>
      <c r="M431" s="5"/>
    </row>
    <row r="432" ht="14.25" customHeight="1">
      <c r="A432" s="5">
        <v>234.0</v>
      </c>
      <c r="B432" s="5">
        <v>1.0</v>
      </c>
      <c r="C432" s="5">
        <v>3.0</v>
      </c>
      <c r="D432" s="5" t="s">
        <v>678</v>
      </c>
      <c r="E432" s="5" t="s">
        <v>14</v>
      </c>
      <c r="F432" s="5">
        <v>5.0</v>
      </c>
      <c r="G432" s="5">
        <v>4.0</v>
      </c>
      <c r="H432" s="5">
        <v>2.0</v>
      </c>
      <c r="I432" s="5">
        <v>347077.0</v>
      </c>
      <c r="J432" s="5">
        <v>31.3875</v>
      </c>
      <c r="K432" s="5"/>
      <c r="L432" s="5" t="s">
        <v>16</v>
      </c>
      <c r="M432" s="5"/>
    </row>
    <row r="433" ht="14.25" customHeight="1">
      <c r="A433" s="5">
        <v>26.0</v>
      </c>
      <c r="B433" s="5">
        <v>1.0</v>
      </c>
      <c r="C433" s="5">
        <v>3.0</v>
      </c>
      <c r="D433" s="5" t="s">
        <v>679</v>
      </c>
      <c r="E433" s="5" t="s">
        <v>14</v>
      </c>
      <c r="F433" s="5">
        <v>38.0</v>
      </c>
      <c r="G433" s="5">
        <v>1.0</v>
      </c>
      <c r="H433" s="5">
        <v>5.0</v>
      </c>
      <c r="I433" s="5">
        <v>347077.0</v>
      </c>
      <c r="J433" s="5">
        <v>31.3875</v>
      </c>
      <c r="K433" s="5"/>
      <c r="L433" s="5" t="s">
        <v>16</v>
      </c>
      <c r="M433" s="5"/>
    </row>
    <row r="434" ht="14.25" customHeight="1">
      <c r="A434" s="5">
        <v>115.0</v>
      </c>
      <c r="B434" s="5">
        <v>0.0</v>
      </c>
      <c r="C434" s="5">
        <v>3.0</v>
      </c>
      <c r="D434" s="5" t="s">
        <v>680</v>
      </c>
      <c r="E434" s="5" t="s">
        <v>14</v>
      </c>
      <c r="F434" s="5">
        <v>17.0</v>
      </c>
      <c r="G434" s="5">
        <v>0.0</v>
      </c>
      <c r="H434" s="5">
        <v>0.0</v>
      </c>
      <c r="I434" s="5">
        <v>2627.0</v>
      </c>
      <c r="J434" s="5">
        <v>14.4583</v>
      </c>
      <c r="K434" s="5"/>
      <c r="L434" s="5" t="s">
        <v>32</v>
      </c>
      <c r="M434" s="5"/>
    </row>
    <row r="435" ht="14.25" customHeight="1">
      <c r="A435" s="5">
        <v>245.0</v>
      </c>
      <c r="B435" s="5">
        <v>0.0</v>
      </c>
      <c r="C435" s="5">
        <v>3.0</v>
      </c>
      <c r="D435" s="5" t="s">
        <v>681</v>
      </c>
      <c r="E435" s="5" t="s">
        <v>18</v>
      </c>
      <c r="F435" s="5">
        <v>30.0</v>
      </c>
      <c r="G435" s="5">
        <v>0.0</v>
      </c>
      <c r="H435" s="5">
        <v>0.0</v>
      </c>
      <c r="I435" s="5">
        <v>2694.0</v>
      </c>
      <c r="J435" s="5">
        <v>7.225</v>
      </c>
      <c r="K435" s="5"/>
      <c r="L435" s="5" t="s">
        <v>32</v>
      </c>
      <c r="M435" s="5"/>
    </row>
    <row r="436" ht="14.25" customHeight="1">
      <c r="A436" s="5">
        <v>834.0</v>
      </c>
      <c r="B436" s="5">
        <v>0.0</v>
      </c>
      <c r="C436" s="5">
        <v>3.0</v>
      </c>
      <c r="D436" s="5" t="s">
        <v>682</v>
      </c>
      <c r="E436" s="5" t="s">
        <v>18</v>
      </c>
      <c r="F436" s="5">
        <v>23.0</v>
      </c>
      <c r="G436" s="5">
        <v>0.0</v>
      </c>
      <c r="H436" s="5">
        <v>0.0</v>
      </c>
      <c r="I436" s="5">
        <v>347468.0</v>
      </c>
      <c r="J436" s="5">
        <v>7.8542</v>
      </c>
      <c r="K436" s="5"/>
      <c r="L436" s="5" t="s">
        <v>16</v>
      </c>
      <c r="M436" s="5"/>
    </row>
    <row r="437" ht="14.25" customHeight="1">
      <c r="A437" s="5">
        <v>781.0</v>
      </c>
      <c r="B437" s="5">
        <v>1.0</v>
      </c>
      <c r="C437" s="5">
        <v>3.0</v>
      </c>
      <c r="D437" s="5" t="s">
        <v>683</v>
      </c>
      <c r="E437" s="5" t="s">
        <v>14</v>
      </c>
      <c r="F437" s="5">
        <v>13.0</v>
      </c>
      <c r="G437" s="5">
        <v>0.0</v>
      </c>
      <c r="H437" s="5">
        <v>0.0</v>
      </c>
      <c r="I437" s="5">
        <v>2687.0</v>
      </c>
      <c r="J437" s="5">
        <v>7.2292</v>
      </c>
      <c r="K437" s="5"/>
      <c r="L437" s="5" t="s">
        <v>32</v>
      </c>
      <c r="M437" s="5"/>
    </row>
    <row r="438" ht="14.25" customHeight="1">
      <c r="A438" s="5">
        <v>207.0</v>
      </c>
      <c r="B438" s="5">
        <v>0.0</v>
      </c>
      <c r="C438" s="5">
        <v>3.0</v>
      </c>
      <c r="D438" s="5" t="s">
        <v>684</v>
      </c>
      <c r="E438" s="5" t="s">
        <v>18</v>
      </c>
      <c r="F438" s="5">
        <v>32.0</v>
      </c>
      <c r="G438" s="5">
        <v>1.0</v>
      </c>
      <c r="H438" s="5">
        <v>0.0</v>
      </c>
      <c r="I438" s="5">
        <v>3101278.0</v>
      </c>
      <c r="J438" s="5">
        <v>15.85</v>
      </c>
      <c r="K438" s="5"/>
      <c r="L438" s="5" t="s">
        <v>16</v>
      </c>
      <c r="M438" s="5"/>
    </row>
    <row r="439" ht="14.25" customHeight="1">
      <c r="A439" s="5">
        <v>86.0</v>
      </c>
      <c r="B439" s="5">
        <v>1.0</v>
      </c>
      <c r="C439" s="5">
        <v>3.0</v>
      </c>
      <c r="D439" s="5" t="s">
        <v>685</v>
      </c>
      <c r="E439" s="5" t="s">
        <v>14</v>
      </c>
      <c r="F439" s="5">
        <v>33.0</v>
      </c>
      <c r="G439" s="5">
        <v>3.0</v>
      </c>
      <c r="H439" s="5">
        <v>0.0</v>
      </c>
      <c r="I439" s="5">
        <v>3101278.0</v>
      </c>
      <c r="J439" s="5">
        <v>15.85</v>
      </c>
      <c r="K439" s="5"/>
      <c r="L439" s="5" t="s">
        <v>16</v>
      </c>
      <c r="M439" s="5"/>
    </row>
    <row r="440" ht="14.25" customHeight="1">
      <c r="A440" s="5">
        <v>645.0</v>
      </c>
      <c r="B440" s="5">
        <v>1.0</v>
      </c>
      <c r="C440" s="5">
        <v>3.0</v>
      </c>
      <c r="D440" s="5" t="s">
        <v>686</v>
      </c>
      <c r="E440" s="5" t="s">
        <v>14</v>
      </c>
      <c r="F440" s="5">
        <v>0.75</v>
      </c>
      <c r="G440" s="5">
        <v>2.0</v>
      </c>
      <c r="H440" s="5">
        <v>1.0</v>
      </c>
      <c r="I440" s="5">
        <v>2666.0</v>
      </c>
      <c r="J440" s="5">
        <v>19.2583</v>
      </c>
      <c r="K440" s="5"/>
      <c r="L440" s="5" t="s">
        <v>32</v>
      </c>
      <c r="M440" s="5"/>
    </row>
    <row r="441" ht="14.25" customHeight="1">
      <c r="A441" s="5">
        <v>470.0</v>
      </c>
      <c r="B441" s="5">
        <v>1.0</v>
      </c>
      <c r="C441" s="5">
        <v>3.0</v>
      </c>
      <c r="D441" s="5" t="s">
        <v>687</v>
      </c>
      <c r="E441" s="5" t="s">
        <v>14</v>
      </c>
      <c r="F441" s="5">
        <v>0.75</v>
      </c>
      <c r="G441" s="5">
        <v>2.0</v>
      </c>
      <c r="H441" s="5">
        <v>1.0</v>
      </c>
      <c r="I441" s="5">
        <v>2666.0</v>
      </c>
      <c r="J441" s="5">
        <v>19.2583</v>
      </c>
      <c r="K441" s="5"/>
      <c r="L441" s="5" t="s">
        <v>32</v>
      </c>
      <c r="M441" s="5"/>
    </row>
    <row r="442" ht="14.25" customHeight="1">
      <c r="A442" s="5">
        <v>449.0</v>
      </c>
      <c r="B442" s="5">
        <v>1.0</v>
      </c>
      <c r="C442" s="5">
        <v>3.0</v>
      </c>
      <c r="D442" s="5" t="s">
        <v>688</v>
      </c>
      <c r="E442" s="5" t="s">
        <v>14</v>
      </c>
      <c r="F442" s="5">
        <v>5.0</v>
      </c>
      <c r="G442" s="5">
        <v>2.0</v>
      </c>
      <c r="H442" s="5">
        <v>1.0</v>
      </c>
      <c r="I442" s="5">
        <v>2666.0</v>
      </c>
      <c r="J442" s="5">
        <v>19.2583</v>
      </c>
      <c r="K442" s="5"/>
      <c r="L442" s="5" t="s">
        <v>32</v>
      </c>
      <c r="M442" s="5"/>
    </row>
    <row r="443" ht="14.25" customHeight="1">
      <c r="A443" s="5">
        <v>859.0</v>
      </c>
      <c r="B443" s="5">
        <v>1.0</v>
      </c>
      <c r="C443" s="5">
        <v>3.0</v>
      </c>
      <c r="D443" s="5" t="s">
        <v>689</v>
      </c>
      <c r="E443" s="5" t="s">
        <v>14</v>
      </c>
      <c r="F443" s="5">
        <v>24.0</v>
      </c>
      <c r="G443" s="5">
        <v>0.0</v>
      </c>
      <c r="H443" s="5">
        <v>3.0</v>
      </c>
      <c r="I443" s="5">
        <v>2666.0</v>
      </c>
      <c r="J443" s="5">
        <v>19.2583</v>
      </c>
      <c r="K443" s="5"/>
      <c r="L443" s="5" t="s">
        <v>32</v>
      </c>
      <c r="M443" s="5"/>
    </row>
    <row r="444" ht="14.25" customHeight="1">
      <c r="A444" s="5">
        <v>662.0</v>
      </c>
      <c r="B444" s="5">
        <v>0.0</v>
      </c>
      <c r="C444" s="5">
        <v>3.0</v>
      </c>
      <c r="D444" s="5" t="s">
        <v>690</v>
      </c>
      <c r="E444" s="5" t="s">
        <v>18</v>
      </c>
      <c r="F444" s="5">
        <v>40.0</v>
      </c>
      <c r="G444" s="5">
        <v>0.0</v>
      </c>
      <c r="H444" s="5">
        <v>0.0</v>
      </c>
      <c r="I444" s="5">
        <v>2623.0</v>
      </c>
      <c r="J444" s="5">
        <v>7.225</v>
      </c>
      <c r="K444" s="5"/>
      <c r="L444" s="5" t="s">
        <v>32</v>
      </c>
      <c r="M444" s="5"/>
    </row>
    <row r="445" ht="14.25" customHeight="1">
      <c r="A445" s="5">
        <v>871.0</v>
      </c>
      <c r="B445" s="5">
        <v>0.0</v>
      </c>
      <c r="C445" s="5">
        <v>3.0</v>
      </c>
      <c r="D445" s="5" t="s">
        <v>691</v>
      </c>
      <c r="E445" s="5" t="s">
        <v>18</v>
      </c>
      <c r="F445" s="5">
        <v>26.0</v>
      </c>
      <c r="G445" s="5">
        <v>0.0</v>
      </c>
      <c r="H445" s="5">
        <v>0.0</v>
      </c>
      <c r="I445" s="5">
        <v>349248.0</v>
      </c>
      <c r="J445" s="5">
        <v>7.8958</v>
      </c>
      <c r="K445" s="5"/>
      <c r="L445" s="5" t="s">
        <v>16</v>
      </c>
      <c r="M445" s="5"/>
    </row>
    <row r="446" ht="14.25" customHeight="1">
      <c r="A446" s="5">
        <v>763.0</v>
      </c>
      <c r="B446" s="5">
        <v>1.0</v>
      </c>
      <c r="C446" s="5">
        <v>3.0</v>
      </c>
      <c r="D446" s="5" t="s">
        <v>692</v>
      </c>
      <c r="E446" s="5" t="s">
        <v>18</v>
      </c>
      <c r="F446" s="5">
        <v>20.0</v>
      </c>
      <c r="G446" s="5">
        <v>0.0</v>
      </c>
      <c r="H446" s="5">
        <v>0.0</v>
      </c>
      <c r="I446" s="5">
        <v>2663.0</v>
      </c>
      <c r="J446" s="5">
        <v>7.2292</v>
      </c>
      <c r="K446" s="5"/>
      <c r="L446" s="5" t="s">
        <v>32</v>
      </c>
      <c r="M446" s="5"/>
    </row>
    <row r="447" ht="14.25" customHeight="1">
      <c r="A447" s="5">
        <v>703.0</v>
      </c>
      <c r="B447" s="5">
        <v>0.0</v>
      </c>
      <c r="C447" s="5">
        <v>3.0</v>
      </c>
      <c r="D447" s="5" t="s">
        <v>693</v>
      </c>
      <c r="E447" s="5" t="s">
        <v>14</v>
      </c>
      <c r="F447" s="5">
        <v>18.0</v>
      </c>
      <c r="G447" s="5">
        <v>0.0</v>
      </c>
      <c r="H447" s="5">
        <v>1.0</v>
      </c>
      <c r="I447" s="5">
        <v>2691.0</v>
      </c>
      <c r="J447" s="5">
        <v>14.4542</v>
      </c>
      <c r="K447" s="5"/>
      <c r="L447" s="5" t="s">
        <v>32</v>
      </c>
      <c r="M447" s="5"/>
    </row>
    <row r="448" ht="14.25" customHeight="1">
      <c r="A448" s="5">
        <v>363.0</v>
      </c>
      <c r="B448" s="5">
        <v>0.0</v>
      </c>
      <c r="C448" s="5">
        <v>3.0</v>
      </c>
      <c r="D448" s="5" t="s">
        <v>694</v>
      </c>
      <c r="E448" s="5" t="s">
        <v>14</v>
      </c>
      <c r="F448" s="5">
        <v>45.0</v>
      </c>
      <c r="G448" s="5">
        <v>0.0</v>
      </c>
      <c r="H448" s="5">
        <v>1.0</v>
      </c>
      <c r="I448" s="5">
        <v>2691.0</v>
      </c>
      <c r="J448" s="5">
        <v>14.4542</v>
      </c>
      <c r="K448" s="5"/>
      <c r="L448" s="5" t="s">
        <v>32</v>
      </c>
      <c r="M448" s="5"/>
    </row>
    <row r="449" ht="14.25" customHeight="1">
      <c r="A449" s="5">
        <v>113.0</v>
      </c>
      <c r="B449" s="5">
        <v>0.0</v>
      </c>
      <c r="C449" s="5">
        <v>3.0</v>
      </c>
      <c r="D449" s="5" t="s">
        <v>695</v>
      </c>
      <c r="E449" s="5" t="s">
        <v>18</v>
      </c>
      <c r="F449" s="5">
        <v>22.0</v>
      </c>
      <c r="G449" s="5">
        <v>0.0</v>
      </c>
      <c r="H449" s="5">
        <v>0.0</v>
      </c>
      <c r="I449" s="5">
        <v>324669.0</v>
      </c>
      <c r="J449" s="5">
        <v>8.05</v>
      </c>
      <c r="K449" s="5"/>
      <c r="L449" s="5" t="s">
        <v>16</v>
      </c>
      <c r="M449" s="5"/>
    </row>
    <row r="450" ht="14.25" customHeight="1">
      <c r="A450" s="5">
        <v>373.0</v>
      </c>
      <c r="B450" s="5">
        <v>0.0</v>
      </c>
      <c r="C450" s="5">
        <v>3.0</v>
      </c>
      <c r="D450" s="5" t="s">
        <v>696</v>
      </c>
      <c r="E450" s="5" t="s">
        <v>18</v>
      </c>
      <c r="F450" s="5">
        <v>19.0</v>
      </c>
      <c r="G450" s="5">
        <v>0.0</v>
      </c>
      <c r="H450" s="5">
        <v>0.0</v>
      </c>
      <c r="I450" s="5">
        <v>323951.0</v>
      </c>
      <c r="J450" s="5">
        <v>8.05</v>
      </c>
      <c r="K450" s="5"/>
      <c r="L450" s="5" t="s">
        <v>16</v>
      </c>
      <c r="M450" s="5"/>
    </row>
    <row r="451" ht="14.25" customHeight="1">
      <c r="A451" s="5">
        <v>163.0</v>
      </c>
      <c r="B451" s="5">
        <v>0.0</v>
      </c>
      <c r="C451" s="5">
        <v>3.0</v>
      </c>
      <c r="D451" s="5" t="s">
        <v>697</v>
      </c>
      <c r="E451" s="5" t="s">
        <v>18</v>
      </c>
      <c r="F451" s="5">
        <v>26.0</v>
      </c>
      <c r="G451" s="5">
        <v>0.0</v>
      </c>
      <c r="H451" s="5">
        <v>0.0</v>
      </c>
      <c r="I451" s="5">
        <v>347068.0</v>
      </c>
      <c r="J451" s="5">
        <v>7.775</v>
      </c>
      <c r="K451" s="5"/>
      <c r="L451" s="5" t="s">
        <v>16</v>
      </c>
      <c r="M451" s="5"/>
    </row>
    <row r="452" ht="14.25" customHeight="1">
      <c r="A452" s="5">
        <v>226.0</v>
      </c>
      <c r="B452" s="5">
        <v>0.0</v>
      </c>
      <c r="C452" s="5">
        <v>3.0</v>
      </c>
      <c r="D452" s="5" t="s">
        <v>698</v>
      </c>
      <c r="E452" s="5" t="s">
        <v>18</v>
      </c>
      <c r="F452" s="5">
        <v>22.0</v>
      </c>
      <c r="G452" s="5">
        <v>0.0</v>
      </c>
      <c r="H452" s="5">
        <v>0.0</v>
      </c>
      <c r="I452" s="5" t="s">
        <v>699</v>
      </c>
      <c r="J452" s="5">
        <v>9.35</v>
      </c>
      <c r="K452" s="5"/>
      <c r="L452" s="5" t="s">
        <v>16</v>
      </c>
      <c r="M452" s="5"/>
    </row>
    <row r="453" ht="14.25" customHeight="1">
      <c r="A453" s="5">
        <v>379.0</v>
      </c>
      <c r="B453" s="5">
        <v>0.0</v>
      </c>
      <c r="C453" s="5">
        <v>3.0</v>
      </c>
      <c r="D453" s="5" t="s">
        <v>700</v>
      </c>
      <c r="E453" s="5" t="s">
        <v>18</v>
      </c>
      <c r="F453" s="5">
        <v>20.0</v>
      </c>
      <c r="G453" s="5">
        <v>0.0</v>
      </c>
      <c r="H453" s="5">
        <v>0.0</v>
      </c>
      <c r="I453" s="5">
        <v>2648.0</v>
      </c>
      <c r="J453" s="5">
        <v>4.0125</v>
      </c>
      <c r="K453" s="5"/>
      <c r="L453" s="5" t="s">
        <v>32</v>
      </c>
      <c r="M453" s="5"/>
    </row>
    <row r="454" ht="14.25" customHeight="1">
      <c r="A454" s="5">
        <v>75.0</v>
      </c>
      <c r="B454" s="5">
        <v>1.0</v>
      </c>
      <c r="C454" s="5">
        <v>3.0</v>
      </c>
      <c r="D454" s="5" t="s">
        <v>701</v>
      </c>
      <c r="E454" s="5" t="s">
        <v>18</v>
      </c>
      <c r="F454" s="5">
        <v>32.0</v>
      </c>
      <c r="G454" s="5">
        <v>0.0</v>
      </c>
      <c r="H454" s="5">
        <v>0.0</v>
      </c>
      <c r="I454" s="5">
        <v>1601.0</v>
      </c>
      <c r="J454" s="5">
        <v>56.4958</v>
      </c>
      <c r="K454" s="5"/>
      <c r="L454" s="5" t="s">
        <v>16</v>
      </c>
      <c r="M454" s="5"/>
    </row>
    <row r="455" ht="14.25" customHeight="1">
      <c r="A455" s="5">
        <v>409.0</v>
      </c>
      <c r="B455" s="5">
        <v>0.0</v>
      </c>
      <c r="C455" s="5">
        <v>3.0</v>
      </c>
      <c r="D455" s="5" t="s">
        <v>702</v>
      </c>
      <c r="E455" s="5" t="s">
        <v>18</v>
      </c>
      <c r="F455" s="5">
        <v>21.0</v>
      </c>
      <c r="G455" s="5">
        <v>0.0</v>
      </c>
      <c r="H455" s="5">
        <v>0.0</v>
      </c>
      <c r="I455" s="5">
        <v>312992.0</v>
      </c>
      <c r="J455" s="5">
        <v>7.775</v>
      </c>
      <c r="K455" s="5"/>
      <c r="L455" s="5" t="s">
        <v>16</v>
      </c>
      <c r="M455" s="5"/>
    </row>
    <row r="456" ht="14.25" customHeight="1">
      <c r="A456" s="5">
        <v>629.0</v>
      </c>
      <c r="B456" s="5">
        <v>0.0</v>
      </c>
      <c r="C456" s="5">
        <v>3.0</v>
      </c>
      <c r="D456" s="5" t="s">
        <v>703</v>
      </c>
      <c r="E456" s="5" t="s">
        <v>18</v>
      </c>
      <c r="F456" s="5">
        <v>26.0</v>
      </c>
      <c r="G456" s="5">
        <v>0.0</v>
      </c>
      <c r="H456" s="5">
        <v>0.0</v>
      </c>
      <c r="I456" s="5">
        <v>349224.0</v>
      </c>
      <c r="J456" s="5">
        <v>7.8958</v>
      </c>
      <c r="K456" s="5"/>
      <c r="L456" s="5" t="s">
        <v>16</v>
      </c>
      <c r="M456" s="5"/>
    </row>
    <row r="457" ht="14.25" customHeight="1">
      <c r="A457" s="5">
        <v>853.0</v>
      </c>
      <c r="B457" s="5">
        <v>0.0</v>
      </c>
      <c r="C457" s="5">
        <v>3.0</v>
      </c>
      <c r="D457" s="5" t="s">
        <v>704</v>
      </c>
      <c r="E457" s="5" t="s">
        <v>14</v>
      </c>
      <c r="F457" s="5">
        <v>9.0</v>
      </c>
      <c r="G457" s="5">
        <v>1.0</v>
      </c>
      <c r="H457" s="5">
        <v>1.0</v>
      </c>
      <c r="I457" s="5">
        <v>2678.0</v>
      </c>
      <c r="J457" s="5">
        <v>15.2458</v>
      </c>
      <c r="K457" s="5"/>
      <c r="L457" s="5" t="s">
        <v>32</v>
      </c>
      <c r="M457" s="5"/>
    </row>
    <row r="458" ht="14.25" customHeight="1">
      <c r="A458" s="5">
        <v>599.0</v>
      </c>
      <c r="B458" s="5">
        <v>0.0</v>
      </c>
      <c r="C458" s="5">
        <v>3.0</v>
      </c>
      <c r="D458" s="5" t="s">
        <v>705</v>
      </c>
      <c r="E458" s="5" t="s">
        <v>18</v>
      </c>
      <c r="F458" s="5"/>
      <c r="G458" s="5">
        <v>0.0</v>
      </c>
      <c r="H458" s="5">
        <v>0.0</v>
      </c>
      <c r="I458" s="5">
        <v>2664.0</v>
      </c>
      <c r="J458" s="5">
        <v>7.225</v>
      </c>
      <c r="K458" s="5"/>
      <c r="L458" s="5" t="s">
        <v>32</v>
      </c>
      <c r="M458" s="5"/>
    </row>
    <row r="459" ht="14.25" customHeight="1">
      <c r="A459" s="5">
        <v>141.0</v>
      </c>
      <c r="B459" s="5">
        <v>0.0</v>
      </c>
      <c r="C459" s="5">
        <v>3.0</v>
      </c>
      <c r="D459" s="5" t="s">
        <v>706</v>
      </c>
      <c r="E459" s="5" t="s">
        <v>14</v>
      </c>
      <c r="F459" s="5"/>
      <c r="G459" s="5">
        <v>0.0</v>
      </c>
      <c r="H459" s="5">
        <v>2.0</v>
      </c>
      <c r="I459" s="5">
        <v>2678.0</v>
      </c>
      <c r="J459" s="5">
        <v>15.2458</v>
      </c>
      <c r="K459" s="5"/>
      <c r="L459" s="5" t="s">
        <v>32</v>
      </c>
      <c r="M459" s="5"/>
    </row>
    <row r="460" ht="14.25" customHeight="1">
      <c r="A460" s="5">
        <v>594.0</v>
      </c>
      <c r="B460" s="5">
        <v>0.0</v>
      </c>
      <c r="C460" s="5">
        <v>3.0</v>
      </c>
      <c r="D460" s="5" t="s">
        <v>707</v>
      </c>
      <c r="E460" s="5" t="s">
        <v>14</v>
      </c>
      <c r="F460" s="5"/>
      <c r="G460" s="5">
        <v>0.0</v>
      </c>
      <c r="H460" s="5">
        <v>2.0</v>
      </c>
      <c r="I460" s="5">
        <v>364848.0</v>
      </c>
      <c r="J460" s="5">
        <v>7.75</v>
      </c>
      <c r="K460" s="5"/>
      <c r="L460" s="5" t="s">
        <v>279</v>
      </c>
      <c r="M460" s="5"/>
    </row>
    <row r="461" ht="14.25" customHeight="1">
      <c r="A461" s="5">
        <v>189.0</v>
      </c>
      <c r="B461" s="5">
        <v>0.0</v>
      </c>
      <c r="C461" s="5">
        <v>3.0</v>
      </c>
      <c r="D461" s="5" t="s">
        <v>708</v>
      </c>
      <c r="E461" s="5" t="s">
        <v>18</v>
      </c>
      <c r="F461" s="5">
        <v>40.0</v>
      </c>
      <c r="G461" s="5">
        <v>1.0</v>
      </c>
      <c r="H461" s="5">
        <v>1.0</v>
      </c>
      <c r="I461" s="5">
        <v>364849.0</v>
      </c>
      <c r="J461" s="5">
        <v>15.5</v>
      </c>
      <c r="K461" s="5"/>
      <c r="L461" s="5" t="s">
        <v>279</v>
      </c>
      <c r="M461" s="5"/>
    </row>
    <row r="462" ht="14.25" customHeight="1">
      <c r="A462" s="5">
        <v>658.0</v>
      </c>
      <c r="B462" s="5">
        <v>0.0</v>
      </c>
      <c r="C462" s="5">
        <v>3.0</v>
      </c>
      <c r="D462" s="5" t="s">
        <v>709</v>
      </c>
      <c r="E462" s="5" t="s">
        <v>14</v>
      </c>
      <c r="F462" s="5">
        <v>32.0</v>
      </c>
      <c r="G462" s="5">
        <v>1.0</v>
      </c>
      <c r="H462" s="5">
        <v>1.0</v>
      </c>
      <c r="I462" s="5">
        <v>364849.0</v>
      </c>
      <c r="J462" s="5">
        <v>15.5</v>
      </c>
      <c r="K462" s="5"/>
      <c r="L462" s="5" t="s">
        <v>279</v>
      </c>
      <c r="M462" s="5"/>
    </row>
    <row r="463" ht="14.25" customHeight="1">
      <c r="A463" s="5">
        <v>625.0</v>
      </c>
      <c r="B463" s="5">
        <v>0.0</v>
      </c>
      <c r="C463" s="5">
        <v>3.0</v>
      </c>
      <c r="D463" s="5" t="s">
        <v>710</v>
      </c>
      <c r="E463" s="5" t="s">
        <v>18</v>
      </c>
      <c r="F463" s="5">
        <v>21.0</v>
      </c>
      <c r="G463" s="5">
        <v>0.0</v>
      </c>
      <c r="H463" s="5">
        <v>0.0</v>
      </c>
      <c r="I463" s="5">
        <v>54636.0</v>
      </c>
      <c r="J463" s="5">
        <v>16.1</v>
      </c>
      <c r="K463" s="5"/>
      <c r="L463" s="5" t="s">
        <v>16</v>
      </c>
      <c r="M463" s="5"/>
    </row>
    <row r="464" ht="14.25" customHeight="1">
      <c r="A464" s="5">
        <v>478.0</v>
      </c>
      <c r="B464" s="5">
        <v>0.0</v>
      </c>
      <c r="C464" s="5">
        <v>3.0</v>
      </c>
      <c r="D464" s="5" t="s">
        <v>711</v>
      </c>
      <c r="E464" s="5" t="s">
        <v>18</v>
      </c>
      <c r="F464" s="5">
        <v>29.0</v>
      </c>
      <c r="G464" s="5">
        <v>1.0</v>
      </c>
      <c r="H464" s="5">
        <v>0.0</v>
      </c>
      <c r="I464" s="5">
        <v>3460.0</v>
      </c>
      <c r="J464" s="5">
        <v>7.0458</v>
      </c>
      <c r="K464" s="5"/>
      <c r="L464" s="5" t="s">
        <v>16</v>
      </c>
      <c r="M464" s="5"/>
    </row>
    <row r="465" ht="14.25" customHeight="1">
      <c r="A465" s="5">
        <v>1.0</v>
      </c>
      <c r="B465" s="5">
        <v>0.0</v>
      </c>
      <c r="C465" s="5">
        <v>3.0</v>
      </c>
      <c r="D465" s="5" t="s">
        <v>712</v>
      </c>
      <c r="E465" s="5" t="s">
        <v>18</v>
      </c>
      <c r="F465" s="5">
        <v>22.0</v>
      </c>
      <c r="G465" s="5">
        <v>1.0</v>
      </c>
      <c r="H465" s="5">
        <v>0.0</v>
      </c>
      <c r="I465" s="5" t="s">
        <v>713</v>
      </c>
      <c r="J465" s="5">
        <v>7.25</v>
      </c>
      <c r="K465" s="5"/>
      <c r="L465" s="5" t="s">
        <v>16</v>
      </c>
      <c r="M465" s="5"/>
    </row>
    <row r="466" ht="14.25" customHeight="1">
      <c r="A466" s="5">
        <v>615.0</v>
      </c>
      <c r="B466" s="5">
        <v>0.0</v>
      </c>
      <c r="C466" s="5">
        <v>3.0</v>
      </c>
      <c r="D466" s="5" t="s">
        <v>714</v>
      </c>
      <c r="E466" s="5" t="s">
        <v>18</v>
      </c>
      <c r="F466" s="5">
        <v>35.0</v>
      </c>
      <c r="G466" s="5">
        <v>0.0</v>
      </c>
      <c r="H466" s="5">
        <v>0.0</v>
      </c>
      <c r="I466" s="5">
        <v>364512.0</v>
      </c>
      <c r="J466" s="5">
        <v>8.05</v>
      </c>
      <c r="K466" s="5"/>
      <c r="L466" s="5" t="s">
        <v>16</v>
      </c>
      <c r="M466" s="5"/>
    </row>
    <row r="467" ht="14.25" customHeight="1">
      <c r="A467" s="5">
        <v>144.0</v>
      </c>
      <c r="B467" s="5">
        <v>0.0</v>
      </c>
      <c r="C467" s="5">
        <v>3.0</v>
      </c>
      <c r="D467" s="5" t="s">
        <v>715</v>
      </c>
      <c r="E467" s="5" t="s">
        <v>18</v>
      </c>
      <c r="F467" s="5">
        <v>19.0</v>
      </c>
      <c r="G467" s="5">
        <v>0.0</v>
      </c>
      <c r="H467" s="5">
        <v>0.0</v>
      </c>
      <c r="I467" s="5">
        <v>365222.0</v>
      </c>
      <c r="J467" s="5">
        <v>6.75</v>
      </c>
      <c r="K467" s="5"/>
      <c r="L467" s="5" t="s">
        <v>279</v>
      </c>
      <c r="M467" s="5"/>
    </row>
    <row r="468" ht="14.25" customHeight="1">
      <c r="A468" s="5">
        <v>535.0</v>
      </c>
      <c r="B468" s="5">
        <v>0.0</v>
      </c>
      <c r="C468" s="5">
        <v>3.0</v>
      </c>
      <c r="D468" s="5" t="s">
        <v>716</v>
      </c>
      <c r="E468" s="5" t="s">
        <v>14</v>
      </c>
      <c r="F468" s="5">
        <v>30.0</v>
      </c>
      <c r="G468" s="5">
        <v>0.0</v>
      </c>
      <c r="H468" s="5">
        <v>0.0</v>
      </c>
      <c r="I468" s="5">
        <v>315084.0</v>
      </c>
      <c r="J468" s="5">
        <v>8.6625</v>
      </c>
      <c r="K468" s="5"/>
      <c r="L468" s="5" t="s">
        <v>16</v>
      </c>
      <c r="M468" s="5"/>
    </row>
    <row r="469" ht="14.25" customHeight="1">
      <c r="A469" s="5">
        <v>472.0</v>
      </c>
      <c r="B469" s="5">
        <v>0.0</v>
      </c>
      <c r="C469" s="5">
        <v>3.0</v>
      </c>
      <c r="D469" s="5" t="s">
        <v>717</v>
      </c>
      <c r="E469" s="5" t="s">
        <v>18</v>
      </c>
      <c r="F469" s="5">
        <v>38.0</v>
      </c>
      <c r="G469" s="5">
        <v>0.0</v>
      </c>
      <c r="H469" s="5">
        <v>0.0</v>
      </c>
      <c r="I469" s="5">
        <v>315089.0</v>
      </c>
      <c r="J469" s="5">
        <v>8.6625</v>
      </c>
      <c r="K469" s="5"/>
      <c r="L469" s="5" t="s">
        <v>16</v>
      </c>
      <c r="M469" s="5"/>
    </row>
    <row r="470" ht="14.25" customHeight="1">
      <c r="A470" s="5">
        <v>164.0</v>
      </c>
      <c r="B470" s="5">
        <v>0.0</v>
      </c>
      <c r="C470" s="5">
        <v>3.0</v>
      </c>
      <c r="D470" s="5" t="s">
        <v>718</v>
      </c>
      <c r="E470" s="5" t="s">
        <v>18</v>
      </c>
      <c r="F470" s="5">
        <v>17.0</v>
      </c>
      <c r="G470" s="5">
        <v>0.0</v>
      </c>
      <c r="H470" s="5">
        <v>0.0</v>
      </c>
      <c r="I470" s="5">
        <v>315093.0</v>
      </c>
      <c r="J470" s="5">
        <v>8.6625</v>
      </c>
      <c r="K470" s="5"/>
      <c r="L470" s="5" t="s">
        <v>16</v>
      </c>
      <c r="M470" s="5"/>
    </row>
    <row r="471" ht="14.25" customHeight="1">
      <c r="A471" s="5">
        <v>501.0</v>
      </c>
      <c r="B471" s="5">
        <v>0.0</v>
      </c>
      <c r="C471" s="5">
        <v>3.0</v>
      </c>
      <c r="D471" s="5" t="s">
        <v>719</v>
      </c>
      <c r="E471" s="5" t="s">
        <v>18</v>
      </c>
      <c r="F471" s="5">
        <v>17.0</v>
      </c>
      <c r="G471" s="5">
        <v>0.0</v>
      </c>
      <c r="H471" s="5">
        <v>0.0</v>
      </c>
      <c r="I471" s="5">
        <v>315086.0</v>
      </c>
      <c r="J471" s="5">
        <v>8.6625</v>
      </c>
      <c r="K471" s="5"/>
      <c r="L471" s="5" t="s">
        <v>16</v>
      </c>
      <c r="M471" s="5"/>
    </row>
    <row r="472" ht="14.25" customHeight="1">
      <c r="A472" s="5">
        <v>502.0</v>
      </c>
      <c r="B472" s="5">
        <v>0.0</v>
      </c>
      <c r="C472" s="5">
        <v>3.0</v>
      </c>
      <c r="D472" s="5" t="s">
        <v>720</v>
      </c>
      <c r="E472" s="5" t="s">
        <v>14</v>
      </c>
      <c r="F472" s="5">
        <v>21.0</v>
      </c>
      <c r="G472" s="5">
        <v>0.0</v>
      </c>
      <c r="H472" s="5">
        <v>0.0</v>
      </c>
      <c r="I472" s="5">
        <v>364846.0</v>
      </c>
      <c r="J472" s="5">
        <v>7.75</v>
      </c>
      <c r="K472" s="5"/>
      <c r="L472" s="5" t="s">
        <v>279</v>
      </c>
      <c r="M472" s="5"/>
    </row>
    <row r="473" ht="14.25" customHeight="1">
      <c r="A473" s="5">
        <v>38.0</v>
      </c>
      <c r="B473" s="5">
        <v>0.0</v>
      </c>
      <c r="C473" s="5">
        <v>3.0</v>
      </c>
      <c r="D473" s="5" t="s">
        <v>721</v>
      </c>
      <c r="E473" s="5" t="s">
        <v>18</v>
      </c>
      <c r="F473" s="5">
        <v>21.0</v>
      </c>
      <c r="G473" s="5">
        <v>0.0</v>
      </c>
      <c r="H473" s="5">
        <v>0.0</v>
      </c>
      <c r="I473" s="5" t="s">
        <v>722</v>
      </c>
      <c r="J473" s="5">
        <v>8.05</v>
      </c>
      <c r="K473" s="5"/>
      <c r="L473" s="5" t="s">
        <v>16</v>
      </c>
      <c r="M473" s="5"/>
    </row>
    <row r="474" ht="14.25" customHeight="1">
      <c r="A474" s="5">
        <v>579.0</v>
      </c>
      <c r="B474" s="5">
        <v>0.0</v>
      </c>
      <c r="C474" s="5">
        <v>3.0</v>
      </c>
      <c r="D474" s="5" t="s">
        <v>723</v>
      </c>
      <c r="E474" s="5" t="s">
        <v>14</v>
      </c>
      <c r="F474" s="5"/>
      <c r="G474" s="5">
        <v>1.0</v>
      </c>
      <c r="H474" s="5">
        <v>0.0</v>
      </c>
      <c r="I474" s="5">
        <v>2689.0</v>
      </c>
      <c r="J474" s="5">
        <v>14.4583</v>
      </c>
      <c r="K474" s="5"/>
      <c r="L474" s="5" t="s">
        <v>32</v>
      </c>
      <c r="M474" s="5"/>
    </row>
    <row r="475" ht="14.25" customHeight="1">
      <c r="A475" s="5">
        <v>757.0</v>
      </c>
      <c r="B475" s="5">
        <v>0.0</v>
      </c>
      <c r="C475" s="5">
        <v>3.0</v>
      </c>
      <c r="D475" s="5" t="s">
        <v>724</v>
      </c>
      <c r="E475" s="5" t="s">
        <v>18</v>
      </c>
      <c r="F475" s="5">
        <v>28.0</v>
      </c>
      <c r="G475" s="5">
        <v>0.0</v>
      </c>
      <c r="H475" s="5">
        <v>0.0</v>
      </c>
      <c r="I475" s="5">
        <v>350042.0</v>
      </c>
      <c r="J475" s="5">
        <v>7.7958</v>
      </c>
      <c r="K475" s="5"/>
      <c r="L475" s="5" t="s">
        <v>16</v>
      </c>
      <c r="M475" s="5"/>
    </row>
    <row r="476" ht="14.25" customHeight="1">
      <c r="A476" s="5">
        <v>209.0</v>
      </c>
      <c r="B476" s="5">
        <v>1.0</v>
      </c>
      <c r="C476" s="5">
        <v>3.0</v>
      </c>
      <c r="D476" s="5" t="s">
        <v>725</v>
      </c>
      <c r="E476" s="5" t="s">
        <v>14</v>
      </c>
      <c r="F476" s="5">
        <v>16.0</v>
      </c>
      <c r="G476" s="5">
        <v>0.0</v>
      </c>
      <c r="H476" s="5">
        <v>0.0</v>
      </c>
      <c r="I476" s="5">
        <v>367231.0</v>
      </c>
      <c r="J476" s="5">
        <v>7.75</v>
      </c>
      <c r="K476" s="5"/>
      <c r="L476" s="5" t="s">
        <v>279</v>
      </c>
      <c r="M476" s="5"/>
    </row>
    <row r="477" ht="14.25" customHeight="1">
      <c r="A477" s="5">
        <v>90.0</v>
      </c>
      <c r="B477" s="5">
        <v>0.0</v>
      </c>
      <c r="C477" s="5">
        <v>3.0</v>
      </c>
      <c r="D477" s="5" t="s">
        <v>726</v>
      </c>
      <c r="E477" s="5" t="s">
        <v>18</v>
      </c>
      <c r="F477" s="5">
        <v>24.0</v>
      </c>
      <c r="G477" s="5">
        <v>0.0</v>
      </c>
      <c r="H477" s="5">
        <v>0.0</v>
      </c>
      <c r="I477" s="5">
        <v>343275.0</v>
      </c>
      <c r="J477" s="5">
        <v>8.05</v>
      </c>
      <c r="K477" s="5"/>
      <c r="L477" s="5" t="s">
        <v>16</v>
      </c>
      <c r="M477" s="5"/>
    </row>
    <row r="478" ht="14.25" customHeight="1">
      <c r="A478" s="5">
        <v>422.0</v>
      </c>
      <c r="B478" s="5">
        <v>0.0</v>
      </c>
      <c r="C478" s="5">
        <v>3.0</v>
      </c>
      <c r="D478" s="5" t="s">
        <v>727</v>
      </c>
      <c r="E478" s="5" t="s">
        <v>18</v>
      </c>
      <c r="F478" s="5">
        <v>21.0</v>
      </c>
      <c r="G478" s="5">
        <v>0.0</v>
      </c>
      <c r="H478" s="5">
        <v>0.0</v>
      </c>
      <c r="I478" s="5" t="s">
        <v>728</v>
      </c>
      <c r="J478" s="5">
        <v>7.7333</v>
      </c>
      <c r="K478" s="5"/>
      <c r="L478" s="5" t="s">
        <v>279</v>
      </c>
      <c r="M478" s="5"/>
    </row>
    <row r="479" ht="14.25" customHeight="1">
      <c r="A479" s="5">
        <v>839.0</v>
      </c>
      <c r="B479" s="5">
        <v>1.0</v>
      </c>
      <c r="C479" s="5">
        <v>3.0</v>
      </c>
      <c r="D479" s="5" t="s">
        <v>729</v>
      </c>
      <c r="E479" s="5" t="s">
        <v>18</v>
      </c>
      <c r="F479" s="5">
        <v>32.0</v>
      </c>
      <c r="G479" s="5">
        <v>0.0</v>
      </c>
      <c r="H479" s="5">
        <v>0.0</v>
      </c>
      <c r="I479" s="5">
        <v>1601.0</v>
      </c>
      <c r="J479" s="5">
        <v>56.4958</v>
      </c>
      <c r="K479" s="5"/>
      <c r="L479" s="5" t="s">
        <v>16</v>
      </c>
      <c r="M479" s="5"/>
    </row>
    <row r="480" ht="14.25" customHeight="1">
      <c r="A480" s="5">
        <v>91.0</v>
      </c>
      <c r="B480" s="5">
        <v>0.0</v>
      </c>
      <c r="C480" s="5">
        <v>3.0</v>
      </c>
      <c r="D480" s="5" t="s">
        <v>730</v>
      </c>
      <c r="E480" s="5" t="s">
        <v>18</v>
      </c>
      <c r="F480" s="5">
        <v>29.0</v>
      </c>
      <c r="G480" s="5">
        <v>0.0</v>
      </c>
      <c r="H480" s="5">
        <v>0.0</v>
      </c>
      <c r="I480" s="5">
        <v>343276.0</v>
      </c>
      <c r="J480" s="5">
        <v>8.05</v>
      </c>
      <c r="K480" s="5"/>
      <c r="L480" s="5" t="s">
        <v>16</v>
      </c>
      <c r="M480" s="5"/>
    </row>
    <row r="481" ht="14.25" customHeight="1">
      <c r="A481" s="5">
        <v>74.0</v>
      </c>
      <c r="B481" s="5">
        <v>0.0</v>
      </c>
      <c r="C481" s="5">
        <v>3.0</v>
      </c>
      <c r="D481" s="5" t="s">
        <v>731</v>
      </c>
      <c r="E481" s="5" t="s">
        <v>18</v>
      </c>
      <c r="F481" s="5">
        <v>26.0</v>
      </c>
      <c r="G481" s="5">
        <v>1.0</v>
      </c>
      <c r="H481" s="5">
        <v>0.0</v>
      </c>
      <c r="I481" s="5">
        <v>2680.0</v>
      </c>
      <c r="J481" s="5">
        <v>14.4542</v>
      </c>
      <c r="K481" s="5"/>
      <c r="L481" s="5" t="s">
        <v>32</v>
      </c>
      <c r="M481" s="5"/>
    </row>
    <row r="482" ht="14.25" customHeight="1">
      <c r="A482" s="5">
        <v>132.0</v>
      </c>
      <c r="B482" s="5">
        <v>0.0</v>
      </c>
      <c r="C482" s="5">
        <v>3.0</v>
      </c>
      <c r="D482" s="5" t="s">
        <v>732</v>
      </c>
      <c r="E482" s="5" t="s">
        <v>18</v>
      </c>
      <c r="F482" s="5">
        <v>20.0</v>
      </c>
      <c r="G482" s="5">
        <v>0.0</v>
      </c>
      <c r="H482" s="5">
        <v>0.0</v>
      </c>
      <c r="I482" s="5" t="s">
        <v>733</v>
      </c>
      <c r="J482" s="5">
        <v>7.05</v>
      </c>
      <c r="K482" s="5"/>
      <c r="L482" s="5" t="s">
        <v>16</v>
      </c>
      <c r="M482" s="5"/>
    </row>
    <row r="483" ht="14.25" customHeight="1">
      <c r="A483" s="5">
        <v>205.0</v>
      </c>
      <c r="B483" s="5">
        <v>1.0</v>
      </c>
      <c r="C483" s="5">
        <v>3.0</v>
      </c>
      <c r="D483" s="5" t="s">
        <v>734</v>
      </c>
      <c r="E483" s="5" t="s">
        <v>18</v>
      </c>
      <c r="F483" s="5">
        <v>18.0</v>
      </c>
      <c r="G483" s="5">
        <v>0.0</v>
      </c>
      <c r="H483" s="5">
        <v>0.0</v>
      </c>
      <c r="I483" s="5" t="s">
        <v>735</v>
      </c>
      <c r="J483" s="5">
        <v>8.05</v>
      </c>
      <c r="K483" s="5"/>
      <c r="L483" s="5" t="s">
        <v>16</v>
      </c>
      <c r="M483" s="5"/>
    </row>
    <row r="484" ht="14.25" customHeight="1">
      <c r="A484" s="5">
        <v>664.0</v>
      </c>
      <c r="B484" s="5">
        <v>0.0</v>
      </c>
      <c r="C484" s="5">
        <v>3.0</v>
      </c>
      <c r="D484" s="5" t="s">
        <v>736</v>
      </c>
      <c r="E484" s="5" t="s">
        <v>18</v>
      </c>
      <c r="F484" s="5">
        <v>36.0</v>
      </c>
      <c r="G484" s="5">
        <v>0.0</v>
      </c>
      <c r="H484" s="5">
        <v>0.0</v>
      </c>
      <c r="I484" s="5">
        <v>349210.0</v>
      </c>
      <c r="J484" s="5">
        <v>7.4958</v>
      </c>
      <c r="K484" s="5"/>
      <c r="L484" s="5" t="s">
        <v>16</v>
      </c>
      <c r="M484" s="5"/>
    </row>
    <row r="485" ht="14.25" customHeight="1">
      <c r="A485" s="5">
        <v>515.0</v>
      </c>
      <c r="B485" s="5">
        <v>0.0</v>
      </c>
      <c r="C485" s="5">
        <v>3.0</v>
      </c>
      <c r="D485" s="5" t="s">
        <v>737</v>
      </c>
      <c r="E485" s="5" t="s">
        <v>18</v>
      </c>
      <c r="F485" s="5">
        <v>24.0</v>
      </c>
      <c r="G485" s="5">
        <v>0.0</v>
      </c>
      <c r="H485" s="5">
        <v>0.0</v>
      </c>
      <c r="I485" s="5">
        <v>349209.0</v>
      </c>
      <c r="J485" s="5">
        <v>7.4958</v>
      </c>
      <c r="K485" s="5"/>
      <c r="L485" s="5" t="s">
        <v>16</v>
      </c>
      <c r="M485" s="5"/>
    </row>
    <row r="486" ht="14.25" customHeight="1">
      <c r="A486" s="5">
        <v>750.0</v>
      </c>
      <c r="B486" s="5">
        <v>0.0</v>
      </c>
      <c r="C486" s="5">
        <v>3.0</v>
      </c>
      <c r="D486" s="5" t="s">
        <v>738</v>
      </c>
      <c r="E486" s="5" t="s">
        <v>18</v>
      </c>
      <c r="F486" s="5">
        <v>31.0</v>
      </c>
      <c r="G486" s="5">
        <v>0.0</v>
      </c>
      <c r="H486" s="5">
        <v>0.0</v>
      </c>
      <c r="I486" s="5">
        <v>335097.0</v>
      </c>
      <c r="J486" s="5">
        <v>7.75</v>
      </c>
      <c r="K486" s="5"/>
      <c r="L486" s="5" t="s">
        <v>279</v>
      </c>
      <c r="M486" s="5"/>
    </row>
    <row r="487" ht="14.25" customHeight="1">
      <c r="A487" s="5">
        <v>290.0</v>
      </c>
      <c r="B487" s="5">
        <v>1.0</v>
      </c>
      <c r="C487" s="5">
        <v>3.0</v>
      </c>
      <c r="D487" s="5" t="s">
        <v>739</v>
      </c>
      <c r="E487" s="5" t="s">
        <v>14</v>
      </c>
      <c r="F487" s="5">
        <v>22.0</v>
      </c>
      <c r="G487" s="5">
        <v>0.0</v>
      </c>
      <c r="H487" s="5">
        <v>0.0</v>
      </c>
      <c r="I487" s="5">
        <v>370373.0</v>
      </c>
      <c r="J487" s="5">
        <v>7.75</v>
      </c>
      <c r="K487" s="5"/>
      <c r="L487" s="5" t="s">
        <v>279</v>
      </c>
      <c r="M487" s="5"/>
    </row>
    <row r="488" ht="14.25" customHeight="1">
      <c r="A488" s="5">
        <v>117.0</v>
      </c>
      <c r="B488" s="5">
        <v>0.0</v>
      </c>
      <c r="C488" s="5">
        <v>3.0</v>
      </c>
      <c r="D488" s="5" t="s">
        <v>740</v>
      </c>
      <c r="E488" s="5" t="s">
        <v>18</v>
      </c>
      <c r="F488" s="5">
        <v>70.5</v>
      </c>
      <c r="G488" s="5">
        <v>0.0</v>
      </c>
      <c r="H488" s="5">
        <v>0.0</v>
      </c>
      <c r="I488" s="5">
        <v>370369.0</v>
      </c>
      <c r="J488" s="5">
        <v>7.75</v>
      </c>
      <c r="K488" s="5"/>
      <c r="L488" s="5" t="s">
        <v>279</v>
      </c>
      <c r="M488" s="5"/>
    </row>
    <row r="489" ht="14.25" customHeight="1">
      <c r="A489" s="5">
        <v>669.0</v>
      </c>
      <c r="B489" s="5">
        <v>0.0</v>
      </c>
      <c r="C489" s="5">
        <v>3.0</v>
      </c>
      <c r="D489" s="5" t="s">
        <v>741</v>
      </c>
      <c r="E489" s="5" t="s">
        <v>18</v>
      </c>
      <c r="F489" s="5">
        <v>43.0</v>
      </c>
      <c r="G489" s="5">
        <v>0.0</v>
      </c>
      <c r="H489" s="5">
        <v>0.0</v>
      </c>
      <c r="I489" s="5" t="s">
        <v>742</v>
      </c>
      <c r="J489" s="5">
        <v>8.05</v>
      </c>
      <c r="K489" s="5"/>
      <c r="L489" s="5" t="s">
        <v>16</v>
      </c>
      <c r="M489" s="5"/>
    </row>
    <row r="490" ht="14.25" customHeight="1">
      <c r="A490" s="5">
        <v>647.0</v>
      </c>
      <c r="B490" s="5">
        <v>0.0</v>
      </c>
      <c r="C490" s="5">
        <v>3.0</v>
      </c>
      <c r="D490" s="5" t="s">
        <v>743</v>
      </c>
      <c r="E490" s="5" t="s">
        <v>18</v>
      </c>
      <c r="F490" s="5">
        <v>19.0</v>
      </c>
      <c r="G490" s="5">
        <v>0.0</v>
      </c>
      <c r="H490" s="5">
        <v>0.0</v>
      </c>
      <c r="I490" s="5">
        <v>349231.0</v>
      </c>
      <c r="J490" s="5">
        <v>7.8958</v>
      </c>
      <c r="K490" s="5"/>
      <c r="L490" s="5" t="s">
        <v>16</v>
      </c>
      <c r="M490" s="5"/>
    </row>
    <row r="491" ht="14.25" customHeight="1">
      <c r="A491" s="5">
        <v>158.0</v>
      </c>
      <c r="B491" s="5">
        <v>0.0</v>
      </c>
      <c r="C491" s="5">
        <v>3.0</v>
      </c>
      <c r="D491" s="5" t="s">
        <v>744</v>
      </c>
      <c r="E491" s="5" t="s">
        <v>18</v>
      </c>
      <c r="F491" s="5">
        <v>30.0</v>
      </c>
      <c r="G491" s="5">
        <v>0.0</v>
      </c>
      <c r="H491" s="5">
        <v>0.0</v>
      </c>
      <c r="I491" s="5" t="s">
        <v>745</v>
      </c>
      <c r="J491" s="5">
        <v>8.05</v>
      </c>
      <c r="K491" s="5"/>
      <c r="L491" s="5" t="s">
        <v>16</v>
      </c>
      <c r="M491" s="5"/>
    </row>
    <row r="492" ht="14.25" customHeight="1">
      <c r="A492" s="5">
        <v>490.0</v>
      </c>
      <c r="B492" s="5">
        <v>1.0</v>
      </c>
      <c r="C492" s="5">
        <v>3.0</v>
      </c>
      <c r="D492" s="5" t="s">
        <v>746</v>
      </c>
      <c r="E492" s="5" t="s">
        <v>18</v>
      </c>
      <c r="F492" s="5">
        <v>9.0</v>
      </c>
      <c r="G492" s="5">
        <v>1.0</v>
      </c>
      <c r="H492" s="5">
        <v>1.0</v>
      </c>
      <c r="I492" s="5" t="s">
        <v>747</v>
      </c>
      <c r="J492" s="5">
        <v>15.9</v>
      </c>
      <c r="K492" s="5"/>
      <c r="L492" s="5" t="s">
        <v>16</v>
      </c>
      <c r="M492" s="5"/>
    </row>
    <row r="493" ht="14.25" customHeight="1">
      <c r="A493" s="5">
        <v>349.0</v>
      </c>
      <c r="B493" s="5">
        <v>1.0</v>
      </c>
      <c r="C493" s="5">
        <v>3.0</v>
      </c>
      <c r="D493" s="5" t="s">
        <v>748</v>
      </c>
      <c r="E493" s="5" t="s">
        <v>18</v>
      </c>
      <c r="F493" s="5">
        <v>3.0</v>
      </c>
      <c r="G493" s="5">
        <v>1.0</v>
      </c>
      <c r="H493" s="5">
        <v>1.0</v>
      </c>
      <c r="I493" s="5" t="s">
        <v>747</v>
      </c>
      <c r="J493" s="5">
        <v>15.9</v>
      </c>
      <c r="K493" s="5"/>
      <c r="L493" s="5" t="s">
        <v>16</v>
      </c>
      <c r="M493" s="5"/>
    </row>
    <row r="494" ht="14.25" customHeight="1">
      <c r="A494" s="5">
        <v>95.0</v>
      </c>
      <c r="B494" s="5">
        <v>0.0</v>
      </c>
      <c r="C494" s="5">
        <v>3.0</v>
      </c>
      <c r="D494" s="5" t="s">
        <v>749</v>
      </c>
      <c r="E494" s="5" t="s">
        <v>18</v>
      </c>
      <c r="F494" s="5">
        <v>59.0</v>
      </c>
      <c r="G494" s="5">
        <v>0.0</v>
      </c>
      <c r="H494" s="5">
        <v>0.0</v>
      </c>
      <c r="I494" s="5">
        <v>364500.0</v>
      </c>
      <c r="J494" s="5">
        <v>7.25</v>
      </c>
      <c r="K494" s="5"/>
      <c r="L494" s="5" t="s">
        <v>16</v>
      </c>
      <c r="M494" s="5"/>
    </row>
    <row r="495" ht="14.25" customHeight="1">
      <c r="A495" s="5">
        <v>68.0</v>
      </c>
      <c r="B495" s="5">
        <v>0.0</v>
      </c>
      <c r="C495" s="5">
        <v>3.0</v>
      </c>
      <c r="D495" s="5" t="s">
        <v>750</v>
      </c>
      <c r="E495" s="5" t="s">
        <v>18</v>
      </c>
      <c r="F495" s="5">
        <v>19.0</v>
      </c>
      <c r="G495" s="5">
        <v>0.0</v>
      </c>
      <c r="H495" s="5">
        <v>0.0</v>
      </c>
      <c r="I495" s="5" t="s">
        <v>751</v>
      </c>
      <c r="J495" s="5">
        <v>8.1583</v>
      </c>
      <c r="K495" s="5"/>
      <c r="L495" s="5" t="s">
        <v>16</v>
      </c>
      <c r="M495" s="5"/>
    </row>
    <row r="496" ht="14.25" customHeight="1">
      <c r="A496" s="5">
        <v>161.0</v>
      </c>
      <c r="B496" s="5">
        <v>0.0</v>
      </c>
      <c r="C496" s="5">
        <v>3.0</v>
      </c>
      <c r="D496" s="5" t="s">
        <v>752</v>
      </c>
      <c r="E496" s="5" t="s">
        <v>18</v>
      </c>
      <c r="F496" s="5">
        <v>44.0</v>
      </c>
      <c r="G496" s="5">
        <v>0.0</v>
      </c>
      <c r="H496" s="5">
        <v>1.0</v>
      </c>
      <c r="I496" s="5">
        <v>371362.0</v>
      </c>
      <c r="J496" s="5">
        <v>16.1</v>
      </c>
      <c r="K496" s="5"/>
      <c r="L496" s="5" t="s">
        <v>16</v>
      </c>
      <c r="M496" s="5"/>
    </row>
    <row r="497" ht="14.25" customHeight="1">
      <c r="A497" s="5">
        <v>845.0</v>
      </c>
      <c r="B497" s="5">
        <v>0.0</v>
      </c>
      <c r="C497" s="5">
        <v>3.0</v>
      </c>
      <c r="D497" s="5" t="s">
        <v>753</v>
      </c>
      <c r="E497" s="5" t="s">
        <v>18</v>
      </c>
      <c r="F497" s="5">
        <v>17.0</v>
      </c>
      <c r="G497" s="5">
        <v>0.0</v>
      </c>
      <c r="H497" s="5">
        <v>0.0</v>
      </c>
      <c r="I497" s="5">
        <v>315090.0</v>
      </c>
      <c r="J497" s="5">
        <v>8.6625</v>
      </c>
      <c r="K497" s="5"/>
      <c r="L497" s="5" t="s">
        <v>16</v>
      </c>
      <c r="M497" s="5"/>
    </row>
    <row r="498" ht="14.25" customHeight="1">
      <c r="A498" s="5">
        <v>339.0</v>
      </c>
      <c r="B498" s="5">
        <v>1.0</v>
      </c>
      <c r="C498" s="5">
        <v>3.0</v>
      </c>
      <c r="D498" s="5" t="s">
        <v>754</v>
      </c>
      <c r="E498" s="5" t="s">
        <v>18</v>
      </c>
      <c r="F498" s="5">
        <v>45.0</v>
      </c>
      <c r="G498" s="5">
        <v>0.0</v>
      </c>
      <c r="H498" s="5">
        <v>0.0</v>
      </c>
      <c r="I498" s="5">
        <v>7598.0</v>
      </c>
      <c r="J498" s="5">
        <v>8.05</v>
      </c>
      <c r="K498" s="5"/>
      <c r="L498" s="5" t="s">
        <v>16</v>
      </c>
      <c r="M498" s="5"/>
    </row>
    <row r="499" ht="14.25" customHeight="1">
      <c r="A499" s="5">
        <v>883.0</v>
      </c>
      <c r="B499" s="5">
        <v>0.0</v>
      </c>
      <c r="C499" s="5">
        <v>3.0</v>
      </c>
      <c r="D499" s="5" t="s">
        <v>755</v>
      </c>
      <c r="E499" s="5" t="s">
        <v>14</v>
      </c>
      <c r="F499" s="5">
        <v>22.0</v>
      </c>
      <c r="G499" s="5">
        <v>0.0</v>
      </c>
      <c r="H499" s="5">
        <v>0.0</v>
      </c>
      <c r="I499" s="5">
        <v>7552.0</v>
      </c>
      <c r="J499" s="5">
        <v>10.5167</v>
      </c>
      <c r="K499" s="5"/>
      <c r="L499" s="5" t="s">
        <v>16</v>
      </c>
      <c r="M499" s="5"/>
    </row>
    <row r="500" ht="14.25" customHeight="1">
      <c r="A500" s="5">
        <v>688.0</v>
      </c>
      <c r="B500" s="5">
        <v>0.0</v>
      </c>
      <c r="C500" s="5">
        <v>3.0</v>
      </c>
      <c r="D500" s="5" t="s">
        <v>756</v>
      </c>
      <c r="E500" s="5" t="s">
        <v>18</v>
      </c>
      <c r="F500" s="5">
        <v>19.0</v>
      </c>
      <c r="G500" s="5">
        <v>0.0</v>
      </c>
      <c r="H500" s="5">
        <v>0.0</v>
      </c>
      <c r="I500" s="5">
        <v>349228.0</v>
      </c>
      <c r="J500" s="5">
        <v>10.1708</v>
      </c>
      <c r="K500" s="5"/>
      <c r="L500" s="5" t="s">
        <v>16</v>
      </c>
      <c r="M500" s="5"/>
    </row>
    <row r="501" ht="14.25" customHeight="1">
      <c r="A501" s="5">
        <v>511.0</v>
      </c>
      <c r="B501" s="5">
        <v>1.0</v>
      </c>
      <c r="C501" s="5">
        <v>3.0</v>
      </c>
      <c r="D501" s="5" t="s">
        <v>757</v>
      </c>
      <c r="E501" s="5" t="s">
        <v>18</v>
      </c>
      <c r="F501" s="5">
        <v>29.0</v>
      </c>
      <c r="G501" s="5">
        <v>0.0</v>
      </c>
      <c r="H501" s="5">
        <v>0.0</v>
      </c>
      <c r="I501" s="5">
        <v>382651.0</v>
      </c>
      <c r="J501" s="5">
        <v>7.75</v>
      </c>
      <c r="K501" s="5"/>
      <c r="L501" s="5" t="s">
        <v>279</v>
      </c>
      <c r="M501" s="5"/>
    </row>
    <row r="502" ht="14.25" customHeight="1">
      <c r="A502" s="5">
        <v>617.0</v>
      </c>
      <c r="B502" s="5">
        <v>0.0</v>
      </c>
      <c r="C502" s="5">
        <v>3.0</v>
      </c>
      <c r="D502" s="5" t="s">
        <v>758</v>
      </c>
      <c r="E502" s="5" t="s">
        <v>18</v>
      </c>
      <c r="F502" s="5">
        <v>34.0</v>
      </c>
      <c r="G502" s="5">
        <v>1.0</v>
      </c>
      <c r="H502" s="5">
        <v>1.0</v>
      </c>
      <c r="I502" s="5">
        <v>347080.0</v>
      </c>
      <c r="J502" s="5">
        <v>14.4</v>
      </c>
      <c r="K502" s="5"/>
      <c r="L502" s="5" t="s">
        <v>16</v>
      </c>
      <c r="M502" s="5"/>
    </row>
    <row r="503" ht="14.25" customHeight="1">
      <c r="A503" s="5">
        <v>424.0</v>
      </c>
      <c r="B503" s="5">
        <v>0.0</v>
      </c>
      <c r="C503" s="5">
        <v>3.0</v>
      </c>
      <c r="D503" s="5" t="s">
        <v>759</v>
      </c>
      <c r="E503" s="5" t="s">
        <v>14</v>
      </c>
      <c r="F503" s="5">
        <v>28.0</v>
      </c>
      <c r="G503" s="5">
        <v>1.0</v>
      </c>
      <c r="H503" s="5">
        <v>1.0</v>
      </c>
      <c r="I503" s="5">
        <v>347080.0</v>
      </c>
      <c r="J503" s="5">
        <v>14.4</v>
      </c>
      <c r="K503" s="5"/>
      <c r="L503" s="5" t="s">
        <v>16</v>
      </c>
      <c r="M503" s="5"/>
    </row>
    <row r="504" ht="14.25" customHeight="1">
      <c r="A504" s="5">
        <v>322.0</v>
      </c>
      <c r="B504" s="5">
        <v>0.0</v>
      </c>
      <c r="C504" s="5">
        <v>3.0</v>
      </c>
      <c r="D504" s="5" t="s">
        <v>760</v>
      </c>
      <c r="E504" s="5" t="s">
        <v>18</v>
      </c>
      <c r="F504" s="5">
        <v>27.0</v>
      </c>
      <c r="G504" s="5">
        <v>0.0</v>
      </c>
      <c r="H504" s="5">
        <v>0.0</v>
      </c>
      <c r="I504" s="5">
        <v>349219.0</v>
      </c>
      <c r="J504" s="5">
        <v>7.8958</v>
      </c>
      <c r="K504" s="5"/>
      <c r="L504" s="5" t="s">
        <v>16</v>
      </c>
      <c r="M504" s="5"/>
    </row>
    <row r="505" ht="14.25" customHeight="1">
      <c r="A505" s="5">
        <v>795.0</v>
      </c>
      <c r="B505" s="5">
        <v>0.0</v>
      </c>
      <c r="C505" s="5">
        <v>3.0</v>
      </c>
      <c r="D505" s="5" t="s">
        <v>761</v>
      </c>
      <c r="E505" s="5" t="s">
        <v>18</v>
      </c>
      <c r="F505" s="5">
        <v>25.0</v>
      </c>
      <c r="G505" s="5">
        <v>0.0</v>
      </c>
      <c r="H505" s="5">
        <v>0.0</v>
      </c>
      <c r="I505" s="5">
        <v>349203.0</v>
      </c>
      <c r="J505" s="5">
        <v>7.8958</v>
      </c>
      <c r="K505" s="5"/>
      <c r="L505" s="5" t="s">
        <v>16</v>
      </c>
      <c r="M505" s="5"/>
    </row>
    <row r="506" ht="14.25" customHeight="1">
      <c r="A506" s="5">
        <v>566.0</v>
      </c>
      <c r="B506" s="5">
        <v>0.0</v>
      </c>
      <c r="C506" s="5">
        <v>3.0</v>
      </c>
      <c r="D506" s="5" t="s">
        <v>762</v>
      </c>
      <c r="E506" s="5" t="s">
        <v>18</v>
      </c>
      <c r="F506" s="5">
        <v>24.0</v>
      </c>
      <c r="G506" s="5">
        <v>2.0</v>
      </c>
      <c r="H506" s="5">
        <v>0.0</v>
      </c>
      <c r="I506" s="5" t="s">
        <v>763</v>
      </c>
      <c r="J506" s="5">
        <v>24.15</v>
      </c>
      <c r="K506" s="5"/>
      <c r="L506" s="5" t="s">
        <v>16</v>
      </c>
      <c r="M506" s="5"/>
    </row>
    <row r="507" ht="14.25" customHeight="1">
      <c r="A507" s="5">
        <v>348.0</v>
      </c>
      <c r="B507" s="5">
        <v>1.0</v>
      </c>
      <c r="C507" s="5">
        <v>3.0</v>
      </c>
      <c r="D507" s="5" t="s">
        <v>764</v>
      </c>
      <c r="E507" s="5" t="s">
        <v>14</v>
      </c>
      <c r="F507" s="5"/>
      <c r="G507" s="5">
        <v>1.0</v>
      </c>
      <c r="H507" s="5">
        <v>0.0</v>
      </c>
      <c r="I507" s="5">
        <v>386525.0</v>
      </c>
      <c r="J507" s="5">
        <v>16.1</v>
      </c>
      <c r="K507" s="5"/>
      <c r="L507" s="5" t="s">
        <v>16</v>
      </c>
      <c r="M507" s="5"/>
    </row>
    <row r="508" ht="14.25" customHeight="1">
      <c r="A508" s="5">
        <v>560.0</v>
      </c>
      <c r="B508" s="5">
        <v>1.0</v>
      </c>
      <c r="C508" s="5">
        <v>3.0</v>
      </c>
      <c r="D508" s="5" t="s">
        <v>765</v>
      </c>
      <c r="E508" s="5" t="s">
        <v>14</v>
      </c>
      <c r="F508" s="5">
        <v>36.0</v>
      </c>
      <c r="G508" s="5">
        <v>1.0</v>
      </c>
      <c r="H508" s="5">
        <v>0.0</v>
      </c>
      <c r="I508" s="5">
        <v>345572.0</v>
      </c>
      <c r="J508" s="5">
        <v>17.4</v>
      </c>
      <c r="K508" s="5"/>
      <c r="L508" s="5" t="s">
        <v>16</v>
      </c>
      <c r="M508" s="5"/>
    </row>
    <row r="509" ht="14.25" customHeight="1">
      <c r="A509" s="5">
        <v>287.0</v>
      </c>
      <c r="B509" s="5">
        <v>1.0</v>
      </c>
      <c r="C509" s="5">
        <v>3.0</v>
      </c>
      <c r="D509" s="5" t="s">
        <v>766</v>
      </c>
      <c r="E509" s="5" t="s">
        <v>18</v>
      </c>
      <c r="F509" s="5">
        <v>30.0</v>
      </c>
      <c r="G509" s="5">
        <v>0.0</v>
      </c>
      <c r="H509" s="5">
        <v>0.0</v>
      </c>
      <c r="I509" s="5">
        <v>345774.0</v>
      </c>
      <c r="J509" s="5">
        <v>9.5</v>
      </c>
      <c r="K509" s="5"/>
      <c r="L509" s="5" t="s">
        <v>16</v>
      </c>
      <c r="M509" s="5"/>
    </row>
    <row r="510" ht="14.25" customHeight="1">
      <c r="A510" s="5">
        <v>283.0</v>
      </c>
      <c r="B510" s="5">
        <v>0.0</v>
      </c>
      <c r="C510" s="5">
        <v>3.0</v>
      </c>
      <c r="D510" s="5" t="s">
        <v>767</v>
      </c>
      <c r="E510" s="5" t="s">
        <v>18</v>
      </c>
      <c r="F510" s="5">
        <v>16.0</v>
      </c>
      <c r="G510" s="5">
        <v>0.0</v>
      </c>
      <c r="H510" s="5">
        <v>0.0</v>
      </c>
      <c r="I510" s="5">
        <v>345778.0</v>
      </c>
      <c r="J510" s="5">
        <v>9.5</v>
      </c>
      <c r="K510" s="5"/>
      <c r="L510" s="5" t="s">
        <v>16</v>
      </c>
      <c r="M510" s="5"/>
    </row>
    <row r="511" ht="14.25" customHeight="1">
      <c r="A511" s="5">
        <v>789.0</v>
      </c>
      <c r="B511" s="5">
        <v>1.0</v>
      </c>
      <c r="C511" s="5">
        <v>3.0</v>
      </c>
      <c r="D511" s="5" t="s">
        <v>768</v>
      </c>
      <c r="E511" s="5" t="s">
        <v>18</v>
      </c>
      <c r="F511" s="5">
        <v>1.0</v>
      </c>
      <c r="G511" s="5">
        <v>1.0</v>
      </c>
      <c r="H511" s="5">
        <v>2.0</v>
      </c>
      <c r="I511" s="5" t="s">
        <v>769</v>
      </c>
      <c r="J511" s="5">
        <v>20.575</v>
      </c>
      <c r="K511" s="5"/>
      <c r="L511" s="5" t="s">
        <v>16</v>
      </c>
      <c r="M511" s="5"/>
    </row>
    <row r="512" ht="14.25" customHeight="1">
      <c r="A512" s="5">
        <v>94.0</v>
      </c>
      <c r="B512" s="5">
        <v>0.0</v>
      </c>
      <c r="C512" s="5">
        <v>3.0</v>
      </c>
      <c r="D512" s="5" t="s">
        <v>770</v>
      </c>
      <c r="E512" s="5" t="s">
        <v>18</v>
      </c>
      <c r="F512" s="5">
        <v>26.0</v>
      </c>
      <c r="G512" s="5">
        <v>1.0</v>
      </c>
      <c r="H512" s="5">
        <v>2.0</v>
      </c>
      <c r="I512" s="5" t="s">
        <v>769</v>
      </c>
      <c r="J512" s="5">
        <v>20.575</v>
      </c>
      <c r="K512" s="5"/>
      <c r="L512" s="5" t="s">
        <v>16</v>
      </c>
      <c r="M512" s="5"/>
    </row>
    <row r="513" ht="14.25" customHeight="1">
      <c r="A513" s="5">
        <v>336.0</v>
      </c>
      <c r="B513" s="5">
        <v>0.0</v>
      </c>
      <c r="C513" s="5">
        <v>3.0</v>
      </c>
      <c r="D513" s="5" t="s">
        <v>771</v>
      </c>
      <c r="E513" s="5" t="s">
        <v>18</v>
      </c>
      <c r="F513" s="5"/>
      <c r="G513" s="5">
        <v>0.0</v>
      </c>
      <c r="H513" s="5">
        <v>0.0</v>
      </c>
      <c r="I513" s="5">
        <v>349225.0</v>
      </c>
      <c r="J513" s="5">
        <v>7.8958</v>
      </c>
      <c r="K513" s="5"/>
      <c r="L513" s="5" t="s">
        <v>16</v>
      </c>
      <c r="M513" s="5"/>
    </row>
    <row r="514" ht="14.25" customHeight="1">
      <c r="A514" s="5">
        <v>321.0</v>
      </c>
      <c r="B514" s="5">
        <v>0.0</v>
      </c>
      <c r="C514" s="5">
        <v>3.0</v>
      </c>
      <c r="D514" s="5" t="s">
        <v>772</v>
      </c>
      <c r="E514" s="5" t="s">
        <v>18</v>
      </c>
      <c r="F514" s="5">
        <v>22.0</v>
      </c>
      <c r="G514" s="5">
        <v>0.0</v>
      </c>
      <c r="H514" s="5">
        <v>0.0</v>
      </c>
      <c r="I514" s="5" t="s">
        <v>773</v>
      </c>
      <c r="J514" s="5">
        <v>7.25</v>
      </c>
      <c r="K514" s="5"/>
      <c r="L514" s="5" t="s">
        <v>16</v>
      </c>
      <c r="M514" s="5"/>
    </row>
    <row r="515" ht="14.25" customHeight="1">
      <c r="A515" s="5">
        <v>45.0</v>
      </c>
      <c r="B515" s="5">
        <v>1.0</v>
      </c>
      <c r="C515" s="5">
        <v>3.0</v>
      </c>
      <c r="D515" s="5" t="s">
        <v>774</v>
      </c>
      <c r="E515" s="5" t="s">
        <v>14</v>
      </c>
      <c r="F515" s="5">
        <v>19.0</v>
      </c>
      <c r="G515" s="5">
        <v>0.0</v>
      </c>
      <c r="H515" s="5">
        <v>0.0</v>
      </c>
      <c r="I515" s="5">
        <v>330958.0</v>
      </c>
      <c r="J515" s="5">
        <v>7.8792</v>
      </c>
      <c r="K515" s="5"/>
      <c r="L515" s="5" t="s">
        <v>279</v>
      </c>
      <c r="M515" s="5"/>
    </row>
    <row r="516" ht="14.25" customHeight="1">
      <c r="A516" s="5">
        <v>350.0</v>
      </c>
      <c r="B516" s="5">
        <v>0.0</v>
      </c>
      <c r="C516" s="5">
        <v>3.0</v>
      </c>
      <c r="D516" s="5" t="s">
        <v>775</v>
      </c>
      <c r="E516" s="5" t="s">
        <v>18</v>
      </c>
      <c r="F516" s="5">
        <v>42.0</v>
      </c>
      <c r="G516" s="5">
        <v>0.0</v>
      </c>
      <c r="H516" s="5">
        <v>0.0</v>
      </c>
      <c r="I516" s="5">
        <v>315088.0</v>
      </c>
      <c r="J516" s="5">
        <v>8.6625</v>
      </c>
      <c r="K516" s="5"/>
      <c r="L516" s="5" t="s">
        <v>16</v>
      </c>
      <c r="M516" s="5"/>
    </row>
    <row r="517" ht="14.25" customHeight="1">
      <c r="A517" s="5">
        <v>569.0</v>
      </c>
      <c r="B517" s="5">
        <v>0.0</v>
      </c>
      <c r="C517" s="5">
        <v>3.0</v>
      </c>
      <c r="D517" s="5" t="s">
        <v>776</v>
      </c>
      <c r="E517" s="5" t="s">
        <v>18</v>
      </c>
      <c r="F517" s="5"/>
      <c r="G517" s="5">
        <v>0.0</v>
      </c>
      <c r="H517" s="5">
        <v>0.0</v>
      </c>
      <c r="I517" s="5">
        <v>2686.0</v>
      </c>
      <c r="J517" s="5">
        <v>7.2292</v>
      </c>
      <c r="K517" s="5"/>
      <c r="L517" s="5" t="s">
        <v>32</v>
      </c>
      <c r="M517" s="5"/>
    </row>
    <row r="518" ht="14.25" customHeight="1">
      <c r="A518" s="5">
        <v>891.0</v>
      </c>
      <c r="B518" s="5">
        <v>0.0</v>
      </c>
      <c r="C518" s="5">
        <v>3.0</v>
      </c>
      <c r="D518" s="5" t="s">
        <v>777</v>
      </c>
      <c r="E518" s="5" t="s">
        <v>18</v>
      </c>
      <c r="F518" s="5">
        <v>32.0</v>
      </c>
      <c r="G518" s="5">
        <v>0.0</v>
      </c>
      <c r="H518" s="5">
        <v>0.0</v>
      </c>
      <c r="I518" s="5">
        <v>370376.0</v>
      </c>
      <c r="J518" s="5">
        <v>7.75</v>
      </c>
      <c r="K518" s="5"/>
      <c r="L518" s="5" t="s">
        <v>279</v>
      </c>
      <c r="M518" s="5"/>
    </row>
    <row r="519" ht="14.25" customHeight="1">
      <c r="A519" s="5">
        <v>284.0</v>
      </c>
      <c r="B519" s="5">
        <v>1.0</v>
      </c>
      <c r="C519" s="5">
        <v>3.0</v>
      </c>
      <c r="D519" s="5" t="s">
        <v>778</v>
      </c>
      <c r="E519" s="5" t="s">
        <v>18</v>
      </c>
      <c r="F519" s="5">
        <v>19.0</v>
      </c>
      <c r="G519" s="5">
        <v>0.0</v>
      </c>
      <c r="H519" s="5">
        <v>0.0</v>
      </c>
      <c r="I519" s="5" t="s">
        <v>779</v>
      </c>
      <c r="J519" s="5">
        <v>8.05</v>
      </c>
      <c r="K519" s="5"/>
      <c r="L519" s="5" t="s">
        <v>16</v>
      </c>
      <c r="M519" s="5"/>
    </row>
    <row r="520" ht="14.25" customHeight="1">
      <c r="A520" s="5">
        <v>80.0</v>
      </c>
      <c r="B520" s="5">
        <v>1.0</v>
      </c>
      <c r="C520" s="5">
        <v>3.0</v>
      </c>
      <c r="D520" s="5" t="s">
        <v>780</v>
      </c>
      <c r="E520" s="5" t="s">
        <v>14</v>
      </c>
      <c r="F520" s="5">
        <v>30.0</v>
      </c>
      <c r="G520" s="5">
        <v>0.0</v>
      </c>
      <c r="H520" s="5">
        <v>0.0</v>
      </c>
      <c r="I520" s="5">
        <v>364516.0</v>
      </c>
      <c r="J520" s="5">
        <v>12.475</v>
      </c>
      <c r="K520" s="5"/>
      <c r="L520" s="5" t="s">
        <v>16</v>
      </c>
      <c r="M520" s="5"/>
    </row>
    <row r="521" ht="14.25" customHeight="1">
      <c r="A521" s="5">
        <v>131.0</v>
      </c>
      <c r="B521" s="5">
        <v>0.0</v>
      </c>
      <c r="C521" s="5">
        <v>3.0</v>
      </c>
      <c r="D521" s="5" t="s">
        <v>781</v>
      </c>
      <c r="E521" s="5" t="s">
        <v>18</v>
      </c>
      <c r="F521" s="5">
        <v>33.0</v>
      </c>
      <c r="G521" s="5">
        <v>0.0</v>
      </c>
      <c r="H521" s="5">
        <v>0.0</v>
      </c>
      <c r="I521" s="5">
        <v>349241.0</v>
      </c>
      <c r="J521" s="5">
        <v>7.8958</v>
      </c>
      <c r="K521" s="5"/>
      <c r="L521" s="5" t="s">
        <v>32</v>
      </c>
      <c r="M521" s="5"/>
    </row>
    <row r="522" ht="14.25" customHeight="1">
      <c r="A522" s="5">
        <v>281.0</v>
      </c>
      <c r="B522" s="5">
        <v>0.0</v>
      </c>
      <c r="C522" s="5">
        <v>3.0</v>
      </c>
      <c r="D522" s="5" t="s">
        <v>782</v>
      </c>
      <c r="E522" s="5" t="s">
        <v>18</v>
      </c>
      <c r="F522" s="5">
        <v>65.0</v>
      </c>
      <c r="G522" s="5">
        <v>0.0</v>
      </c>
      <c r="H522" s="5">
        <v>0.0</v>
      </c>
      <c r="I522" s="5">
        <v>336439.0</v>
      </c>
      <c r="J522" s="5">
        <v>7.75</v>
      </c>
      <c r="K522" s="5"/>
      <c r="L522" s="5" t="s">
        <v>279</v>
      </c>
      <c r="M522" s="5"/>
    </row>
    <row r="523" ht="14.25" customHeight="1">
      <c r="A523" s="5">
        <v>676.0</v>
      </c>
      <c r="B523" s="5">
        <v>0.0</v>
      </c>
      <c r="C523" s="5">
        <v>3.0</v>
      </c>
      <c r="D523" s="5" t="s">
        <v>783</v>
      </c>
      <c r="E523" s="5" t="s">
        <v>18</v>
      </c>
      <c r="F523" s="5">
        <v>18.0</v>
      </c>
      <c r="G523" s="5">
        <v>0.0</v>
      </c>
      <c r="H523" s="5">
        <v>0.0</v>
      </c>
      <c r="I523" s="5">
        <v>349912.0</v>
      </c>
      <c r="J523" s="5">
        <v>7.775</v>
      </c>
      <c r="K523" s="5"/>
      <c r="L523" s="5" t="s">
        <v>16</v>
      </c>
      <c r="M523" s="5"/>
    </row>
    <row r="524" ht="14.25" customHeight="1">
      <c r="A524" s="5">
        <v>765.0</v>
      </c>
      <c r="B524" s="5">
        <v>0.0</v>
      </c>
      <c r="C524" s="5">
        <v>3.0</v>
      </c>
      <c r="D524" s="5" t="s">
        <v>784</v>
      </c>
      <c r="E524" s="5" t="s">
        <v>18</v>
      </c>
      <c r="F524" s="5">
        <v>16.0</v>
      </c>
      <c r="G524" s="5">
        <v>0.0</v>
      </c>
      <c r="H524" s="5">
        <v>0.0</v>
      </c>
      <c r="I524" s="5">
        <v>347074.0</v>
      </c>
      <c r="J524" s="5">
        <v>7.775</v>
      </c>
      <c r="K524" s="5"/>
      <c r="L524" s="5" t="s">
        <v>16</v>
      </c>
      <c r="M524" s="5"/>
    </row>
    <row r="525" ht="14.25" customHeight="1">
      <c r="A525" s="5">
        <v>130.0</v>
      </c>
      <c r="B525" s="5">
        <v>0.0</v>
      </c>
      <c r="C525" s="5">
        <v>3.0</v>
      </c>
      <c r="D525" s="5" t="s">
        <v>785</v>
      </c>
      <c r="E525" s="5" t="s">
        <v>18</v>
      </c>
      <c r="F525" s="5">
        <v>45.0</v>
      </c>
      <c r="G525" s="5">
        <v>0.0</v>
      </c>
      <c r="H525" s="5">
        <v>0.0</v>
      </c>
      <c r="I525" s="5">
        <v>347061.0</v>
      </c>
      <c r="J525" s="5">
        <v>6.975</v>
      </c>
      <c r="K525" s="5"/>
      <c r="L525" s="5" t="s">
        <v>16</v>
      </c>
      <c r="M525" s="5"/>
    </row>
    <row r="526" ht="14.25" customHeight="1">
      <c r="A526" s="5">
        <v>774.0</v>
      </c>
      <c r="B526" s="5">
        <v>0.0</v>
      </c>
      <c r="C526" s="5">
        <v>3.0</v>
      </c>
      <c r="D526" s="5" t="s">
        <v>786</v>
      </c>
      <c r="E526" s="5" t="s">
        <v>18</v>
      </c>
      <c r="F526" s="5"/>
      <c r="G526" s="5">
        <v>0.0</v>
      </c>
      <c r="H526" s="5">
        <v>0.0</v>
      </c>
      <c r="I526" s="5">
        <v>2674.0</v>
      </c>
      <c r="J526" s="5">
        <v>7.225</v>
      </c>
      <c r="K526" s="5"/>
      <c r="L526" s="5" t="s">
        <v>32</v>
      </c>
      <c r="M526" s="5"/>
    </row>
    <row r="527" ht="14.25" customHeight="1">
      <c r="A527" s="5">
        <v>533.0</v>
      </c>
      <c r="B527" s="5">
        <v>0.0</v>
      </c>
      <c r="C527" s="5">
        <v>3.0</v>
      </c>
      <c r="D527" s="5" t="s">
        <v>787</v>
      </c>
      <c r="E527" s="5" t="s">
        <v>18</v>
      </c>
      <c r="F527" s="5">
        <v>17.0</v>
      </c>
      <c r="G527" s="5">
        <v>1.0</v>
      </c>
      <c r="H527" s="5">
        <v>1.0</v>
      </c>
      <c r="I527" s="5">
        <v>2690.0</v>
      </c>
      <c r="J527" s="5">
        <v>7.2292</v>
      </c>
      <c r="K527" s="5"/>
      <c r="L527" s="5" t="s">
        <v>32</v>
      </c>
      <c r="M527" s="5"/>
    </row>
    <row r="528" ht="14.25" customHeight="1">
      <c r="A528" s="5">
        <v>353.0</v>
      </c>
      <c r="B528" s="5">
        <v>0.0</v>
      </c>
      <c r="C528" s="5">
        <v>3.0</v>
      </c>
      <c r="D528" s="5" t="s">
        <v>788</v>
      </c>
      <c r="E528" s="5" t="s">
        <v>18</v>
      </c>
      <c r="F528" s="5">
        <v>15.0</v>
      </c>
      <c r="G528" s="5">
        <v>1.0</v>
      </c>
      <c r="H528" s="5">
        <v>1.0</v>
      </c>
      <c r="I528" s="5">
        <v>2695.0</v>
      </c>
      <c r="J528" s="5">
        <v>7.2292</v>
      </c>
      <c r="K528" s="5"/>
      <c r="L528" s="5" t="s">
        <v>32</v>
      </c>
      <c r="M528" s="5"/>
    </row>
    <row r="529" ht="14.25" customHeight="1">
      <c r="A529" s="5">
        <v>593.0</v>
      </c>
      <c r="B529" s="5">
        <v>0.0</v>
      </c>
      <c r="C529" s="5">
        <v>3.0</v>
      </c>
      <c r="D529" s="5" t="s">
        <v>789</v>
      </c>
      <c r="E529" s="5" t="s">
        <v>18</v>
      </c>
      <c r="F529" s="5">
        <v>47.0</v>
      </c>
      <c r="G529" s="5">
        <v>0.0</v>
      </c>
      <c r="H529" s="5">
        <v>0.0</v>
      </c>
      <c r="I529" s="5" t="s">
        <v>790</v>
      </c>
      <c r="J529" s="5">
        <v>7.25</v>
      </c>
      <c r="K529" s="5"/>
      <c r="L529" s="5" t="s">
        <v>16</v>
      </c>
      <c r="M529" s="5"/>
    </row>
    <row r="530" ht="14.25" customHeight="1">
      <c r="A530" s="5">
        <v>778.0</v>
      </c>
      <c r="B530" s="5">
        <v>1.0</v>
      </c>
      <c r="C530" s="5">
        <v>3.0</v>
      </c>
      <c r="D530" s="5" t="s">
        <v>791</v>
      </c>
      <c r="E530" s="5" t="s">
        <v>14</v>
      </c>
      <c r="F530" s="5">
        <v>5.0</v>
      </c>
      <c r="G530" s="5">
        <v>0.0</v>
      </c>
      <c r="H530" s="5">
        <v>0.0</v>
      </c>
      <c r="I530" s="5">
        <v>364516.0</v>
      </c>
      <c r="J530" s="5">
        <v>12.475</v>
      </c>
      <c r="K530" s="5"/>
      <c r="L530" s="5" t="s">
        <v>16</v>
      </c>
      <c r="M530" s="5"/>
    </row>
    <row r="531" ht="14.25" customHeight="1">
      <c r="A531" s="5">
        <v>27.0</v>
      </c>
      <c r="B531" s="5">
        <v>0.0</v>
      </c>
      <c r="C531" s="5">
        <v>3.0</v>
      </c>
      <c r="D531" s="5" t="s">
        <v>792</v>
      </c>
      <c r="E531" s="5" t="s">
        <v>18</v>
      </c>
      <c r="F531" s="5"/>
      <c r="G531" s="5">
        <v>0.0</v>
      </c>
      <c r="H531" s="5">
        <v>0.0</v>
      </c>
      <c r="I531" s="5">
        <v>2631.0</v>
      </c>
      <c r="J531" s="5">
        <v>7.225</v>
      </c>
      <c r="K531" s="5"/>
      <c r="L531" s="5" t="s">
        <v>32</v>
      </c>
      <c r="M531" s="5"/>
    </row>
    <row r="532" ht="14.25" customHeight="1">
      <c r="A532" s="5">
        <v>526.0</v>
      </c>
      <c r="B532" s="5">
        <v>0.0</v>
      </c>
      <c r="C532" s="5">
        <v>3.0</v>
      </c>
      <c r="D532" s="5" t="s">
        <v>793</v>
      </c>
      <c r="E532" s="5" t="s">
        <v>18</v>
      </c>
      <c r="F532" s="5">
        <v>40.5</v>
      </c>
      <c r="G532" s="5">
        <v>0.0</v>
      </c>
      <c r="H532" s="5">
        <v>0.0</v>
      </c>
      <c r="I532" s="5">
        <v>367232.0</v>
      </c>
      <c r="J532" s="5">
        <v>7.75</v>
      </c>
      <c r="K532" s="5"/>
      <c r="L532" s="5" t="s">
        <v>279</v>
      </c>
      <c r="M532" s="5"/>
    </row>
    <row r="533" ht="14.25" customHeight="1">
      <c r="A533" s="5">
        <v>689.0</v>
      </c>
      <c r="B533" s="5">
        <v>0.0</v>
      </c>
      <c r="C533" s="5">
        <v>3.0</v>
      </c>
      <c r="D533" s="5" t="s">
        <v>794</v>
      </c>
      <c r="E533" s="5" t="s">
        <v>18</v>
      </c>
      <c r="F533" s="5">
        <v>18.0</v>
      </c>
      <c r="G533" s="5">
        <v>0.0</v>
      </c>
      <c r="H533" s="5">
        <v>0.0</v>
      </c>
      <c r="I533" s="5">
        <v>350036.0</v>
      </c>
      <c r="J533" s="5">
        <v>7.7958</v>
      </c>
      <c r="K533" s="5"/>
      <c r="L533" s="5" t="s">
        <v>16</v>
      </c>
      <c r="M533" s="5"/>
    </row>
    <row r="534" ht="14.25" customHeight="1">
      <c r="A534" s="5">
        <v>429.0</v>
      </c>
      <c r="B534" s="5">
        <v>0.0</v>
      </c>
      <c r="C534" s="5">
        <v>3.0</v>
      </c>
      <c r="D534" s="5" t="s">
        <v>795</v>
      </c>
      <c r="E534" s="5" t="s">
        <v>18</v>
      </c>
      <c r="F534" s="5"/>
      <c r="G534" s="5">
        <v>0.0</v>
      </c>
      <c r="H534" s="5">
        <v>0.0</v>
      </c>
      <c r="I534" s="5">
        <v>364851.0</v>
      </c>
      <c r="J534" s="5">
        <v>7.75</v>
      </c>
      <c r="K534" s="5"/>
      <c r="L534" s="5" t="s">
        <v>279</v>
      </c>
      <c r="M534" s="5"/>
    </row>
    <row r="535" ht="14.25" customHeight="1">
      <c r="A535" s="5">
        <v>826.0</v>
      </c>
      <c r="B535" s="5">
        <v>0.0</v>
      </c>
      <c r="C535" s="5">
        <v>3.0</v>
      </c>
      <c r="D535" s="5" t="s">
        <v>796</v>
      </c>
      <c r="E535" s="5" t="s">
        <v>18</v>
      </c>
      <c r="F535" s="5"/>
      <c r="G535" s="5">
        <v>0.0</v>
      </c>
      <c r="H535" s="5">
        <v>0.0</v>
      </c>
      <c r="I535" s="5">
        <v>368323.0</v>
      </c>
      <c r="J535" s="5">
        <v>6.95</v>
      </c>
      <c r="K535" s="5"/>
      <c r="L535" s="5" t="s">
        <v>279</v>
      </c>
      <c r="M535" s="5"/>
    </row>
    <row r="536" ht="14.25" customHeight="1">
      <c r="A536" s="5">
        <v>644.0</v>
      </c>
      <c r="B536" s="5">
        <v>1.0</v>
      </c>
      <c r="C536" s="5">
        <v>3.0</v>
      </c>
      <c r="D536" s="5" t="s">
        <v>797</v>
      </c>
      <c r="E536" s="5" t="s">
        <v>18</v>
      </c>
      <c r="F536" s="5"/>
      <c r="G536" s="5">
        <v>0.0</v>
      </c>
      <c r="H536" s="5">
        <v>0.0</v>
      </c>
      <c r="I536" s="5">
        <v>1601.0</v>
      </c>
      <c r="J536" s="5">
        <v>56.4958</v>
      </c>
      <c r="K536" s="5"/>
      <c r="L536" s="5" t="s">
        <v>16</v>
      </c>
      <c r="M536" s="5"/>
    </row>
    <row r="537" ht="14.25" customHeight="1">
      <c r="A537" s="5">
        <v>437.0</v>
      </c>
      <c r="B537" s="5">
        <v>0.0</v>
      </c>
      <c r="C537" s="5">
        <v>3.0</v>
      </c>
      <c r="D537" s="5" t="s">
        <v>798</v>
      </c>
      <c r="E537" s="5" t="s">
        <v>14</v>
      </c>
      <c r="F537" s="5">
        <v>21.0</v>
      </c>
      <c r="G537" s="5">
        <v>2.0</v>
      </c>
      <c r="H537" s="5">
        <v>2.0</v>
      </c>
      <c r="I537" s="5" t="s">
        <v>799</v>
      </c>
      <c r="J537" s="5">
        <v>34.375</v>
      </c>
      <c r="K537" s="5"/>
      <c r="L537" s="5" t="s">
        <v>16</v>
      </c>
      <c r="M537" s="5"/>
    </row>
    <row r="538" ht="14.25" customHeight="1">
      <c r="A538" s="5">
        <v>148.0</v>
      </c>
      <c r="B538" s="5">
        <v>0.0</v>
      </c>
      <c r="C538" s="5">
        <v>3.0</v>
      </c>
      <c r="D538" s="5" t="s">
        <v>800</v>
      </c>
      <c r="E538" s="5" t="s">
        <v>14</v>
      </c>
      <c r="F538" s="5">
        <v>9.0</v>
      </c>
      <c r="G538" s="5">
        <v>2.0</v>
      </c>
      <c r="H538" s="5">
        <v>2.0</v>
      </c>
      <c r="I538" s="5" t="s">
        <v>799</v>
      </c>
      <c r="J538" s="5">
        <v>34.375</v>
      </c>
      <c r="K538" s="5"/>
      <c r="L538" s="5" t="s">
        <v>16</v>
      </c>
      <c r="M538" s="5"/>
    </row>
    <row r="539" ht="14.25" customHeight="1">
      <c r="A539" s="5">
        <v>87.0</v>
      </c>
      <c r="B539" s="5">
        <v>0.0</v>
      </c>
      <c r="C539" s="5">
        <v>3.0</v>
      </c>
      <c r="D539" s="5" t="s">
        <v>801</v>
      </c>
      <c r="E539" s="5" t="s">
        <v>18</v>
      </c>
      <c r="F539" s="5">
        <v>16.0</v>
      </c>
      <c r="G539" s="5">
        <v>1.0</v>
      </c>
      <c r="H539" s="5">
        <v>3.0</v>
      </c>
      <c r="I539" s="5" t="s">
        <v>799</v>
      </c>
      <c r="J539" s="5">
        <v>34.375</v>
      </c>
      <c r="K539" s="5"/>
      <c r="L539" s="5" t="s">
        <v>16</v>
      </c>
      <c r="M539" s="5"/>
    </row>
    <row r="540" ht="14.25" customHeight="1">
      <c r="A540" s="5">
        <v>737.0</v>
      </c>
      <c r="B540" s="5">
        <v>0.0</v>
      </c>
      <c r="C540" s="5">
        <v>3.0</v>
      </c>
      <c r="D540" s="5" t="s">
        <v>802</v>
      </c>
      <c r="E540" s="5" t="s">
        <v>14</v>
      </c>
      <c r="F540" s="5">
        <v>48.0</v>
      </c>
      <c r="G540" s="5">
        <v>1.0</v>
      </c>
      <c r="H540" s="5">
        <v>3.0</v>
      </c>
      <c r="I540" s="5" t="s">
        <v>799</v>
      </c>
      <c r="J540" s="5">
        <v>34.375</v>
      </c>
      <c r="K540" s="5"/>
      <c r="L540" s="5" t="s">
        <v>16</v>
      </c>
      <c r="M540" s="5"/>
    </row>
    <row r="541" ht="14.25" customHeight="1">
      <c r="A541" s="5">
        <v>704.0</v>
      </c>
      <c r="B541" s="5">
        <v>0.0</v>
      </c>
      <c r="C541" s="5">
        <v>3.0</v>
      </c>
      <c r="D541" s="5" t="s">
        <v>803</v>
      </c>
      <c r="E541" s="5" t="s">
        <v>18</v>
      </c>
      <c r="F541" s="5">
        <v>25.0</v>
      </c>
      <c r="G541" s="5">
        <v>0.0</v>
      </c>
      <c r="H541" s="5">
        <v>0.0</v>
      </c>
      <c r="I541" s="5">
        <v>36864.0</v>
      </c>
      <c r="J541" s="5">
        <v>7.7417</v>
      </c>
      <c r="K541" s="5"/>
      <c r="L541" s="5" t="s">
        <v>279</v>
      </c>
      <c r="M541" s="5"/>
    </row>
    <row r="542" ht="14.25" customHeight="1">
      <c r="A542" s="5">
        <v>761.0</v>
      </c>
      <c r="B542" s="5">
        <v>0.0</v>
      </c>
      <c r="C542" s="5">
        <v>3.0</v>
      </c>
      <c r="D542" s="5" t="s">
        <v>804</v>
      </c>
      <c r="E542" s="5" t="s">
        <v>18</v>
      </c>
      <c r="F542" s="5"/>
      <c r="G542" s="5">
        <v>0.0</v>
      </c>
      <c r="H542" s="5">
        <v>0.0</v>
      </c>
      <c r="I542" s="5">
        <v>358585.0</v>
      </c>
      <c r="J542" s="5">
        <v>14.5</v>
      </c>
      <c r="K542" s="5"/>
      <c r="L542" s="5" t="s">
        <v>16</v>
      </c>
      <c r="M542" s="5"/>
    </row>
    <row r="543" ht="14.25" customHeight="1">
      <c r="A543" s="5">
        <v>421.0</v>
      </c>
      <c r="B543" s="5">
        <v>0.0</v>
      </c>
      <c r="C543" s="5">
        <v>3.0</v>
      </c>
      <c r="D543" s="5" t="s">
        <v>805</v>
      </c>
      <c r="E543" s="5" t="s">
        <v>18</v>
      </c>
      <c r="F543" s="5"/>
      <c r="G543" s="5">
        <v>0.0</v>
      </c>
      <c r="H543" s="5">
        <v>0.0</v>
      </c>
      <c r="I543" s="5">
        <v>349254.0</v>
      </c>
      <c r="J543" s="5">
        <v>7.8958</v>
      </c>
      <c r="K543" s="5"/>
      <c r="L543" s="5" t="s">
        <v>32</v>
      </c>
      <c r="M543" s="5"/>
    </row>
    <row r="544" ht="14.25" customHeight="1">
      <c r="A544" s="5">
        <v>589.0</v>
      </c>
      <c r="B544" s="5">
        <v>0.0</v>
      </c>
      <c r="C544" s="5">
        <v>3.0</v>
      </c>
      <c r="D544" s="5" t="s">
        <v>806</v>
      </c>
      <c r="E544" s="5" t="s">
        <v>18</v>
      </c>
      <c r="F544" s="5">
        <v>22.0</v>
      </c>
      <c r="G544" s="5">
        <v>0.0</v>
      </c>
      <c r="H544" s="5">
        <v>0.0</v>
      </c>
      <c r="I544" s="5">
        <v>14973.0</v>
      </c>
      <c r="J544" s="5">
        <v>8.05</v>
      </c>
      <c r="K544" s="5"/>
      <c r="L544" s="5" t="s">
        <v>16</v>
      </c>
      <c r="M544" s="5"/>
    </row>
    <row r="545" ht="14.25" customHeight="1">
      <c r="A545" s="5">
        <v>157.0</v>
      </c>
      <c r="B545" s="5">
        <v>1.0</v>
      </c>
      <c r="C545" s="5">
        <v>3.0</v>
      </c>
      <c r="D545" s="5" t="s">
        <v>807</v>
      </c>
      <c r="E545" s="5" t="s">
        <v>14</v>
      </c>
      <c r="F545" s="5">
        <v>16.0</v>
      </c>
      <c r="G545" s="5">
        <v>0.0</v>
      </c>
      <c r="H545" s="5">
        <v>0.0</v>
      </c>
      <c r="I545" s="5">
        <v>35851.0</v>
      </c>
      <c r="J545" s="5">
        <v>7.7333</v>
      </c>
      <c r="K545" s="5"/>
      <c r="L545" s="5" t="s">
        <v>279</v>
      </c>
      <c r="M545" s="5"/>
    </row>
    <row r="546" ht="14.25" customHeight="1">
      <c r="A546" s="5">
        <v>33.0</v>
      </c>
      <c r="B546" s="5">
        <v>1.0</v>
      </c>
      <c r="C546" s="5">
        <v>3.0</v>
      </c>
      <c r="D546" s="5" t="s">
        <v>808</v>
      </c>
      <c r="E546" s="5" t="s">
        <v>14</v>
      </c>
      <c r="F546" s="5"/>
      <c r="G546" s="5">
        <v>0.0</v>
      </c>
      <c r="H546" s="5">
        <v>0.0</v>
      </c>
      <c r="I546" s="5">
        <v>335677.0</v>
      </c>
      <c r="J546" s="5">
        <v>7.75</v>
      </c>
      <c r="K546" s="5"/>
      <c r="L546" s="5" t="s">
        <v>279</v>
      </c>
      <c r="M546" s="5"/>
    </row>
    <row r="547" ht="14.25" customHeight="1">
      <c r="A547" s="5">
        <v>166.0</v>
      </c>
      <c r="B547" s="5">
        <v>1.0</v>
      </c>
      <c r="C547" s="5">
        <v>3.0</v>
      </c>
      <c r="D547" s="5" t="s">
        <v>809</v>
      </c>
      <c r="E547" s="5" t="s">
        <v>18</v>
      </c>
      <c r="F547" s="5">
        <v>9.0</v>
      </c>
      <c r="G547" s="5">
        <v>0.0</v>
      </c>
      <c r="H547" s="5">
        <v>2.0</v>
      </c>
      <c r="I547" s="5">
        <v>363291.0</v>
      </c>
      <c r="J547" s="5">
        <v>20.525</v>
      </c>
      <c r="K547" s="5"/>
      <c r="L547" s="5" t="s">
        <v>16</v>
      </c>
      <c r="M547" s="5"/>
    </row>
    <row r="548" ht="14.25" customHeight="1">
      <c r="A548" s="5">
        <v>549.0</v>
      </c>
      <c r="B548" s="5">
        <v>0.0</v>
      </c>
      <c r="C548" s="5">
        <v>3.0</v>
      </c>
      <c r="D548" s="5" t="s">
        <v>810</v>
      </c>
      <c r="E548" s="5" t="s">
        <v>18</v>
      </c>
      <c r="F548" s="5">
        <v>33.0</v>
      </c>
      <c r="G548" s="5">
        <v>1.0</v>
      </c>
      <c r="H548" s="5">
        <v>1.0</v>
      </c>
      <c r="I548" s="5">
        <v>363291.0</v>
      </c>
      <c r="J548" s="5">
        <v>20.525</v>
      </c>
      <c r="K548" s="5"/>
      <c r="L548" s="5" t="s">
        <v>16</v>
      </c>
      <c r="M548" s="5"/>
    </row>
    <row r="549" ht="14.25" customHeight="1">
      <c r="A549" s="5">
        <v>329.0</v>
      </c>
      <c r="B549" s="5">
        <v>1.0</v>
      </c>
      <c r="C549" s="5">
        <v>3.0</v>
      </c>
      <c r="D549" s="5" t="s">
        <v>811</v>
      </c>
      <c r="E549" s="5" t="s">
        <v>14</v>
      </c>
      <c r="F549" s="5">
        <v>31.0</v>
      </c>
      <c r="G549" s="5">
        <v>1.0</v>
      </c>
      <c r="H549" s="5">
        <v>1.0</v>
      </c>
      <c r="I549" s="5">
        <v>363291.0</v>
      </c>
      <c r="J549" s="5">
        <v>20.525</v>
      </c>
      <c r="K549" s="5"/>
      <c r="L549" s="5" t="s">
        <v>16</v>
      </c>
      <c r="M549" s="5"/>
    </row>
    <row r="550" ht="14.25" customHeight="1">
      <c r="A550" s="5">
        <v>466.0</v>
      </c>
      <c r="B550" s="5">
        <v>0.0</v>
      </c>
      <c r="C550" s="5">
        <v>3.0</v>
      </c>
      <c r="D550" s="5" t="s">
        <v>812</v>
      </c>
      <c r="E550" s="5" t="s">
        <v>18</v>
      </c>
      <c r="F550" s="5">
        <v>38.0</v>
      </c>
      <c r="G550" s="5">
        <v>0.0</v>
      </c>
      <c r="H550" s="5">
        <v>0.0</v>
      </c>
      <c r="I550" s="5" t="s">
        <v>813</v>
      </c>
      <c r="J550" s="5">
        <v>7.05</v>
      </c>
      <c r="K550" s="5"/>
      <c r="L550" s="5" t="s">
        <v>16</v>
      </c>
      <c r="M550" s="5"/>
    </row>
    <row r="551" ht="14.25" customHeight="1">
      <c r="A551" s="5">
        <v>481.0</v>
      </c>
      <c r="B551" s="5">
        <v>0.0</v>
      </c>
      <c r="C551" s="5">
        <v>3.0</v>
      </c>
      <c r="D551" s="5" t="s">
        <v>814</v>
      </c>
      <c r="E551" s="5" t="s">
        <v>18</v>
      </c>
      <c r="F551" s="5">
        <v>9.0</v>
      </c>
      <c r="G551" s="5">
        <v>5.0</v>
      </c>
      <c r="H551" s="5">
        <v>2.0</v>
      </c>
      <c r="I551" s="5" t="s">
        <v>815</v>
      </c>
      <c r="J551" s="5">
        <v>46.9</v>
      </c>
      <c r="K551" s="5"/>
      <c r="L551" s="5" t="s">
        <v>16</v>
      </c>
      <c r="M551" s="5"/>
    </row>
    <row r="552" ht="14.25" customHeight="1">
      <c r="A552" s="5">
        <v>387.0</v>
      </c>
      <c r="B552" s="5">
        <v>0.0</v>
      </c>
      <c r="C552" s="5">
        <v>3.0</v>
      </c>
      <c r="D552" s="5" t="s">
        <v>816</v>
      </c>
      <c r="E552" s="5" t="s">
        <v>18</v>
      </c>
      <c r="F552" s="5">
        <v>1.0</v>
      </c>
      <c r="G552" s="5">
        <v>5.0</v>
      </c>
      <c r="H552" s="5">
        <v>2.0</v>
      </c>
      <c r="I552" s="5" t="s">
        <v>815</v>
      </c>
      <c r="J552" s="5">
        <v>46.9</v>
      </c>
      <c r="K552" s="5"/>
      <c r="L552" s="5" t="s">
        <v>16</v>
      </c>
      <c r="M552" s="5"/>
    </row>
    <row r="553" ht="14.25" customHeight="1">
      <c r="A553" s="5">
        <v>60.0</v>
      </c>
      <c r="B553" s="5">
        <v>0.0</v>
      </c>
      <c r="C553" s="5">
        <v>3.0</v>
      </c>
      <c r="D553" s="5" t="s">
        <v>817</v>
      </c>
      <c r="E553" s="5" t="s">
        <v>18</v>
      </c>
      <c r="F553" s="5">
        <v>11.0</v>
      </c>
      <c r="G553" s="5">
        <v>5.0</v>
      </c>
      <c r="H553" s="5">
        <v>2.0</v>
      </c>
      <c r="I553" s="5" t="s">
        <v>815</v>
      </c>
      <c r="J553" s="5">
        <v>46.9</v>
      </c>
      <c r="K553" s="5"/>
      <c r="L553" s="5" t="s">
        <v>16</v>
      </c>
      <c r="M553" s="5"/>
    </row>
    <row r="554" ht="14.25" customHeight="1">
      <c r="A554" s="5">
        <v>72.0</v>
      </c>
      <c r="B554" s="5">
        <v>0.0</v>
      </c>
      <c r="C554" s="5">
        <v>3.0</v>
      </c>
      <c r="D554" s="5" t="s">
        <v>818</v>
      </c>
      <c r="E554" s="5" t="s">
        <v>14</v>
      </c>
      <c r="F554" s="5">
        <v>16.0</v>
      </c>
      <c r="G554" s="5">
        <v>5.0</v>
      </c>
      <c r="H554" s="5">
        <v>2.0</v>
      </c>
      <c r="I554" s="5" t="s">
        <v>815</v>
      </c>
      <c r="J554" s="5">
        <v>46.9</v>
      </c>
      <c r="K554" s="5"/>
      <c r="L554" s="5" t="s">
        <v>16</v>
      </c>
      <c r="M554" s="5"/>
    </row>
    <row r="555" ht="14.25" customHeight="1">
      <c r="A555" s="5">
        <v>684.0</v>
      </c>
      <c r="B555" s="5">
        <v>0.0</v>
      </c>
      <c r="C555" s="5">
        <v>3.0</v>
      </c>
      <c r="D555" s="5" t="s">
        <v>819</v>
      </c>
      <c r="E555" s="5" t="s">
        <v>18</v>
      </c>
      <c r="F555" s="5">
        <v>14.0</v>
      </c>
      <c r="G555" s="5">
        <v>5.0</v>
      </c>
      <c r="H555" s="5">
        <v>2.0</v>
      </c>
      <c r="I555" s="5" t="s">
        <v>815</v>
      </c>
      <c r="J555" s="5">
        <v>46.9</v>
      </c>
      <c r="K555" s="5"/>
      <c r="L555" s="5" t="s">
        <v>16</v>
      </c>
      <c r="M555" s="5"/>
    </row>
    <row r="556" ht="14.25" customHeight="1">
      <c r="A556" s="5">
        <v>679.0</v>
      </c>
      <c r="B556" s="5">
        <v>0.0</v>
      </c>
      <c r="C556" s="5">
        <v>3.0</v>
      </c>
      <c r="D556" s="5" t="s">
        <v>820</v>
      </c>
      <c r="E556" s="5" t="s">
        <v>14</v>
      </c>
      <c r="F556" s="5">
        <v>43.0</v>
      </c>
      <c r="G556" s="5">
        <v>1.0</v>
      </c>
      <c r="H556" s="5">
        <v>6.0</v>
      </c>
      <c r="I556" s="5" t="s">
        <v>815</v>
      </c>
      <c r="J556" s="5">
        <v>46.9</v>
      </c>
      <c r="K556" s="5"/>
      <c r="L556" s="5" t="s">
        <v>16</v>
      </c>
      <c r="M556" s="5"/>
    </row>
    <row r="557" ht="14.25" customHeight="1">
      <c r="A557" s="5">
        <v>223.0</v>
      </c>
      <c r="B557" s="5">
        <v>0.0</v>
      </c>
      <c r="C557" s="5">
        <v>3.0</v>
      </c>
      <c r="D557" s="5" t="s">
        <v>821</v>
      </c>
      <c r="E557" s="5" t="s">
        <v>18</v>
      </c>
      <c r="F557" s="5">
        <v>51.0</v>
      </c>
      <c r="G557" s="5">
        <v>0.0</v>
      </c>
      <c r="H557" s="5">
        <v>0.0</v>
      </c>
      <c r="I557" s="5">
        <v>21440.0</v>
      </c>
      <c r="J557" s="5">
        <v>8.05</v>
      </c>
      <c r="K557" s="5"/>
      <c r="L557" s="5" t="s">
        <v>16</v>
      </c>
      <c r="M557" s="5"/>
    </row>
    <row r="558" ht="14.25" customHeight="1">
      <c r="A558" s="5">
        <v>770.0</v>
      </c>
      <c r="B558" s="5">
        <v>0.0</v>
      </c>
      <c r="C558" s="5">
        <v>3.0</v>
      </c>
      <c r="D558" s="5" t="s">
        <v>822</v>
      </c>
      <c r="E558" s="5" t="s">
        <v>18</v>
      </c>
      <c r="F558" s="5">
        <v>32.0</v>
      </c>
      <c r="G558" s="5">
        <v>0.0</v>
      </c>
      <c r="H558" s="5">
        <v>0.0</v>
      </c>
      <c r="I558" s="5">
        <v>8471.0</v>
      </c>
      <c r="J558" s="5">
        <v>8.3625</v>
      </c>
      <c r="K558" s="5"/>
      <c r="L558" s="5" t="s">
        <v>16</v>
      </c>
      <c r="M558" s="5"/>
    </row>
    <row r="559" ht="14.25" customHeight="1">
      <c r="A559" s="5">
        <v>877.0</v>
      </c>
      <c r="B559" s="5">
        <v>0.0</v>
      </c>
      <c r="C559" s="5">
        <v>3.0</v>
      </c>
      <c r="D559" s="5" t="s">
        <v>823</v>
      </c>
      <c r="E559" s="5" t="s">
        <v>18</v>
      </c>
      <c r="F559" s="5">
        <v>20.0</v>
      </c>
      <c r="G559" s="5">
        <v>0.0</v>
      </c>
      <c r="H559" s="5">
        <v>0.0</v>
      </c>
      <c r="I559" s="5">
        <v>7534.0</v>
      </c>
      <c r="J559" s="5">
        <v>9.8458</v>
      </c>
      <c r="K559" s="5"/>
      <c r="L559" s="5" t="s">
        <v>16</v>
      </c>
      <c r="M559" s="5"/>
    </row>
    <row r="560" ht="14.25" customHeight="1">
      <c r="A560" s="5">
        <v>105.0</v>
      </c>
      <c r="B560" s="5">
        <v>0.0</v>
      </c>
      <c r="C560" s="5">
        <v>3.0</v>
      </c>
      <c r="D560" s="5" t="s">
        <v>824</v>
      </c>
      <c r="E560" s="5" t="s">
        <v>18</v>
      </c>
      <c r="F560" s="5">
        <v>37.0</v>
      </c>
      <c r="G560" s="5">
        <v>2.0</v>
      </c>
      <c r="H560" s="5">
        <v>0.0</v>
      </c>
      <c r="I560" s="5">
        <v>3101276.0</v>
      </c>
      <c r="J560" s="5">
        <v>7.925</v>
      </c>
      <c r="K560" s="5"/>
      <c r="L560" s="5" t="s">
        <v>16</v>
      </c>
      <c r="M560" s="5"/>
    </row>
    <row r="561" ht="14.25" customHeight="1">
      <c r="A561" s="5">
        <v>393.0</v>
      </c>
      <c r="B561" s="5">
        <v>0.0</v>
      </c>
      <c r="C561" s="5">
        <v>3.0</v>
      </c>
      <c r="D561" s="5" t="s">
        <v>825</v>
      </c>
      <c r="E561" s="5" t="s">
        <v>18</v>
      </c>
      <c r="F561" s="5">
        <v>28.0</v>
      </c>
      <c r="G561" s="5">
        <v>2.0</v>
      </c>
      <c r="H561" s="5">
        <v>0.0</v>
      </c>
      <c r="I561" s="5">
        <v>3101277.0</v>
      </c>
      <c r="J561" s="5">
        <v>7.925</v>
      </c>
      <c r="K561" s="5"/>
      <c r="L561" s="5" t="s">
        <v>16</v>
      </c>
      <c r="M561" s="5"/>
    </row>
    <row r="562" ht="14.25" customHeight="1">
      <c r="A562" s="5">
        <v>380.0</v>
      </c>
      <c r="B562" s="5">
        <v>0.0</v>
      </c>
      <c r="C562" s="5">
        <v>3.0</v>
      </c>
      <c r="D562" s="5" t="s">
        <v>826</v>
      </c>
      <c r="E562" s="5" t="s">
        <v>18</v>
      </c>
      <c r="F562" s="5">
        <v>19.0</v>
      </c>
      <c r="G562" s="5">
        <v>0.0</v>
      </c>
      <c r="H562" s="5">
        <v>0.0</v>
      </c>
      <c r="I562" s="5">
        <v>347069.0</v>
      </c>
      <c r="J562" s="5">
        <v>7.775</v>
      </c>
      <c r="K562" s="5"/>
      <c r="L562" s="5" t="s">
        <v>16</v>
      </c>
      <c r="M562" s="5"/>
    </row>
    <row r="563" ht="14.25" customHeight="1">
      <c r="A563" s="5">
        <v>294.0</v>
      </c>
      <c r="B563" s="5">
        <v>0.0</v>
      </c>
      <c r="C563" s="5">
        <v>3.0</v>
      </c>
      <c r="D563" s="5" t="s">
        <v>827</v>
      </c>
      <c r="E563" s="5" t="s">
        <v>14</v>
      </c>
      <c r="F563" s="5">
        <v>24.0</v>
      </c>
      <c r="G563" s="5">
        <v>0.0</v>
      </c>
      <c r="H563" s="5">
        <v>0.0</v>
      </c>
      <c r="I563" s="5">
        <v>349236.0</v>
      </c>
      <c r="J563" s="5">
        <v>8.85</v>
      </c>
      <c r="K563" s="5"/>
      <c r="L563" s="5" t="s">
        <v>16</v>
      </c>
      <c r="M563" s="5"/>
    </row>
    <row r="564" ht="14.25" customHeight="1">
      <c r="A564" s="5">
        <v>452.0</v>
      </c>
      <c r="B564" s="5">
        <v>0.0</v>
      </c>
      <c r="C564" s="5">
        <v>3.0</v>
      </c>
      <c r="D564" s="5" t="s">
        <v>828</v>
      </c>
      <c r="E564" s="5" t="s">
        <v>18</v>
      </c>
      <c r="F564" s="5"/>
      <c r="G564" s="5">
        <v>1.0</v>
      </c>
      <c r="H564" s="5">
        <v>0.0</v>
      </c>
      <c r="I564" s="5">
        <v>65303.0</v>
      </c>
      <c r="J564" s="5">
        <v>19.9667</v>
      </c>
      <c r="K564" s="5"/>
      <c r="L564" s="5" t="s">
        <v>16</v>
      </c>
      <c r="M564" s="5"/>
    </row>
    <row r="565" ht="14.25" customHeight="1">
      <c r="A565" s="5">
        <v>491.0</v>
      </c>
      <c r="B565" s="5">
        <v>0.0</v>
      </c>
      <c r="C565" s="5">
        <v>3.0</v>
      </c>
      <c r="D565" s="5" t="s">
        <v>829</v>
      </c>
      <c r="E565" s="5" t="s">
        <v>18</v>
      </c>
      <c r="F565" s="5"/>
      <c r="G565" s="5">
        <v>1.0</v>
      </c>
      <c r="H565" s="5">
        <v>0.0</v>
      </c>
      <c r="I565" s="5">
        <v>65304.0</v>
      </c>
      <c r="J565" s="5">
        <v>19.9667</v>
      </c>
      <c r="K565" s="5"/>
      <c r="L565" s="5" t="s">
        <v>16</v>
      </c>
      <c r="M565" s="5"/>
    </row>
    <row r="566" ht="14.25" customHeight="1">
      <c r="A566" s="5">
        <v>404.0</v>
      </c>
      <c r="B566" s="5">
        <v>0.0</v>
      </c>
      <c r="C566" s="5">
        <v>3.0</v>
      </c>
      <c r="D566" s="5" t="s">
        <v>830</v>
      </c>
      <c r="E566" s="5" t="s">
        <v>18</v>
      </c>
      <c r="F566" s="5">
        <v>28.0</v>
      </c>
      <c r="G566" s="5">
        <v>1.0</v>
      </c>
      <c r="H566" s="5">
        <v>0.0</v>
      </c>
      <c r="I566" s="5" t="s">
        <v>831</v>
      </c>
      <c r="J566" s="5">
        <v>15.85</v>
      </c>
      <c r="K566" s="5"/>
      <c r="L566" s="5" t="s">
        <v>16</v>
      </c>
      <c r="M566" s="5"/>
    </row>
    <row r="567" ht="14.25" customHeight="1">
      <c r="A567" s="5">
        <v>143.0</v>
      </c>
      <c r="B567" s="5">
        <v>1.0</v>
      </c>
      <c r="C567" s="5">
        <v>3.0</v>
      </c>
      <c r="D567" s="5" t="s">
        <v>832</v>
      </c>
      <c r="E567" s="5" t="s">
        <v>14</v>
      </c>
      <c r="F567" s="5">
        <v>24.0</v>
      </c>
      <c r="G567" s="5">
        <v>1.0</v>
      </c>
      <c r="H567" s="5">
        <v>0.0</v>
      </c>
      <c r="I567" s="5" t="s">
        <v>831</v>
      </c>
      <c r="J567" s="5">
        <v>15.85</v>
      </c>
      <c r="K567" s="5"/>
      <c r="L567" s="5" t="s">
        <v>16</v>
      </c>
      <c r="M567" s="5"/>
    </row>
    <row r="568" ht="14.25" customHeight="1">
      <c r="A568" s="5">
        <v>442.0</v>
      </c>
      <c r="B568" s="5">
        <v>0.0</v>
      </c>
      <c r="C568" s="5">
        <v>3.0</v>
      </c>
      <c r="D568" s="5" t="s">
        <v>833</v>
      </c>
      <c r="E568" s="5" t="s">
        <v>18</v>
      </c>
      <c r="F568" s="5">
        <v>20.0</v>
      </c>
      <c r="G568" s="5">
        <v>0.0</v>
      </c>
      <c r="H568" s="5">
        <v>0.0</v>
      </c>
      <c r="I568" s="5">
        <v>345769.0</v>
      </c>
      <c r="J568" s="5">
        <v>9.5</v>
      </c>
      <c r="K568" s="5"/>
      <c r="L568" s="5" t="s">
        <v>16</v>
      </c>
      <c r="M568" s="5"/>
    </row>
    <row r="569" ht="14.25" customHeight="1">
      <c r="A569" s="5">
        <v>297.0</v>
      </c>
      <c r="B569" s="5">
        <v>0.0</v>
      </c>
      <c r="C569" s="5">
        <v>3.0</v>
      </c>
      <c r="D569" s="5" t="s">
        <v>834</v>
      </c>
      <c r="E569" s="5" t="s">
        <v>18</v>
      </c>
      <c r="F569" s="5">
        <v>23.5</v>
      </c>
      <c r="G569" s="5">
        <v>0.0</v>
      </c>
      <c r="H569" s="5">
        <v>0.0</v>
      </c>
      <c r="I569" s="5">
        <v>2693.0</v>
      </c>
      <c r="J569" s="5">
        <v>7.2292</v>
      </c>
      <c r="K569" s="5"/>
      <c r="L569" s="5" t="s">
        <v>32</v>
      </c>
      <c r="M569" s="5"/>
    </row>
    <row r="570" ht="14.25" customHeight="1">
      <c r="A570" s="5">
        <v>861.0</v>
      </c>
      <c r="B570" s="5">
        <v>0.0</v>
      </c>
      <c r="C570" s="5">
        <v>3.0</v>
      </c>
      <c r="D570" s="5" t="s">
        <v>835</v>
      </c>
      <c r="E570" s="5" t="s">
        <v>18</v>
      </c>
      <c r="F570" s="5">
        <v>41.0</v>
      </c>
      <c r="G570" s="5">
        <v>2.0</v>
      </c>
      <c r="H570" s="5">
        <v>0.0</v>
      </c>
      <c r="I570" s="5">
        <v>350026.0</v>
      </c>
      <c r="J570" s="5">
        <v>14.1083</v>
      </c>
      <c r="K570" s="5"/>
      <c r="L570" s="5" t="s">
        <v>16</v>
      </c>
      <c r="M570" s="5"/>
    </row>
    <row r="571" ht="14.25" customHeight="1">
      <c r="A571" s="5">
        <v>705.0</v>
      </c>
      <c r="B571" s="5">
        <v>0.0</v>
      </c>
      <c r="C571" s="5">
        <v>3.0</v>
      </c>
      <c r="D571" s="5" t="s">
        <v>836</v>
      </c>
      <c r="E571" s="5" t="s">
        <v>18</v>
      </c>
      <c r="F571" s="5">
        <v>26.0</v>
      </c>
      <c r="G571" s="5">
        <v>1.0</v>
      </c>
      <c r="H571" s="5">
        <v>0.0</v>
      </c>
      <c r="I571" s="5">
        <v>350025.0</v>
      </c>
      <c r="J571" s="5">
        <v>7.8542</v>
      </c>
      <c r="K571" s="5"/>
      <c r="L571" s="5" t="s">
        <v>16</v>
      </c>
      <c r="M571" s="5"/>
    </row>
    <row r="572" ht="14.25" customHeight="1">
      <c r="A572" s="5">
        <v>624.0</v>
      </c>
      <c r="B572" s="5">
        <v>0.0</v>
      </c>
      <c r="C572" s="5">
        <v>3.0</v>
      </c>
      <c r="D572" s="5" t="s">
        <v>837</v>
      </c>
      <c r="E572" s="5" t="s">
        <v>18</v>
      </c>
      <c r="F572" s="5">
        <v>21.0</v>
      </c>
      <c r="G572" s="5">
        <v>0.0</v>
      </c>
      <c r="H572" s="5">
        <v>0.0</v>
      </c>
      <c r="I572" s="5">
        <v>350029.0</v>
      </c>
      <c r="J572" s="5">
        <v>7.8542</v>
      </c>
      <c r="K572" s="5"/>
      <c r="L572" s="5" t="s">
        <v>16</v>
      </c>
      <c r="M572" s="5"/>
    </row>
    <row r="573" ht="14.25" customHeight="1">
      <c r="A573" s="5">
        <v>236.0</v>
      </c>
      <c r="B573" s="5">
        <v>0.0</v>
      </c>
      <c r="C573" s="5">
        <v>3.0</v>
      </c>
      <c r="D573" s="5" t="s">
        <v>838</v>
      </c>
      <c r="E573" s="5" t="s">
        <v>14</v>
      </c>
      <c r="F573" s="5"/>
      <c r="G573" s="5">
        <v>0.0</v>
      </c>
      <c r="H573" s="5">
        <v>0.0</v>
      </c>
      <c r="I573" s="5" t="s">
        <v>839</v>
      </c>
      <c r="J573" s="5">
        <v>7.55</v>
      </c>
      <c r="K573" s="5"/>
      <c r="L573" s="5" t="s">
        <v>16</v>
      </c>
      <c r="M573" s="5"/>
    </row>
    <row r="574" ht="14.25" customHeight="1">
      <c r="A574" s="5">
        <v>786.0</v>
      </c>
      <c r="B574" s="5">
        <v>0.0</v>
      </c>
      <c r="C574" s="5">
        <v>3.0</v>
      </c>
      <c r="D574" s="5" t="s">
        <v>840</v>
      </c>
      <c r="E574" s="5" t="s">
        <v>18</v>
      </c>
      <c r="F574" s="5">
        <v>25.0</v>
      </c>
      <c r="G574" s="5">
        <v>0.0</v>
      </c>
      <c r="H574" s="5">
        <v>0.0</v>
      </c>
      <c r="I574" s="5">
        <v>374887.0</v>
      </c>
      <c r="J574" s="5">
        <v>7.25</v>
      </c>
      <c r="K574" s="5"/>
      <c r="L574" s="5" t="s">
        <v>16</v>
      </c>
      <c r="M574" s="5"/>
    </row>
    <row r="575" ht="14.25" customHeight="1">
      <c r="A575" s="5">
        <v>412.0</v>
      </c>
      <c r="B575" s="5">
        <v>0.0</v>
      </c>
      <c r="C575" s="5">
        <v>3.0</v>
      </c>
      <c r="D575" s="5" t="s">
        <v>841</v>
      </c>
      <c r="E575" s="5" t="s">
        <v>18</v>
      </c>
      <c r="F575" s="5"/>
      <c r="G575" s="5">
        <v>0.0</v>
      </c>
      <c r="H575" s="5">
        <v>0.0</v>
      </c>
      <c r="I575" s="5">
        <v>394140.0</v>
      </c>
      <c r="J575" s="5">
        <v>6.8583</v>
      </c>
      <c r="K575" s="5"/>
      <c r="L575" s="5" t="s">
        <v>279</v>
      </c>
      <c r="M575" s="5"/>
    </row>
    <row r="576" ht="14.25" customHeight="1">
      <c r="A576" s="5">
        <v>732.0</v>
      </c>
      <c r="B576" s="5">
        <v>0.0</v>
      </c>
      <c r="C576" s="5">
        <v>3.0</v>
      </c>
      <c r="D576" s="5" t="s">
        <v>842</v>
      </c>
      <c r="E576" s="5" t="s">
        <v>18</v>
      </c>
      <c r="F576" s="5">
        <v>11.0</v>
      </c>
      <c r="G576" s="5">
        <v>0.0</v>
      </c>
      <c r="H576" s="5">
        <v>0.0</v>
      </c>
      <c r="I576" s="5">
        <v>2699.0</v>
      </c>
      <c r="J576" s="5">
        <v>18.7875</v>
      </c>
      <c r="K576" s="5"/>
      <c r="L576" s="5" t="s">
        <v>32</v>
      </c>
      <c r="M576" s="5"/>
    </row>
    <row r="577" ht="14.25" customHeight="1">
      <c r="A577" s="5">
        <v>275.0</v>
      </c>
      <c r="B577" s="5">
        <v>1.0</v>
      </c>
      <c r="C577" s="5">
        <v>3.0</v>
      </c>
      <c r="D577" s="5" t="s">
        <v>843</v>
      </c>
      <c r="E577" s="5" t="s">
        <v>14</v>
      </c>
      <c r="F577" s="5"/>
      <c r="G577" s="5">
        <v>0.0</v>
      </c>
      <c r="H577" s="5">
        <v>0.0</v>
      </c>
      <c r="I577" s="5">
        <v>370375.0</v>
      </c>
      <c r="J577" s="5">
        <v>7.75</v>
      </c>
      <c r="K577" s="5"/>
      <c r="L577" s="5" t="s">
        <v>279</v>
      </c>
      <c r="M577" s="5"/>
    </row>
    <row r="578" ht="14.25" customHeight="1">
      <c r="A578" s="5">
        <v>805.0</v>
      </c>
      <c r="B578" s="5">
        <v>1.0</v>
      </c>
      <c r="C578" s="5">
        <v>3.0</v>
      </c>
      <c r="D578" s="5" t="s">
        <v>844</v>
      </c>
      <c r="E578" s="5" t="s">
        <v>18</v>
      </c>
      <c r="F578" s="5">
        <v>27.0</v>
      </c>
      <c r="G578" s="5">
        <v>0.0</v>
      </c>
      <c r="H578" s="5">
        <v>0.0</v>
      </c>
      <c r="I578" s="5">
        <v>347089.0</v>
      </c>
      <c r="J578" s="5">
        <v>6.975</v>
      </c>
      <c r="K578" s="5"/>
      <c r="L578" s="5" t="s">
        <v>16</v>
      </c>
      <c r="M578" s="5"/>
    </row>
    <row r="579" ht="14.25" customHeight="1">
      <c r="A579" s="5">
        <v>655.0</v>
      </c>
      <c r="B579" s="5">
        <v>0.0</v>
      </c>
      <c r="C579" s="5">
        <v>3.0</v>
      </c>
      <c r="D579" s="5" t="s">
        <v>845</v>
      </c>
      <c r="E579" s="5" t="s">
        <v>14</v>
      </c>
      <c r="F579" s="5">
        <v>18.0</v>
      </c>
      <c r="G579" s="5">
        <v>0.0</v>
      </c>
      <c r="H579" s="5">
        <v>0.0</v>
      </c>
      <c r="I579" s="5">
        <v>365226.0</v>
      </c>
      <c r="J579" s="5">
        <v>6.75</v>
      </c>
      <c r="K579" s="5"/>
      <c r="L579" s="5" t="s">
        <v>279</v>
      </c>
      <c r="M579" s="5"/>
    </row>
    <row r="580" ht="14.25" customHeight="1">
      <c r="A580" s="5">
        <v>3.0</v>
      </c>
      <c r="B580" s="5">
        <v>1.0</v>
      </c>
      <c r="C580" s="5">
        <v>3.0</v>
      </c>
      <c r="D580" s="5" t="s">
        <v>846</v>
      </c>
      <c r="E580" s="5" t="s">
        <v>14</v>
      </c>
      <c r="F580" s="5">
        <v>26.0</v>
      </c>
      <c r="G580" s="5">
        <v>0.0</v>
      </c>
      <c r="H580" s="5">
        <v>0.0</v>
      </c>
      <c r="I580" s="5" t="s">
        <v>847</v>
      </c>
      <c r="J580" s="5">
        <v>7.925</v>
      </c>
      <c r="K580" s="5"/>
      <c r="L580" s="5" t="s">
        <v>16</v>
      </c>
      <c r="M580" s="5"/>
    </row>
    <row r="581" ht="14.25" customHeight="1">
      <c r="A581" s="5">
        <v>817.0</v>
      </c>
      <c r="B581" s="5">
        <v>0.0</v>
      </c>
      <c r="C581" s="5">
        <v>3.0</v>
      </c>
      <c r="D581" s="5" t="s">
        <v>848</v>
      </c>
      <c r="E581" s="5" t="s">
        <v>14</v>
      </c>
      <c r="F581" s="5">
        <v>23.0</v>
      </c>
      <c r="G581" s="5">
        <v>0.0</v>
      </c>
      <c r="H581" s="5">
        <v>0.0</v>
      </c>
      <c r="I581" s="5" t="s">
        <v>849</v>
      </c>
      <c r="J581" s="5">
        <v>7.925</v>
      </c>
      <c r="K581" s="5"/>
      <c r="L581" s="5" t="s">
        <v>16</v>
      </c>
      <c r="M581" s="5"/>
    </row>
    <row r="582" ht="14.25" customHeight="1">
      <c r="A582" s="5">
        <v>314.0</v>
      </c>
      <c r="B582" s="5">
        <v>0.0</v>
      </c>
      <c r="C582" s="5">
        <v>3.0</v>
      </c>
      <c r="D582" s="5" t="s">
        <v>850</v>
      </c>
      <c r="E582" s="5" t="s">
        <v>18</v>
      </c>
      <c r="F582" s="5">
        <v>28.0</v>
      </c>
      <c r="G582" s="5">
        <v>0.0</v>
      </c>
      <c r="H582" s="5">
        <v>0.0</v>
      </c>
      <c r="I582" s="5">
        <v>349243.0</v>
      </c>
      <c r="J582" s="5">
        <v>7.8958</v>
      </c>
      <c r="K582" s="5"/>
      <c r="L582" s="5" t="s">
        <v>16</v>
      </c>
      <c r="M582" s="5"/>
    </row>
    <row r="583" ht="14.25" customHeight="1">
      <c r="A583" s="5">
        <v>265.0</v>
      </c>
      <c r="B583" s="5">
        <v>0.0</v>
      </c>
      <c r="C583" s="5">
        <v>3.0</v>
      </c>
      <c r="D583" s="5" t="s">
        <v>851</v>
      </c>
      <c r="E583" s="5" t="s">
        <v>14</v>
      </c>
      <c r="F583" s="5"/>
      <c r="G583" s="5">
        <v>0.0</v>
      </c>
      <c r="H583" s="5">
        <v>0.0</v>
      </c>
      <c r="I583" s="5">
        <v>382649.0</v>
      </c>
      <c r="J583" s="5">
        <v>7.75</v>
      </c>
      <c r="K583" s="5"/>
      <c r="L583" s="5" t="s">
        <v>279</v>
      </c>
      <c r="M583" s="5"/>
    </row>
    <row r="584" ht="14.25" customHeight="1">
      <c r="A584" s="5">
        <v>480.0</v>
      </c>
      <c r="B584" s="5">
        <v>1.0</v>
      </c>
      <c r="C584" s="5">
        <v>3.0</v>
      </c>
      <c r="D584" s="5" t="s">
        <v>852</v>
      </c>
      <c r="E584" s="5" t="s">
        <v>14</v>
      </c>
      <c r="F584" s="5">
        <v>2.0</v>
      </c>
      <c r="G584" s="5">
        <v>0.0</v>
      </c>
      <c r="H584" s="5">
        <v>1.0</v>
      </c>
      <c r="I584" s="5">
        <v>3101298.0</v>
      </c>
      <c r="J584" s="5">
        <v>12.2875</v>
      </c>
      <c r="K584" s="5"/>
      <c r="L584" s="5" t="s">
        <v>16</v>
      </c>
      <c r="M584" s="5"/>
    </row>
    <row r="585" ht="14.25" customHeight="1">
      <c r="A585" s="5">
        <v>819.0</v>
      </c>
      <c r="B585" s="5">
        <v>0.0</v>
      </c>
      <c r="C585" s="5">
        <v>3.0</v>
      </c>
      <c r="D585" s="5" t="s">
        <v>853</v>
      </c>
      <c r="E585" s="5" t="s">
        <v>18</v>
      </c>
      <c r="F585" s="5">
        <v>43.0</v>
      </c>
      <c r="G585" s="5">
        <v>0.0</v>
      </c>
      <c r="H585" s="5">
        <v>0.0</v>
      </c>
      <c r="I585" s="5" t="s">
        <v>854</v>
      </c>
      <c r="J585" s="5">
        <v>6.45</v>
      </c>
      <c r="K585" s="5"/>
      <c r="L585" s="5" t="s">
        <v>16</v>
      </c>
      <c r="M585" s="5"/>
    </row>
    <row r="586" ht="14.25" customHeight="1">
      <c r="A586" s="5">
        <v>217.0</v>
      </c>
      <c r="B586" s="5">
        <v>1.0</v>
      </c>
      <c r="C586" s="5">
        <v>3.0</v>
      </c>
      <c r="D586" s="5" t="s">
        <v>855</v>
      </c>
      <c r="E586" s="5" t="s">
        <v>14</v>
      </c>
      <c r="F586" s="5">
        <v>27.0</v>
      </c>
      <c r="G586" s="5">
        <v>0.0</v>
      </c>
      <c r="H586" s="5">
        <v>0.0</v>
      </c>
      <c r="I586" s="5" t="s">
        <v>856</v>
      </c>
      <c r="J586" s="5">
        <v>7.925</v>
      </c>
      <c r="K586" s="5"/>
      <c r="L586" s="5" t="s">
        <v>16</v>
      </c>
      <c r="M586" s="5"/>
    </row>
    <row r="587" ht="14.25" customHeight="1">
      <c r="A587" s="5">
        <v>614.0</v>
      </c>
      <c r="B587" s="5">
        <v>0.0</v>
      </c>
      <c r="C587" s="5">
        <v>3.0</v>
      </c>
      <c r="D587" s="5" t="s">
        <v>857</v>
      </c>
      <c r="E587" s="5" t="s">
        <v>18</v>
      </c>
      <c r="F587" s="5"/>
      <c r="G587" s="5">
        <v>0.0</v>
      </c>
      <c r="H587" s="5">
        <v>0.0</v>
      </c>
      <c r="I587" s="5">
        <v>370377.0</v>
      </c>
      <c r="J587" s="5">
        <v>7.75</v>
      </c>
      <c r="K587" s="5"/>
      <c r="L587" s="5" t="s">
        <v>279</v>
      </c>
      <c r="M587" s="5"/>
    </row>
    <row r="588" ht="14.25" customHeight="1">
      <c r="A588" s="5">
        <v>700.0</v>
      </c>
      <c r="B588" s="5">
        <v>0.0</v>
      </c>
      <c r="C588" s="5">
        <v>3.0</v>
      </c>
      <c r="D588" s="5" t="s">
        <v>858</v>
      </c>
      <c r="E588" s="5" t="s">
        <v>18</v>
      </c>
      <c r="F588" s="5">
        <v>42.0</v>
      </c>
      <c r="G588" s="5">
        <v>0.0</v>
      </c>
      <c r="H588" s="5">
        <v>0.0</v>
      </c>
      <c r="I588" s="5">
        <v>348121.0</v>
      </c>
      <c r="J588" s="5">
        <v>7.65</v>
      </c>
      <c r="K588" s="5" t="s">
        <v>859</v>
      </c>
      <c r="L588" s="5" t="s">
        <v>16</v>
      </c>
      <c r="M588" s="5"/>
    </row>
    <row r="589" ht="14.25" customHeight="1">
      <c r="A589" s="5">
        <v>799.0</v>
      </c>
      <c r="B589" s="5">
        <v>0.0</v>
      </c>
      <c r="C589" s="5">
        <v>3.0</v>
      </c>
      <c r="D589" s="5" t="s">
        <v>860</v>
      </c>
      <c r="E589" s="5" t="s">
        <v>18</v>
      </c>
      <c r="F589" s="5">
        <v>30.0</v>
      </c>
      <c r="G589" s="5">
        <v>0.0</v>
      </c>
      <c r="H589" s="5">
        <v>0.0</v>
      </c>
      <c r="I589" s="5">
        <v>2685.0</v>
      </c>
      <c r="J589" s="5">
        <v>7.2292</v>
      </c>
      <c r="K589" s="5"/>
      <c r="L589" s="5" t="s">
        <v>32</v>
      </c>
      <c r="M589" s="5"/>
    </row>
    <row r="590" ht="14.25" customHeight="1">
      <c r="A590" s="5">
        <v>730.0</v>
      </c>
      <c r="B590" s="5">
        <v>0.0</v>
      </c>
      <c r="C590" s="5">
        <v>3.0</v>
      </c>
      <c r="D590" s="5" t="s">
        <v>861</v>
      </c>
      <c r="E590" s="5" t="s">
        <v>14</v>
      </c>
      <c r="F590" s="5">
        <v>25.0</v>
      </c>
      <c r="G590" s="5">
        <v>1.0</v>
      </c>
      <c r="H590" s="5">
        <v>0.0</v>
      </c>
      <c r="I590" s="5" t="s">
        <v>862</v>
      </c>
      <c r="J590" s="5">
        <v>7.925</v>
      </c>
      <c r="K590" s="5"/>
      <c r="L590" s="5" t="s">
        <v>16</v>
      </c>
      <c r="M590" s="5"/>
    </row>
    <row r="591" ht="14.25" customHeight="1">
      <c r="A591" s="5">
        <v>739.0</v>
      </c>
      <c r="B591" s="5">
        <v>0.0</v>
      </c>
      <c r="C591" s="5">
        <v>3.0</v>
      </c>
      <c r="D591" s="5" t="s">
        <v>863</v>
      </c>
      <c r="E591" s="5" t="s">
        <v>18</v>
      </c>
      <c r="F591" s="5"/>
      <c r="G591" s="5">
        <v>0.0</v>
      </c>
      <c r="H591" s="5">
        <v>0.0</v>
      </c>
      <c r="I591" s="5">
        <v>349201.0</v>
      </c>
      <c r="J591" s="5">
        <v>7.8958</v>
      </c>
      <c r="K591" s="5"/>
      <c r="L591" s="5" t="s">
        <v>16</v>
      </c>
      <c r="M591" s="5"/>
    </row>
    <row r="592" ht="14.25" customHeight="1">
      <c r="A592" s="5">
        <v>456.0</v>
      </c>
      <c r="B592" s="5">
        <v>1.0</v>
      </c>
      <c r="C592" s="5">
        <v>3.0</v>
      </c>
      <c r="D592" s="5" t="s">
        <v>864</v>
      </c>
      <c r="E592" s="5" t="s">
        <v>18</v>
      </c>
      <c r="F592" s="5">
        <v>29.0</v>
      </c>
      <c r="G592" s="5">
        <v>0.0</v>
      </c>
      <c r="H592" s="5">
        <v>0.0</v>
      </c>
      <c r="I592" s="5">
        <v>349240.0</v>
      </c>
      <c r="J592" s="5">
        <v>7.8958</v>
      </c>
      <c r="K592" s="5"/>
      <c r="L592" s="5" t="s">
        <v>32</v>
      </c>
      <c r="M592" s="5"/>
    </row>
    <row r="593" ht="14.25" customHeight="1">
      <c r="A593" s="5">
        <v>392.0</v>
      </c>
      <c r="B593" s="5">
        <v>1.0</v>
      </c>
      <c r="C593" s="5">
        <v>3.0</v>
      </c>
      <c r="D593" s="5" t="s">
        <v>865</v>
      </c>
      <c r="E593" s="5" t="s">
        <v>18</v>
      </c>
      <c r="F593" s="5">
        <v>21.0</v>
      </c>
      <c r="G593" s="5">
        <v>0.0</v>
      </c>
      <c r="H593" s="5">
        <v>0.0</v>
      </c>
      <c r="I593" s="5">
        <v>350034.0</v>
      </c>
      <c r="J593" s="5">
        <v>7.7958</v>
      </c>
      <c r="K593" s="5"/>
      <c r="L593" s="5" t="s">
        <v>16</v>
      </c>
      <c r="M593" s="5"/>
    </row>
    <row r="594" ht="14.25" customHeight="1">
      <c r="A594" s="5">
        <v>612.0</v>
      </c>
      <c r="B594" s="5">
        <v>0.0</v>
      </c>
      <c r="C594" s="5">
        <v>3.0</v>
      </c>
      <c r="D594" s="5" t="s">
        <v>866</v>
      </c>
      <c r="E594" s="5" t="s">
        <v>18</v>
      </c>
      <c r="F594" s="5"/>
      <c r="G594" s="5">
        <v>0.0</v>
      </c>
      <c r="H594" s="5">
        <v>0.0</v>
      </c>
      <c r="I594" s="5" t="s">
        <v>867</v>
      </c>
      <c r="J594" s="5">
        <v>7.05</v>
      </c>
      <c r="K594" s="5"/>
      <c r="L594" s="5" t="s">
        <v>16</v>
      </c>
      <c r="M594" s="5"/>
    </row>
    <row r="595" ht="14.25" customHeight="1">
      <c r="A595" s="5">
        <v>641.0</v>
      </c>
      <c r="B595" s="5">
        <v>0.0</v>
      </c>
      <c r="C595" s="5">
        <v>3.0</v>
      </c>
      <c r="D595" s="5" t="s">
        <v>868</v>
      </c>
      <c r="E595" s="5" t="s">
        <v>18</v>
      </c>
      <c r="F595" s="5">
        <v>20.0</v>
      </c>
      <c r="G595" s="5">
        <v>0.0</v>
      </c>
      <c r="H595" s="5">
        <v>0.0</v>
      </c>
      <c r="I595" s="5">
        <v>350050.0</v>
      </c>
      <c r="J595" s="5">
        <v>7.8542</v>
      </c>
      <c r="K595" s="5"/>
      <c r="L595" s="5" t="s">
        <v>16</v>
      </c>
      <c r="M595" s="5"/>
    </row>
    <row r="596" ht="14.25" customHeight="1">
      <c r="A596" s="5">
        <v>772.0</v>
      </c>
      <c r="B596" s="5">
        <v>0.0</v>
      </c>
      <c r="C596" s="5">
        <v>3.0</v>
      </c>
      <c r="D596" s="5" t="s">
        <v>869</v>
      </c>
      <c r="E596" s="5" t="s">
        <v>18</v>
      </c>
      <c r="F596" s="5">
        <v>48.0</v>
      </c>
      <c r="G596" s="5">
        <v>0.0</v>
      </c>
      <c r="H596" s="5">
        <v>0.0</v>
      </c>
      <c r="I596" s="5">
        <v>350047.0</v>
      </c>
      <c r="J596" s="5">
        <v>7.8542</v>
      </c>
      <c r="K596" s="5"/>
      <c r="L596" s="5" t="s">
        <v>16</v>
      </c>
      <c r="M596" s="5"/>
    </row>
    <row r="597" ht="14.25" customHeight="1">
      <c r="A597" s="5">
        <v>722.0</v>
      </c>
      <c r="B597" s="5">
        <v>0.0</v>
      </c>
      <c r="C597" s="5">
        <v>3.0</v>
      </c>
      <c r="D597" s="5" t="s">
        <v>870</v>
      </c>
      <c r="E597" s="5" t="s">
        <v>18</v>
      </c>
      <c r="F597" s="5">
        <v>17.0</v>
      </c>
      <c r="G597" s="5">
        <v>1.0</v>
      </c>
      <c r="H597" s="5">
        <v>0.0</v>
      </c>
      <c r="I597" s="5">
        <v>350048.0</v>
      </c>
      <c r="J597" s="5">
        <v>7.0542</v>
      </c>
      <c r="K597" s="5"/>
      <c r="L597" s="5" t="s">
        <v>16</v>
      </c>
      <c r="M597" s="5"/>
    </row>
    <row r="598" ht="14.25" customHeight="1">
      <c r="A598" s="5">
        <v>369.0</v>
      </c>
      <c r="B598" s="5">
        <v>1.0</v>
      </c>
      <c r="C598" s="5">
        <v>3.0</v>
      </c>
      <c r="D598" s="5" t="s">
        <v>871</v>
      </c>
      <c r="E598" s="5" t="s">
        <v>14</v>
      </c>
      <c r="F598" s="5"/>
      <c r="G598" s="5">
        <v>0.0</v>
      </c>
      <c r="H598" s="5">
        <v>0.0</v>
      </c>
      <c r="I598" s="5">
        <v>14313.0</v>
      </c>
      <c r="J598" s="5">
        <v>7.75</v>
      </c>
      <c r="K598" s="5"/>
      <c r="L598" s="5" t="s">
        <v>279</v>
      </c>
      <c r="M598" s="5"/>
    </row>
    <row r="599" ht="14.25" customHeight="1">
      <c r="A599" s="5">
        <v>445.0</v>
      </c>
      <c r="B599" s="5">
        <v>1.0</v>
      </c>
      <c r="C599" s="5">
        <v>3.0</v>
      </c>
      <c r="D599" s="5" t="s">
        <v>872</v>
      </c>
      <c r="E599" s="5" t="s">
        <v>18</v>
      </c>
      <c r="F599" s="5"/>
      <c r="G599" s="5">
        <v>0.0</v>
      </c>
      <c r="H599" s="5">
        <v>0.0</v>
      </c>
      <c r="I599" s="5">
        <v>65306.0</v>
      </c>
      <c r="J599" s="5">
        <v>8.1125</v>
      </c>
      <c r="K599" s="5"/>
      <c r="L599" s="5" t="s">
        <v>16</v>
      </c>
      <c r="M599" s="5"/>
    </row>
    <row r="600" ht="14.25" customHeight="1">
      <c r="A600" s="5">
        <v>203.0</v>
      </c>
      <c r="B600" s="5">
        <v>0.0</v>
      </c>
      <c r="C600" s="5">
        <v>3.0</v>
      </c>
      <c r="D600" s="5" t="s">
        <v>873</v>
      </c>
      <c r="E600" s="5" t="s">
        <v>18</v>
      </c>
      <c r="F600" s="5">
        <v>34.0</v>
      </c>
      <c r="G600" s="5">
        <v>0.0</v>
      </c>
      <c r="H600" s="5">
        <v>0.0</v>
      </c>
      <c r="I600" s="5">
        <v>3101264.0</v>
      </c>
      <c r="J600" s="5">
        <v>6.4958</v>
      </c>
      <c r="K600" s="5"/>
      <c r="L600" s="5" t="s">
        <v>16</v>
      </c>
      <c r="M600" s="5"/>
    </row>
    <row r="601" ht="14.25" customHeight="1">
      <c r="A601" s="5">
        <v>396.0</v>
      </c>
      <c r="B601" s="5">
        <v>0.0</v>
      </c>
      <c r="C601" s="5">
        <v>3.0</v>
      </c>
      <c r="D601" s="5" t="s">
        <v>874</v>
      </c>
      <c r="E601" s="5" t="s">
        <v>18</v>
      </c>
      <c r="F601" s="5">
        <v>22.0</v>
      </c>
      <c r="G601" s="5">
        <v>0.0</v>
      </c>
      <c r="H601" s="5">
        <v>0.0</v>
      </c>
      <c r="I601" s="5">
        <v>350052.0</v>
      </c>
      <c r="J601" s="5">
        <v>7.7958</v>
      </c>
      <c r="K601" s="5"/>
      <c r="L601" s="5" t="s">
        <v>16</v>
      </c>
      <c r="M601" s="5"/>
    </row>
    <row r="602" ht="14.25" customHeight="1">
      <c r="A602" s="5">
        <v>104.0</v>
      </c>
      <c r="B602" s="5">
        <v>0.0</v>
      </c>
      <c r="C602" s="5">
        <v>3.0</v>
      </c>
      <c r="D602" s="5" t="s">
        <v>875</v>
      </c>
      <c r="E602" s="5" t="s">
        <v>18</v>
      </c>
      <c r="F602" s="5">
        <v>33.0</v>
      </c>
      <c r="G602" s="5">
        <v>0.0</v>
      </c>
      <c r="H602" s="5">
        <v>0.0</v>
      </c>
      <c r="I602" s="5">
        <v>7540.0</v>
      </c>
      <c r="J602" s="5">
        <v>8.6542</v>
      </c>
      <c r="K602" s="5"/>
      <c r="L602" s="5" t="s">
        <v>16</v>
      </c>
      <c r="M602" s="5"/>
    </row>
    <row r="603" ht="14.25" customHeight="1">
      <c r="A603" s="5">
        <v>806.0</v>
      </c>
      <c r="B603" s="5">
        <v>0.0</v>
      </c>
      <c r="C603" s="5">
        <v>3.0</v>
      </c>
      <c r="D603" s="5" t="s">
        <v>876</v>
      </c>
      <c r="E603" s="5" t="s">
        <v>18</v>
      </c>
      <c r="F603" s="5">
        <v>31.0</v>
      </c>
      <c r="G603" s="5">
        <v>0.0</v>
      </c>
      <c r="H603" s="5">
        <v>0.0</v>
      </c>
      <c r="I603" s="5">
        <v>347063.0</v>
      </c>
      <c r="J603" s="5">
        <v>7.775</v>
      </c>
      <c r="K603" s="5"/>
      <c r="L603" s="5" t="s">
        <v>16</v>
      </c>
      <c r="M603" s="5"/>
    </row>
    <row r="604" ht="14.25" customHeight="1">
      <c r="A604" s="5">
        <v>870.0</v>
      </c>
      <c r="B604" s="5">
        <v>1.0</v>
      </c>
      <c r="C604" s="5">
        <v>3.0</v>
      </c>
      <c r="D604" s="5" t="s">
        <v>877</v>
      </c>
      <c r="E604" s="5" t="s">
        <v>18</v>
      </c>
      <c r="F604" s="5">
        <v>4.0</v>
      </c>
      <c r="G604" s="5">
        <v>1.0</v>
      </c>
      <c r="H604" s="5">
        <v>1.0</v>
      </c>
      <c r="I604" s="5">
        <v>347742.0</v>
      </c>
      <c r="J604" s="5">
        <v>11.1333</v>
      </c>
      <c r="K604" s="5"/>
      <c r="L604" s="5" t="s">
        <v>16</v>
      </c>
      <c r="M604" s="5"/>
    </row>
    <row r="605" ht="14.25" customHeight="1">
      <c r="A605" s="5">
        <v>173.0</v>
      </c>
      <c r="B605" s="5">
        <v>1.0</v>
      </c>
      <c r="C605" s="5">
        <v>3.0</v>
      </c>
      <c r="D605" s="5" t="s">
        <v>878</v>
      </c>
      <c r="E605" s="5" t="s">
        <v>14</v>
      </c>
      <c r="F605" s="5">
        <v>1.0</v>
      </c>
      <c r="G605" s="5">
        <v>1.0</v>
      </c>
      <c r="H605" s="5">
        <v>1.0</v>
      </c>
      <c r="I605" s="5">
        <v>347742.0</v>
      </c>
      <c r="J605" s="5">
        <v>11.1333</v>
      </c>
      <c r="K605" s="5"/>
      <c r="L605" s="5" t="s">
        <v>16</v>
      </c>
      <c r="M605" s="5"/>
    </row>
    <row r="606" ht="14.25" customHeight="1">
      <c r="A606" s="5">
        <v>598.0</v>
      </c>
      <c r="B606" s="5">
        <v>0.0</v>
      </c>
      <c r="C606" s="5">
        <v>3.0</v>
      </c>
      <c r="D606" s="5" t="s">
        <v>879</v>
      </c>
      <c r="E606" s="5" t="s">
        <v>18</v>
      </c>
      <c r="F606" s="5">
        <v>49.0</v>
      </c>
      <c r="G606" s="5">
        <v>0.0</v>
      </c>
      <c r="H606" s="5">
        <v>0.0</v>
      </c>
      <c r="I606" s="5" t="s">
        <v>880</v>
      </c>
      <c r="J606" s="5">
        <v>0.0</v>
      </c>
      <c r="K606" s="5"/>
      <c r="L606" s="5" t="s">
        <v>16</v>
      </c>
      <c r="M606" s="5"/>
    </row>
    <row r="607" ht="14.25" customHeight="1">
      <c r="A607" s="5">
        <v>720.0</v>
      </c>
      <c r="B607" s="5">
        <v>0.0</v>
      </c>
      <c r="C607" s="5">
        <v>3.0</v>
      </c>
      <c r="D607" s="5" t="s">
        <v>881</v>
      </c>
      <c r="E607" s="5" t="s">
        <v>18</v>
      </c>
      <c r="F607" s="5">
        <v>33.0</v>
      </c>
      <c r="G607" s="5">
        <v>0.0</v>
      </c>
      <c r="H607" s="5">
        <v>0.0</v>
      </c>
      <c r="I607" s="5">
        <v>347062.0</v>
      </c>
      <c r="J607" s="5">
        <v>7.775</v>
      </c>
      <c r="K607" s="5"/>
      <c r="L607" s="5" t="s">
        <v>16</v>
      </c>
      <c r="M607" s="5"/>
    </row>
    <row r="608" ht="14.25" customHeight="1">
      <c r="A608" s="5">
        <v>303.0</v>
      </c>
      <c r="B608" s="5">
        <v>0.0</v>
      </c>
      <c r="C608" s="5">
        <v>3.0</v>
      </c>
      <c r="D608" s="5" t="s">
        <v>882</v>
      </c>
      <c r="E608" s="5" t="s">
        <v>18</v>
      </c>
      <c r="F608" s="5">
        <v>19.0</v>
      </c>
      <c r="G608" s="5">
        <v>0.0</v>
      </c>
      <c r="H608" s="5">
        <v>0.0</v>
      </c>
      <c r="I608" s="5" t="s">
        <v>880</v>
      </c>
      <c r="J608" s="5">
        <v>0.0</v>
      </c>
      <c r="K608" s="5"/>
      <c r="L608" s="5" t="s">
        <v>16</v>
      </c>
      <c r="M608" s="5"/>
    </row>
    <row r="609" ht="14.25" customHeight="1">
      <c r="A609" s="5">
        <v>9.0</v>
      </c>
      <c r="B609" s="5">
        <v>1.0</v>
      </c>
      <c r="C609" s="5">
        <v>3.0</v>
      </c>
      <c r="D609" s="5" t="s">
        <v>883</v>
      </c>
      <c r="E609" s="5" t="s">
        <v>14</v>
      </c>
      <c r="F609" s="5">
        <v>27.0</v>
      </c>
      <c r="G609" s="5">
        <v>0.0</v>
      </c>
      <c r="H609" s="5">
        <v>2.0</v>
      </c>
      <c r="I609" s="5">
        <v>347742.0</v>
      </c>
      <c r="J609" s="5">
        <v>11.1333</v>
      </c>
      <c r="K609" s="5"/>
      <c r="L609" s="5" t="s">
        <v>16</v>
      </c>
      <c r="M609" s="5"/>
    </row>
    <row r="610" ht="14.25" customHeight="1">
      <c r="A610" s="5">
        <v>889.0</v>
      </c>
      <c r="B610" s="5">
        <v>0.0</v>
      </c>
      <c r="C610" s="5">
        <v>3.0</v>
      </c>
      <c r="D610" s="5" t="s">
        <v>884</v>
      </c>
      <c r="E610" s="5" t="s">
        <v>14</v>
      </c>
      <c r="F610" s="5"/>
      <c r="G610" s="5">
        <v>1.0</v>
      </c>
      <c r="H610" s="5">
        <v>2.0</v>
      </c>
      <c r="I610" s="5" t="s">
        <v>885</v>
      </c>
      <c r="J610" s="5">
        <v>23.45</v>
      </c>
      <c r="K610" s="5"/>
      <c r="L610" s="5" t="s">
        <v>16</v>
      </c>
      <c r="M610" s="5"/>
    </row>
    <row r="611" ht="14.25" customHeight="1">
      <c r="A611" s="5">
        <v>784.0</v>
      </c>
      <c r="B611" s="5">
        <v>0.0</v>
      </c>
      <c r="C611" s="5">
        <v>3.0</v>
      </c>
      <c r="D611" s="5" t="s">
        <v>886</v>
      </c>
      <c r="E611" s="5" t="s">
        <v>18</v>
      </c>
      <c r="F611" s="5"/>
      <c r="G611" s="5">
        <v>1.0</v>
      </c>
      <c r="H611" s="5">
        <v>2.0</v>
      </c>
      <c r="I611" s="5" t="s">
        <v>885</v>
      </c>
      <c r="J611" s="5">
        <v>23.45</v>
      </c>
      <c r="K611" s="5"/>
      <c r="L611" s="5" t="s">
        <v>16</v>
      </c>
      <c r="M611" s="5"/>
    </row>
    <row r="612" ht="14.25" customHeight="1">
      <c r="A612" s="5">
        <v>754.0</v>
      </c>
      <c r="B612" s="5">
        <v>0.0</v>
      </c>
      <c r="C612" s="5">
        <v>3.0</v>
      </c>
      <c r="D612" s="5" t="s">
        <v>887</v>
      </c>
      <c r="E612" s="5" t="s">
        <v>18</v>
      </c>
      <c r="F612" s="5">
        <v>23.0</v>
      </c>
      <c r="G612" s="5">
        <v>0.0</v>
      </c>
      <c r="H612" s="5">
        <v>0.0</v>
      </c>
      <c r="I612" s="5">
        <v>349204.0</v>
      </c>
      <c r="J612" s="5">
        <v>7.8958</v>
      </c>
      <c r="K612" s="5"/>
      <c r="L612" s="5" t="s">
        <v>16</v>
      </c>
      <c r="M612" s="5"/>
    </row>
    <row r="613" ht="14.25" customHeight="1">
      <c r="A613" s="5">
        <v>570.0</v>
      </c>
      <c r="B613" s="5">
        <v>1.0</v>
      </c>
      <c r="C613" s="5">
        <v>3.0</v>
      </c>
      <c r="D613" s="5" t="s">
        <v>888</v>
      </c>
      <c r="E613" s="5" t="s">
        <v>18</v>
      </c>
      <c r="F613" s="5">
        <v>32.0</v>
      </c>
      <c r="G613" s="5">
        <v>0.0</v>
      </c>
      <c r="H613" s="5">
        <v>0.0</v>
      </c>
      <c r="I613" s="5">
        <v>350417.0</v>
      </c>
      <c r="J613" s="5">
        <v>7.8542</v>
      </c>
      <c r="K613" s="5"/>
      <c r="L613" s="5" t="s">
        <v>16</v>
      </c>
      <c r="M613" s="5"/>
    </row>
    <row r="614" ht="14.25" customHeight="1">
      <c r="A614" s="5">
        <v>114.0</v>
      </c>
      <c r="B614" s="5">
        <v>0.0</v>
      </c>
      <c r="C614" s="5">
        <v>3.0</v>
      </c>
      <c r="D614" s="5" t="s">
        <v>889</v>
      </c>
      <c r="E614" s="5" t="s">
        <v>14</v>
      </c>
      <c r="F614" s="5">
        <v>20.0</v>
      </c>
      <c r="G614" s="5">
        <v>1.0</v>
      </c>
      <c r="H614" s="5">
        <v>0.0</v>
      </c>
      <c r="I614" s="5">
        <v>4136.0</v>
      </c>
      <c r="J614" s="5">
        <v>9.825</v>
      </c>
      <c r="K614" s="5"/>
      <c r="L614" s="5" t="s">
        <v>16</v>
      </c>
      <c r="M614" s="5"/>
    </row>
    <row r="615" ht="14.25" customHeight="1">
      <c r="A615" s="5">
        <v>403.0</v>
      </c>
      <c r="B615" s="5">
        <v>0.0</v>
      </c>
      <c r="C615" s="5">
        <v>3.0</v>
      </c>
      <c r="D615" s="5" t="s">
        <v>890</v>
      </c>
      <c r="E615" s="5" t="s">
        <v>14</v>
      </c>
      <c r="F615" s="5">
        <v>21.0</v>
      </c>
      <c r="G615" s="5">
        <v>1.0</v>
      </c>
      <c r="H615" s="5">
        <v>0.0</v>
      </c>
      <c r="I615" s="5">
        <v>4137.0</v>
      </c>
      <c r="J615" s="5">
        <v>9.825</v>
      </c>
      <c r="K615" s="5"/>
      <c r="L615" s="5" t="s">
        <v>16</v>
      </c>
      <c r="M615" s="5"/>
    </row>
    <row r="616" ht="14.25" customHeight="1">
      <c r="A616" s="5">
        <v>580.0</v>
      </c>
      <c r="B616" s="5">
        <v>1.0</v>
      </c>
      <c r="C616" s="5">
        <v>3.0</v>
      </c>
      <c r="D616" s="5" t="s">
        <v>891</v>
      </c>
      <c r="E616" s="5" t="s">
        <v>18</v>
      </c>
      <c r="F616" s="5">
        <v>32.0</v>
      </c>
      <c r="G616" s="5">
        <v>0.0</v>
      </c>
      <c r="H616" s="5">
        <v>0.0</v>
      </c>
      <c r="I616" s="5" t="s">
        <v>892</v>
      </c>
      <c r="J616" s="5">
        <v>7.925</v>
      </c>
      <c r="K616" s="5"/>
      <c r="L616" s="5" t="s">
        <v>16</v>
      </c>
      <c r="M616" s="5"/>
    </row>
    <row r="617" ht="14.25" customHeight="1">
      <c r="A617" s="5">
        <v>434.0</v>
      </c>
      <c r="B617" s="5">
        <v>0.0</v>
      </c>
      <c r="C617" s="5">
        <v>3.0</v>
      </c>
      <c r="D617" s="5" t="s">
        <v>893</v>
      </c>
      <c r="E617" s="5" t="s">
        <v>18</v>
      </c>
      <c r="F617" s="5">
        <v>17.0</v>
      </c>
      <c r="G617" s="5">
        <v>0.0</v>
      </c>
      <c r="H617" s="5">
        <v>0.0</v>
      </c>
      <c r="I617" s="5" t="s">
        <v>894</v>
      </c>
      <c r="J617" s="5">
        <v>7.125</v>
      </c>
      <c r="K617" s="5"/>
      <c r="L617" s="5" t="s">
        <v>16</v>
      </c>
      <c r="M617" s="5"/>
    </row>
    <row r="618" ht="14.25" customHeight="1">
      <c r="A618" s="5">
        <v>653.0</v>
      </c>
      <c r="B618" s="5">
        <v>0.0</v>
      </c>
      <c r="C618" s="5">
        <v>3.0</v>
      </c>
      <c r="D618" s="5" t="s">
        <v>895</v>
      </c>
      <c r="E618" s="5" t="s">
        <v>18</v>
      </c>
      <c r="F618" s="5">
        <v>21.0</v>
      </c>
      <c r="G618" s="5">
        <v>0.0</v>
      </c>
      <c r="H618" s="5">
        <v>0.0</v>
      </c>
      <c r="I618" s="5">
        <v>8475.0</v>
      </c>
      <c r="J618" s="5">
        <v>8.4333</v>
      </c>
      <c r="K618" s="5"/>
      <c r="L618" s="5" t="s">
        <v>16</v>
      </c>
      <c r="M618" s="5"/>
    </row>
    <row r="619" ht="14.25" customHeight="1">
      <c r="A619" s="5">
        <v>607.0</v>
      </c>
      <c r="B619" s="5">
        <v>0.0</v>
      </c>
      <c r="C619" s="5">
        <v>3.0</v>
      </c>
      <c r="D619" s="5" t="s">
        <v>896</v>
      </c>
      <c r="E619" s="5" t="s">
        <v>18</v>
      </c>
      <c r="F619" s="5">
        <v>30.0</v>
      </c>
      <c r="G619" s="5">
        <v>0.0</v>
      </c>
      <c r="H619" s="5">
        <v>0.0</v>
      </c>
      <c r="I619" s="5">
        <v>349246.0</v>
      </c>
      <c r="J619" s="5">
        <v>7.8958</v>
      </c>
      <c r="K619" s="5"/>
      <c r="L619" s="5" t="s">
        <v>16</v>
      </c>
      <c r="M619" s="5"/>
    </row>
    <row r="620" ht="14.25" customHeight="1">
      <c r="A620" s="5">
        <v>479.0</v>
      </c>
      <c r="B620" s="5">
        <v>0.0</v>
      </c>
      <c r="C620" s="5">
        <v>3.0</v>
      </c>
      <c r="D620" s="5" t="s">
        <v>897</v>
      </c>
      <c r="E620" s="5" t="s">
        <v>18</v>
      </c>
      <c r="F620" s="5">
        <v>22.0</v>
      </c>
      <c r="G620" s="5">
        <v>0.0</v>
      </c>
      <c r="H620" s="5">
        <v>0.0</v>
      </c>
      <c r="I620" s="5">
        <v>350060.0</v>
      </c>
      <c r="J620" s="5">
        <v>7.5208</v>
      </c>
      <c r="K620" s="5"/>
      <c r="L620" s="5" t="s">
        <v>16</v>
      </c>
      <c r="M620" s="5"/>
    </row>
    <row r="621" ht="14.25" customHeight="1">
      <c r="A621" s="5">
        <v>692.0</v>
      </c>
      <c r="B621" s="5">
        <v>1.0</v>
      </c>
      <c r="C621" s="5">
        <v>3.0</v>
      </c>
      <c r="D621" s="5" t="s">
        <v>898</v>
      </c>
      <c r="E621" s="5" t="s">
        <v>14</v>
      </c>
      <c r="F621" s="5">
        <v>4.0</v>
      </c>
      <c r="G621" s="5">
        <v>0.0</v>
      </c>
      <c r="H621" s="5">
        <v>1.0</v>
      </c>
      <c r="I621" s="5">
        <v>349256.0</v>
      </c>
      <c r="J621" s="5">
        <v>13.4167</v>
      </c>
      <c r="K621" s="5"/>
      <c r="L621" s="5" t="s">
        <v>32</v>
      </c>
      <c r="M621" s="5"/>
    </row>
    <row r="622" ht="14.25" customHeight="1">
      <c r="A622" s="5">
        <v>525.0</v>
      </c>
      <c r="B622" s="5">
        <v>0.0</v>
      </c>
      <c r="C622" s="5">
        <v>3.0</v>
      </c>
      <c r="D622" s="5" t="s">
        <v>899</v>
      </c>
      <c r="E622" s="5" t="s">
        <v>18</v>
      </c>
      <c r="F622" s="5"/>
      <c r="G622" s="5">
        <v>0.0</v>
      </c>
      <c r="H622" s="5">
        <v>0.0</v>
      </c>
      <c r="I622" s="5">
        <v>2700.0</v>
      </c>
      <c r="J622" s="5">
        <v>7.2292</v>
      </c>
      <c r="K622" s="5"/>
      <c r="L622" s="5" t="s">
        <v>32</v>
      </c>
      <c r="M622" s="5"/>
    </row>
    <row r="623" ht="14.25" customHeight="1">
      <c r="A623" s="5">
        <v>791.0</v>
      </c>
      <c r="B623" s="5">
        <v>0.0</v>
      </c>
      <c r="C623" s="5">
        <v>3.0</v>
      </c>
      <c r="D623" s="5" t="s">
        <v>900</v>
      </c>
      <c r="E623" s="5" t="s">
        <v>18</v>
      </c>
      <c r="F623" s="5"/>
      <c r="G623" s="5">
        <v>0.0</v>
      </c>
      <c r="H623" s="5">
        <v>0.0</v>
      </c>
      <c r="I623" s="5">
        <v>12460.0</v>
      </c>
      <c r="J623" s="5">
        <v>7.75</v>
      </c>
      <c r="K623" s="5"/>
      <c r="L623" s="5" t="s">
        <v>279</v>
      </c>
      <c r="M623" s="5"/>
    </row>
    <row r="624" ht="14.25" customHeight="1">
      <c r="A624" s="5">
        <v>471.0</v>
      </c>
      <c r="B624" s="5">
        <v>0.0</v>
      </c>
      <c r="C624" s="5">
        <v>3.0</v>
      </c>
      <c r="D624" s="5" t="s">
        <v>901</v>
      </c>
      <c r="E624" s="5" t="s">
        <v>18</v>
      </c>
      <c r="F624" s="5"/>
      <c r="G624" s="5">
        <v>0.0</v>
      </c>
      <c r="H624" s="5">
        <v>0.0</v>
      </c>
      <c r="I624" s="5">
        <v>323592.0</v>
      </c>
      <c r="J624" s="5">
        <v>7.25</v>
      </c>
      <c r="K624" s="5"/>
      <c r="L624" s="5" t="s">
        <v>16</v>
      </c>
      <c r="M624" s="5"/>
    </row>
    <row r="625" ht="14.25" customHeight="1">
      <c r="A625" s="5">
        <v>301.0</v>
      </c>
      <c r="B625" s="5">
        <v>1.0</v>
      </c>
      <c r="C625" s="5">
        <v>3.0</v>
      </c>
      <c r="D625" s="5" t="s">
        <v>902</v>
      </c>
      <c r="E625" s="5" t="s">
        <v>14</v>
      </c>
      <c r="F625" s="5"/>
      <c r="G625" s="5">
        <v>0.0</v>
      </c>
      <c r="H625" s="5">
        <v>0.0</v>
      </c>
      <c r="I625" s="5">
        <v>9234.0</v>
      </c>
      <c r="J625" s="5">
        <v>7.75</v>
      </c>
      <c r="K625" s="5"/>
      <c r="L625" s="5" t="s">
        <v>279</v>
      </c>
      <c r="M625" s="5"/>
    </row>
    <row r="626" ht="14.25" customHeight="1">
      <c r="A626" s="5">
        <v>574.0</v>
      </c>
      <c r="B626" s="5">
        <v>1.0</v>
      </c>
      <c r="C626" s="5">
        <v>3.0</v>
      </c>
      <c r="D626" s="5" t="s">
        <v>903</v>
      </c>
      <c r="E626" s="5" t="s">
        <v>14</v>
      </c>
      <c r="F626" s="5"/>
      <c r="G626" s="5">
        <v>0.0</v>
      </c>
      <c r="H626" s="5">
        <v>0.0</v>
      </c>
      <c r="I626" s="5">
        <v>14312.0</v>
      </c>
      <c r="J626" s="5">
        <v>7.75</v>
      </c>
      <c r="K626" s="5"/>
      <c r="L626" s="5" t="s">
        <v>279</v>
      </c>
      <c r="M626" s="5"/>
    </row>
    <row r="627" ht="14.25" customHeight="1">
      <c r="A627" s="5">
        <v>697.0</v>
      </c>
      <c r="B627" s="5">
        <v>0.0</v>
      </c>
      <c r="C627" s="5">
        <v>3.0</v>
      </c>
      <c r="D627" s="5" t="s">
        <v>904</v>
      </c>
      <c r="E627" s="5" t="s">
        <v>18</v>
      </c>
      <c r="F627" s="5">
        <v>44.0</v>
      </c>
      <c r="G627" s="5">
        <v>0.0</v>
      </c>
      <c r="H627" s="5">
        <v>0.0</v>
      </c>
      <c r="I627" s="5">
        <v>363592.0</v>
      </c>
      <c r="J627" s="5">
        <v>8.05</v>
      </c>
      <c r="K627" s="5"/>
      <c r="L627" s="5" t="s">
        <v>16</v>
      </c>
      <c r="M627" s="5"/>
    </row>
    <row r="628" ht="14.25" customHeight="1">
      <c r="A628" s="5">
        <v>215.0</v>
      </c>
      <c r="B628" s="5">
        <v>0.0</v>
      </c>
      <c r="C628" s="5">
        <v>3.0</v>
      </c>
      <c r="D628" s="5" t="s">
        <v>905</v>
      </c>
      <c r="E628" s="5" t="s">
        <v>18</v>
      </c>
      <c r="F628" s="5"/>
      <c r="G628" s="5">
        <v>1.0</v>
      </c>
      <c r="H628" s="5">
        <v>0.0</v>
      </c>
      <c r="I628" s="5">
        <v>367229.0</v>
      </c>
      <c r="J628" s="5">
        <v>7.75</v>
      </c>
      <c r="K628" s="5"/>
      <c r="L628" s="5" t="s">
        <v>279</v>
      </c>
      <c r="M628" s="5"/>
    </row>
    <row r="629" ht="14.25" customHeight="1">
      <c r="A629" s="5">
        <v>779.0</v>
      </c>
      <c r="B629" s="5">
        <v>0.0</v>
      </c>
      <c r="C629" s="5">
        <v>3.0</v>
      </c>
      <c r="D629" s="5" t="s">
        <v>906</v>
      </c>
      <c r="E629" s="5" t="s">
        <v>18</v>
      </c>
      <c r="F629" s="5"/>
      <c r="G629" s="5">
        <v>0.0</v>
      </c>
      <c r="H629" s="5">
        <v>0.0</v>
      </c>
      <c r="I629" s="5">
        <v>36865.0</v>
      </c>
      <c r="J629" s="5">
        <v>7.7375</v>
      </c>
      <c r="K629" s="5"/>
      <c r="L629" s="5" t="s">
        <v>279</v>
      </c>
      <c r="M629" s="5"/>
    </row>
    <row r="630" ht="14.25" customHeight="1">
      <c r="A630" s="5">
        <v>70.0</v>
      </c>
      <c r="B630" s="5">
        <v>0.0</v>
      </c>
      <c r="C630" s="5">
        <v>3.0</v>
      </c>
      <c r="D630" s="5" t="s">
        <v>907</v>
      </c>
      <c r="E630" s="5" t="s">
        <v>18</v>
      </c>
      <c r="F630" s="5">
        <v>26.0</v>
      </c>
      <c r="G630" s="5">
        <v>2.0</v>
      </c>
      <c r="H630" s="5">
        <v>0.0</v>
      </c>
      <c r="I630" s="5">
        <v>315151.0</v>
      </c>
      <c r="J630" s="5">
        <v>8.6625</v>
      </c>
      <c r="K630" s="5"/>
      <c r="L630" s="5" t="s">
        <v>16</v>
      </c>
      <c r="M630" s="5"/>
    </row>
    <row r="631" ht="14.25" customHeight="1">
      <c r="A631" s="5">
        <v>185.0</v>
      </c>
      <c r="B631" s="5">
        <v>1.0</v>
      </c>
      <c r="C631" s="5">
        <v>3.0</v>
      </c>
      <c r="D631" s="5" t="s">
        <v>908</v>
      </c>
      <c r="E631" s="5" t="s">
        <v>14</v>
      </c>
      <c r="F631" s="5">
        <v>4.0</v>
      </c>
      <c r="G631" s="5">
        <v>0.0</v>
      </c>
      <c r="H631" s="5">
        <v>2.0</v>
      </c>
      <c r="I631" s="5">
        <v>315153.0</v>
      </c>
      <c r="J631" s="5">
        <v>22.025</v>
      </c>
      <c r="K631" s="5"/>
      <c r="L631" s="5" t="s">
        <v>16</v>
      </c>
      <c r="M631" s="5"/>
    </row>
    <row r="632" ht="14.25" customHeight="1">
      <c r="A632" s="5">
        <v>176.0</v>
      </c>
      <c r="B632" s="5">
        <v>0.0</v>
      </c>
      <c r="C632" s="5">
        <v>3.0</v>
      </c>
      <c r="D632" s="5" t="s">
        <v>909</v>
      </c>
      <c r="E632" s="5" t="s">
        <v>18</v>
      </c>
      <c r="F632" s="5">
        <v>18.0</v>
      </c>
      <c r="G632" s="5">
        <v>1.0</v>
      </c>
      <c r="H632" s="5">
        <v>1.0</v>
      </c>
      <c r="I632" s="5">
        <v>350404.0</v>
      </c>
      <c r="J632" s="5">
        <v>7.8542</v>
      </c>
      <c r="K632" s="5"/>
      <c r="L632" s="5" t="s">
        <v>16</v>
      </c>
      <c r="M632" s="5"/>
    </row>
    <row r="633" ht="14.25" customHeight="1">
      <c r="A633" s="5">
        <v>43.0</v>
      </c>
      <c r="B633" s="5">
        <v>0.0</v>
      </c>
      <c r="C633" s="5">
        <v>3.0</v>
      </c>
      <c r="D633" s="5" t="s">
        <v>910</v>
      </c>
      <c r="E633" s="5" t="s">
        <v>18</v>
      </c>
      <c r="F633" s="5"/>
      <c r="G633" s="5">
        <v>0.0</v>
      </c>
      <c r="H633" s="5">
        <v>0.0</v>
      </c>
      <c r="I633" s="5">
        <v>349253.0</v>
      </c>
      <c r="J633" s="5">
        <v>7.8958</v>
      </c>
      <c r="K633" s="5"/>
      <c r="L633" s="5" t="s">
        <v>32</v>
      </c>
      <c r="M633" s="5"/>
    </row>
    <row r="634" ht="14.25" customHeight="1">
      <c r="A634" s="5">
        <v>523.0</v>
      </c>
      <c r="B634" s="5">
        <v>0.0</v>
      </c>
      <c r="C634" s="5">
        <v>3.0</v>
      </c>
      <c r="D634" s="5" t="s">
        <v>911</v>
      </c>
      <c r="E634" s="5" t="s">
        <v>18</v>
      </c>
      <c r="F634" s="5"/>
      <c r="G634" s="5">
        <v>0.0</v>
      </c>
      <c r="H634" s="5">
        <v>0.0</v>
      </c>
      <c r="I634" s="5">
        <v>2624.0</v>
      </c>
      <c r="J634" s="5">
        <v>7.225</v>
      </c>
      <c r="K634" s="5"/>
      <c r="L634" s="5" t="s">
        <v>32</v>
      </c>
      <c r="M634" s="5"/>
    </row>
    <row r="635" ht="14.25" customHeight="1">
      <c r="A635" s="5">
        <v>504.0</v>
      </c>
      <c r="B635" s="5">
        <v>0.0</v>
      </c>
      <c r="C635" s="5">
        <v>3.0</v>
      </c>
      <c r="D635" s="5" t="s">
        <v>912</v>
      </c>
      <c r="E635" s="5" t="s">
        <v>14</v>
      </c>
      <c r="F635" s="5">
        <v>37.0</v>
      </c>
      <c r="G635" s="5">
        <v>0.0</v>
      </c>
      <c r="H635" s="5">
        <v>0.0</v>
      </c>
      <c r="I635" s="5">
        <v>4135.0</v>
      </c>
      <c r="J635" s="5">
        <v>9.5875</v>
      </c>
      <c r="K635" s="5"/>
      <c r="L635" s="5" t="s">
        <v>16</v>
      </c>
      <c r="M635" s="5"/>
    </row>
    <row r="636" ht="14.25" customHeight="1">
      <c r="A636" s="5">
        <v>879.0</v>
      </c>
      <c r="B636" s="5">
        <v>0.0</v>
      </c>
      <c r="C636" s="5">
        <v>3.0</v>
      </c>
      <c r="D636" s="5" t="s">
        <v>913</v>
      </c>
      <c r="E636" s="5" t="s">
        <v>18</v>
      </c>
      <c r="F636" s="5"/>
      <c r="G636" s="5">
        <v>0.0</v>
      </c>
      <c r="H636" s="5">
        <v>0.0</v>
      </c>
      <c r="I636" s="5">
        <v>349217.0</v>
      </c>
      <c r="J636" s="5">
        <v>7.8958</v>
      </c>
      <c r="K636" s="5"/>
      <c r="L636" s="5" t="s">
        <v>16</v>
      </c>
      <c r="M636" s="5"/>
    </row>
    <row r="637" ht="14.25" customHeight="1">
      <c r="A637" s="5">
        <v>693.0</v>
      </c>
      <c r="B637" s="5">
        <v>1.0</v>
      </c>
      <c r="C637" s="5">
        <v>3.0</v>
      </c>
      <c r="D637" s="5" t="s">
        <v>914</v>
      </c>
      <c r="E637" s="5" t="s">
        <v>18</v>
      </c>
      <c r="F637" s="5"/>
      <c r="G637" s="5">
        <v>0.0</v>
      </c>
      <c r="H637" s="5">
        <v>0.0</v>
      </c>
      <c r="I637" s="5">
        <v>1601.0</v>
      </c>
      <c r="J637" s="5">
        <v>56.4958</v>
      </c>
      <c r="K637" s="5"/>
      <c r="L637" s="5" t="s">
        <v>16</v>
      </c>
      <c r="M637" s="5"/>
    </row>
    <row r="638" ht="14.25" customHeight="1">
      <c r="A638" s="5">
        <v>827.0</v>
      </c>
      <c r="B638" s="5">
        <v>0.0</v>
      </c>
      <c r="C638" s="5">
        <v>3.0</v>
      </c>
      <c r="D638" s="5" t="s">
        <v>915</v>
      </c>
      <c r="E638" s="5" t="s">
        <v>18</v>
      </c>
      <c r="F638" s="5"/>
      <c r="G638" s="5">
        <v>0.0</v>
      </c>
      <c r="H638" s="5">
        <v>0.0</v>
      </c>
      <c r="I638" s="5">
        <v>1601.0</v>
      </c>
      <c r="J638" s="5">
        <v>56.4958</v>
      </c>
      <c r="K638" s="5"/>
      <c r="L638" s="5" t="s">
        <v>16</v>
      </c>
      <c r="M638" s="5"/>
    </row>
    <row r="639" ht="14.25" customHeight="1">
      <c r="A639" s="5">
        <v>377.0</v>
      </c>
      <c r="B639" s="5">
        <v>1.0</v>
      </c>
      <c r="C639" s="5">
        <v>3.0</v>
      </c>
      <c r="D639" s="5" t="s">
        <v>916</v>
      </c>
      <c r="E639" s="5" t="s">
        <v>14</v>
      </c>
      <c r="F639" s="5">
        <v>22.0</v>
      </c>
      <c r="G639" s="5">
        <v>0.0</v>
      </c>
      <c r="H639" s="5">
        <v>0.0</v>
      </c>
      <c r="I639" s="5" t="s">
        <v>917</v>
      </c>
      <c r="J639" s="5">
        <v>7.25</v>
      </c>
      <c r="K639" s="5"/>
      <c r="L639" s="5" t="s">
        <v>16</v>
      </c>
      <c r="M639" s="5"/>
    </row>
    <row r="640" ht="14.25" customHeight="1">
      <c r="A640" s="5">
        <v>510.0</v>
      </c>
      <c r="B640" s="5">
        <v>1.0</v>
      </c>
      <c r="C640" s="5">
        <v>3.0</v>
      </c>
      <c r="D640" s="5" t="s">
        <v>918</v>
      </c>
      <c r="E640" s="5" t="s">
        <v>18</v>
      </c>
      <c r="F640" s="5">
        <v>26.0</v>
      </c>
      <c r="G640" s="5">
        <v>0.0</v>
      </c>
      <c r="H640" s="5">
        <v>0.0</v>
      </c>
      <c r="I640" s="5">
        <v>1601.0</v>
      </c>
      <c r="J640" s="5">
        <v>56.4958</v>
      </c>
      <c r="K640" s="5"/>
      <c r="L640" s="5" t="s">
        <v>16</v>
      </c>
      <c r="M640" s="5"/>
    </row>
    <row r="641" ht="14.25" customHeight="1">
      <c r="A641" s="5">
        <v>714.0</v>
      </c>
      <c r="B641" s="5">
        <v>0.0</v>
      </c>
      <c r="C641" s="5">
        <v>3.0</v>
      </c>
      <c r="D641" s="5" t="s">
        <v>919</v>
      </c>
      <c r="E641" s="5" t="s">
        <v>18</v>
      </c>
      <c r="F641" s="5">
        <v>29.0</v>
      </c>
      <c r="G641" s="5">
        <v>0.0</v>
      </c>
      <c r="H641" s="5">
        <v>0.0</v>
      </c>
      <c r="I641" s="5">
        <v>7545.0</v>
      </c>
      <c r="J641" s="5">
        <v>9.4833</v>
      </c>
      <c r="K641" s="5"/>
      <c r="L641" s="5" t="s">
        <v>16</v>
      </c>
      <c r="M641" s="5"/>
    </row>
    <row r="642" ht="14.25" customHeight="1">
      <c r="A642" s="5">
        <v>232.0</v>
      </c>
      <c r="B642" s="5">
        <v>0.0</v>
      </c>
      <c r="C642" s="5">
        <v>3.0</v>
      </c>
      <c r="D642" s="5" t="s">
        <v>920</v>
      </c>
      <c r="E642" s="5" t="s">
        <v>18</v>
      </c>
      <c r="F642" s="5">
        <v>29.0</v>
      </c>
      <c r="G642" s="5">
        <v>0.0</v>
      </c>
      <c r="H642" s="5">
        <v>0.0</v>
      </c>
      <c r="I642" s="5">
        <v>347067.0</v>
      </c>
      <c r="J642" s="5">
        <v>7.775</v>
      </c>
      <c r="K642" s="5"/>
      <c r="L642" s="5" t="s">
        <v>16</v>
      </c>
      <c r="M642" s="5"/>
    </row>
    <row r="643" ht="14.25" customHeight="1">
      <c r="A643" s="5">
        <v>554.0</v>
      </c>
      <c r="B643" s="5">
        <v>1.0</v>
      </c>
      <c r="C643" s="5">
        <v>3.0</v>
      </c>
      <c r="D643" s="5" t="s">
        <v>921</v>
      </c>
      <c r="E643" s="5" t="s">
        <v>18</v>
      </c>
      <c r="F643" s="5">
        <v>22.0</v>
      </c>
      <c r="G643" s="5">
        <v>0.0</v>
      </c>
      <c r="H643" s="5">
        <v>0.0</v>
      </c>
      <c r="I643" s="5">
        <v>2620.0</v>
      </c>
      <c r="J643" s="5">
        <v>7.225</v>
      </c>
      <c r="K643" s="5"/>
      <c r="L643" s="5" t="s">
        <v>32</v>
      </c>
      <c r="M643" s="5"/>
    </row>
    <row r="644" ht="14.25" customHeight="1">
      <c r="A644" s="5">
        <v>177.0</v>
      </c>
      <c r="B644" s="5">
        <v>0.0</v>
      </c>
      <c r="C644" s="5">
        <v>3.0</v>
      </c>
      <c r="D644" s="5" t="s">
        <v>922</v>
      </c>
      <c r="E644" s="5" t="s">
        <v>18</v>
      </c>
      <c r="F644" s="5"/>
      <c r="G644" s="5">
        <v>3.0</v>
      </c>
      <c r="H644" s="5">
        <v>1.0</v>
      </c>
      <c r="I644" s="5">
        <v>4133.0</v>
      </c>
      <c r="J644" s="5">
        <v>25.4667</v>
      </c>
      <c r="K644" s="5"/>
      <c r="L644" s="5" t="s">
        <v>16</v>
      </c>
      <c r="M644" s="5"/>
    </row>
    <row r="645" ht="14.25" customHeight="1">
      <c r="A645" s="5">
        <v>410.0</v>
      </c>
      <c r="B645" s="5">
        <v>0.0</v>
      </c>
      <c r="C645" s="5">
        <v>3.0</v>
      </c>
      <c r="D645" s="5" t="s">
        <v>923</v>
      </c>
      <c r="E645" s="5" t="s">
        <v>14</v>
      </c>
      <c r="F645" s="5"/>
      <c r="G645" s="5">
        <v>3.0</v>
      </c>
      <c r="H645" s="5">
        <v>1.0</v>
      </c>
      <c r="I645" s="5">
        <v>4133.0</v>
      </c>
      <c r="J645" s="5">
        <v>25.4667</v>
      </c>
      <c r="K645" s="5"/>
      <c r="L645" s="5" t="s">
        <v>16</v>
      </c>
      <c r="M645" s="5"/>
    </row>
    <row r="646" ht="14.25" customHeight="1">
      <c r="A646" s="5">
        <v>486.0</v>
      </c>
      <c r="B646" s="5">
        <v>0.0</v>
      </c>
      <c r="C646" s="5">
        <v>3.0</v>
      </c>
      <c r="D646" s="5" t="s">
        <v>924</v>
      </c>
      <c r="E646" s="5" t="s">
        <v>14</v>
      </c>
      <c r="F646" s="5"/>
      <c r="G646" s="5">
        <v>3.0</v>
      </c>
      <c r="H646" s="5">
        <v>1.0</v>
      </c>
      <c r="I646" s="5">
        <v>4133.0</v>
      </c>
      <c r="J646" s="5">
        <v>25.4667</v>
      </c>
      <c r="K646" s="5"/>
      <c r="L646" s="5" t="s">
        <v>16</v>
      </c>
      <c r="M646" s="5"/>
    </row>
    <row r="647" ht="14.25" customHeight="1">
      <c r="A647" s="5">
        <v>230.0</v>
      </c>
      <c r="B647" s="5">
        <v>0.0</v>
      </c>
      <c r="C647" s="5">
        <v>3.0</v>
      </c>
      <c r="D647" s="5" t="s">
        <v>925</v>
      </c>
      <c r="E647" s="5" t="s">
        <v>14</v>
      </c>
      <c r="F647" s="5"/>
      <c r="G647" s="5">
        <v>3.0</v>
      </c>
      <c r="H647" s="5">
        <v>1.0</v>
      </c>
      <c r="I647" s="5">
        <v>4133.0</v>
      </c>
      <c r="J647" s="5">
        <v>25.4667</v>
      </c>
      <c r="K647" s="5"/>
      <c r="L647" s="5" t="s">
        <v>16</v>
      </c>
      <c r="M647" s="5"/>
    </row>
    <row r="648" ht="14.25" customHeight="1">
      <c r="A648" s="5">
        <v>637.0</v>
      </c>
      <c r="B648" s="5">
        <v>0.0</v>
      </c>
      <c r="C648" s="5">
        <v>3.0</v>
      </c>
      <c r="D648" s="5" t="s">
        <v>926</v>
      </c>
      <c r="E648" s="5" t="s">
        <v>18</v>
      </c>
      <c r="F648" s="5">
        <v>32.0</v>
      </c>
      <c r="G648" s="5">
        <v>0.0</v>
      </c>
      <c r="H648" s="5">
        <v>0.0</v>
      </c>
      <c r="I648" s="5" t="s">
        <v>927</v>
      </c>
      <c r="J648" s="5">
        <v>7.925</v>
      </c>
      <c r="K648" s="5"/>
      <c r="L648" s="5" t="s">
        <v>16</v>
      </c>
      <c r="M648" s="5"/>
    </row>
    <row r="649" ht="14.25" customHeight="1">
      <c r="A649" s="5">
        <v>844.0</v>
      </c>
      <c r="B649" s="5">
        <v>0.0</v>
      </c>
      <c r="C649" s="5">
        <v>3.0</v>
      </c>
      <c r="D649" s="5" t="s">
        <v>928</v>
      </c>
      <c r="E649" s="5" t="s">
        <v>18</v>
      </c>
      <c r="F649" s="5">
        <v>34.5</v>
      </c>
      <c r="G649" s="5">
        <v>0.0</v>
      </c>
      <c r="H649" s="5">
        <v>0.0</v>
      </c>
      <c r="I649" s="5">
        <v>2683.0</v>
      </c>
      <c r="J649" s="5">
        <v>6.4375</v>
      </c>
      <c r="K649" s="5"/>
      <c r="L649" s="5" t="s">
        <v>32</v>
      </c>
      <c r="M649" s="5"/>
    </row>
    <row r="650" ht="14.25" customHeight="1">
      <c r="A650" s="5">
        <v>47.0</v>
      </c>
      <c r="B650" s="5">
        <v>0.0</v>
      </c>
      <c r="C650" s="5">
        <v>3.0</v>
      </c>
      <c r="D650" s="5" t="s">
        <v>929</v>
      </c>
      <c r="E650" s="5" t="s">
        <v>18</v>
      </c>
      <c r="F650" s="5"/>
      <c r="G650" s="5">
        <v>1.0</v>
      </c>
      <c r="H650" s="5">
        <v>0.0</v>
      </c>
      <c r="I650" s="5">
        <v>370371.0</v>
      </c>
      <c r="J650" s="5">
        <v>15.5</v>
      </c>
      <c r="K650" s="5"/>
      <c r="L650" s="5" t="s">
        <v>279</v>
      </c>
      <c r="M650" s="5"/>
    </row>
    <row r="651" ht="14.25" customHeight="1">
      <c r="A651" s="5">
        <v>180.0</v>
      </c>
      <c r="B651" s="5">
        <v>0.0</v>
      </c>
      <c r="C651" s="5">
        <v>3.0</v>
      </c>
      <c r="D651" s="5" t="s">
        <v>930</v>
      </c>
      <c r="E651" s="5" t="s">
        <v>18</v>
      </c>
      <c r="F651" s="5">
        <v>36.0</v>
      </c>
      <c r="G651" s="5">
        <v>0.0</v>
      </c>
      <c r="H651" s="5">
        <v>0.0</v>
      </c>
      <c r="I651" s="5" t="s">
        <v>880</v>
      </c>
      <c r="J651" s="5">
        <v>0.0</v>
      </c>
      <c r="K651" s="5"/>
      <c r="L651" s="5" t="s">
        <v>16</v>
      </c>
      <c r="M651" s="5"/>
    </row>
    <row r="652" ht="14.25" customHeight="1">
      <c r="A652" s="5">
        <v>812.0</v>
      </c>
      <c r="B652" s="5">
        <v>0.0</v>
      </c>
      <c r="C652" s="5">
        <v>3.0</v>
      </c>
      <c r="D652" s="5" t="s">
        <v>931</v>
      </c>
      <c r="E652" s="5" t="s">
        <v>18</v>
      </c>
      <c r="F652" s="5">
        <v>39.0</v>
      </c>
      <c r="G652" s="5">
        <v>0.0</v>
      </c>
      <c r="H652" s="5">
        <v>0.0</v>
      </c>
      <c r="I652" s="5" t="s">
        <v>763</v>
      </c>
      <c r="J652" s="5">
        <v>24.15</v>
      </c>
      <c r="K652" s="5"/>
      <c r="L652" s="5" t="s">
        <v>16</v>
      </c>
      <c r="M652" s="5"/>
    </row>
    <row r="653" ht="14.25" customHeight="1">
      <c r="A653" s="5">
        <v>771.0</v>
      </c>
      <c r="B653" s="5">
        <v>0.0</v>
      </c>
      <c r="C653" s="5">
        <v>3.0</v>
      </c>
      <c r="D653" s="5" t="s">
        <v>932</v>
      </c>
      <c r="E653" s="5" t="s">
        <v>18</v>
      </c>
      <c r="F653" s="5">
        <v>24.0</v>
      </c>
      <c r="G653" s="5">
        <v>0.0</v>
      </c>
      <c r="H653" s="5">
        <v>0.0</v>
      </c>
      <c r="I653" s="5">
        <v>345781.0</v>
      </c>
      <c r="J653" s="5">
        <v>9.5</v>
      </c>
      <c r="K653" s="5"/>
      <c r="L653" s="5" t="s">
        <v>16</v>
      </c>
      <c r="M653" s="5"/>
    </row>
    <row r="654" ht="14.25" customHeight="1">
      <c r="A654" s="5">
        <v>247.0</v>
      </c>
      <c r="B654" s="5">
        <v>0.0</v>
      </c>
      <c r="C654" s="5">
        <v>3.0</v>
      </c>
      <c r="D654" s="5" t="s">
        <v>933</v>
      </c>
      <c r="E654" s="5" t="s">
        <v>14</v>
      </c>
      <c r="F654" s="5">
        <v>25.0</v>
      </c>
      <c r="G654" s="5">
        <v>0.0</v>
      </c>
      <c r="H654" s="5">
        <v>0.0</v>
      </c>
      <c r="I654" s="5">
        <v>347071.0</v>
      </c>
      <c r="J654" s="5">
        <v>7.775</v>
      </c>
      <c r="K654" s="5"/>
      <c r="L654" s="5" t="s">
        <v>16</v>
      </c>
      <c r="M654" s="5"/>
    </row>
    <row r="655" ht="14.25" customHeight="1">
      <c r="A655" s="5">
        <v>277.0</v>
      </c>
      <c r="B655" s="5">
        <v>0.0</v>
      </c>
      <c r="C655" s="5">
        <v>3.0</v>
      </c>
      <c r="D655" s="5" t="s">
        <v>934</v>
      </c>
      <c r="E655" s="5" t="s">
        <v>14</v>
      </c>
      <c r="F655" s="5">
        <v>45.0</v>
      </c>
      <c r="G655" s="5">
        <v>0.0</v>
      </c>
      <c r="H655" s="5">
        <v>0.0</v>
      </c>
      <c r="I655" s="5">
        <v>347073.0</v>
      </c>
      <c r="J655" s="5">
        <v>7.75</v>
      </c>
      <c r="K655" s="5"/>
      <c r="L655" s="5" t="s">
        <v>16</v>
      </c>
      <c r="M655" s="5"/>
    </row>
    <row r="656" ht="14.25" customHeight="1">
      <c r="A656" s="5">
        <v>606.0</v>
      </c>
      <c r="B656" s="5">
        <v>0.0</v>
      </c>
      <c r="C656" s="5">
        <v>3.0</v>
      </c>
      <c r="D656" s="5" t="s">
        <v>935</v>
      </c>
      <c r="E656" s="5" t="s">
        <v>18</v>
      </c>
      <c r="F656" s="5">
        <v>36.0</v>
      </c>
      <c r="G656" s="5">
        <v>1.0</v>
      </c>
      <c r="H656" s="5">
        <v>0.0</v>
      </c>
      <c r="I656" s="5">
        <v>349910.0</v>
      </c>
      <c r="J656" s="5">
        <v>15.55</v>
      </c>
      <c r="K656" s="5"/>
      <c r="L656" s="5" t="s">
        <v>16</v>
      </c>
      <c r="M656" s="5"/>
    </row>
    <row r="657" ht="14.25" customHeight="1">
      <c r="A657" s="5">
        <v>665.0</v>
      </c>
      <c r="B657" s="5">
        <v>1.0</v>
      </c>
      <c r="C657" s="5">
        <v>3.0</v>
      </c>
      <c r="D657" s="5" t="s">
        <v>936</v>
      </c>
      <c r="E657" s="5" t="s">
        <v>18</v>
      </c>
      <c r="F657" s="5">
        <v>20.0</v>
      </c>
      <c r="G657" s="5">
        <v>1.0</v>
      </c>
      <c r="H657" s="5">
        <v>0.0</v>
      </c>
      <c r="I657" s="5" t="s">
        <v>937</v>
      </c>
      <c r="J657" s="5">
        <v>7.925</v>
      </c>
      <c r="K657" s="5"/>
      <c r="L657" s="5" t="s">
        <v>16</v>
      </c>
      <c r="M657" s="5"/>
    </row>
    <row r="658" ht="14.25" customHeight="1">
      <c r="A658" s="5">
        <v>170.0</v>
      </c>
      <c r="B658" s="5">
        <v>0.0</v>
      </c>
      <c r="C658" s="5">
        <v>3.0</v>
      </c>
      <c r="D658" s="5" t="s">
        <v>938</v>
      </c>
      <c r="E658" s="5" t="s">
        <v>18</v>
      </c>
      <c r="F658" s="5">
        <v>28.0</v>
      </c>
      <c r="G658" s="5">
        <v>0.0</v>
      </c>
      <c r="H658" s="5">
        <v>0.0</v>
      </c>
      <c r="I658" s="5">
        <v>1601.0</v>
      </c>
      <c r="J658" s="5">
        <v>56.4958</v>
      </c>
      <c r="K658" s="5"/>
      <c r="L658" s="5" t="s">
        <v>16</v>
      </c>
      <c r="M658" s="5"/>
    </row>
    <row r="659" ht="14.25" customHeight="1">
      <c r="A659" s="5">
        <v>254.0</v>
      </c>
      <c r="B659" s="5">
        <v>0.0</v>
      </c>
      <c r="C659" s="5">
        <v>3.0</v>
      </c>
      <c r="D659" s="5" t="s">
        <v>939</v>
      </c>
      <c r="E659" s="5" t="s">
        <v>18</v>
      </c>
      <c r="F659" s="5">
        <v>30.0</v>
      </c>
      <c r="G659" s="5">
        <v>1.0</v>
      </c>
      <c r="H659" s="5">
        <v>0.0</v>
      </c>
      <c r="I659" s="5" t="s">
        <v>940</v>
      </c>
      <c r="J659" s="5">
        <v>16.1</v>
      </c>
      <c r="K659" s="5"/>
      <c r="L659" s="5" t="s">
        <v>16</v>
      </c>
      <c r="M659" s="5"/>
    </row>
    <row r="660" ht="14.25" customHeight="1">
      <c r="A660" s="5">
        <v>618.0</v>
      </c>
      <c r="B660" s="5">
        <v>0.0</v>
      </c>
      <c r="C660" s="5">
        <v>3.0</v>
      </c>
      <c r="D660" s="5" t="s">
        <v>941</v>
      </c>
      <c r="E660" s="5" t="s">
        <v>14</v>
      </c>
      <c r="F660" s="5">
        <v>26.0</v>
      </c>
      <c r="G660" s="5">
        <v>1.0</v>
      </c>
      <c r="H660" s="5">
        <v>0.0</v>
      </c>
      <c r="I660" s="5" t="s">
        <v>940</v>
      </c>
      <c r="J660" s="5">
        <v>16.1</v>
      </c>
      <c r="K660" s="5"/>
      <c r="L660" s="5" t="s">
        <v>16</v>
      </c>
      <c r="M660" s="5"/>
    </row>
    <row r="661" ht="14.25" customHeight="1">
      <c r="A661" s="5">
        <v>228.0</v>
      </c>
      <c r="B661" s="5">
        <v>0.0</v>
      </c>
      <c r="C661" s="5">
        <v>3.0</v>
      </c>
      <c r="D661" s="5" t="s">
        <v>942</v>
      </c>
      <c r="E661" s="5" t="s">
        <v>18</v>
      </c>
      <c r="F661" s="5">
        <v>20.5</v>
      </c>
      <c r="G661" s="5">
        <v>0.0</v>
      </c>
      <c r="H661" s="5">
        <v>0.0</v>
      </c>
      <c r="I661" s="5" t="s">
        <v>943</v>
      </c>
      <c r="J661" s="5">
        <v>7.25</v>
      </c>
      <c r="K661" s="5"/>
      <c r="L661" s="5" t="s">
        <v>16</v>
      </c>
      <c r="M661" s="5"/>
    </row>
    <row r="662" ht="14.25" customHeight="1">
      <c r="A662" s="5">
        <v>822.0</v>
      </c>
      <c r="B662" s="5">
        <v>1.0</v>
      </c>
      <c r="C662" s="5">
        <v>3.0</v>
      </c>
      <c r="D662" s="5" t="s">
        <v>944</v>
      </c>
      <c r="E662" s="5" t="s">
        <v>18</v>
      </c>
      <c r="F662" s="5">
        <v>27.0</v>
      </c>
      <c r="G662" s="5">
        <v>0.0</v>
      </c>
      <c r="H662" s="5">
        <v>0.0</v>
      </c>
      <c r="I662" s="5">
        <v>315098.0</v>
      </c>
      <c r="J662" s="5">
        <v>8.6625</v>
      </c>
      <c r="K662" s="5"/>
      <c r="L662" s="5" t="s">
        <v>16</v>
      </c>
      <c r="M662" s="5"/>
    </row>
    <row r="663" ht="14.25" customHeight="1">
      <c r="A663" s="5">
        <v>632.0</v>
      </c>
      <c r="B663" s="5">
        <v>0.0</v>
      </c>
      <c r="C663" s="5">
        <v>3.0</v>
      </c>
      <c r="D663" s="5" t="s">
        <v>945</v>
      </c>
      <c r="E663" s="5" t="s">
        <v>18</v>
      </c>
      <c r="F663" s="5">
        <v>51.0</v>
      </c>
      <c r="G663" s="5">
        <v>0.0</v>
      </c>
      <c r="H663" s="5">
        <v>0.0</v>
      </c>
      <c r="I663" s="5">
        <v>347743.0</v>
      </c>
      <c r="J663" s="5">
        <v>7.0542</v>
      </c>
      <c r="K663" s="5"/>
      <c r="L663" s="5" t="s">
        <v>16</v>
      </c>
      <c r="M663" s="5"/>
    </row>
    <row r="664" ht="14.25" customHeight="1">
      <c r="A664" s="5">
        <v>199.0</v>
      </c>
      <c r="B664" s="5">
        <v>1.0</v>
      </c>
      <c r="C664" s="5">
        <v>3.0</v>
      </c>
      <c r="D664" s="5" t="s">
        <v>946</v>
      </c>
      <c r="E664" s="5" t="s">
        <v>14</v>
      </c>
      <c r="F664" s="5"/>
      <c r="G664" s="5">
        <v>0.0</v>
      </c>
      <c r="H664" s="5">
        <v>0.0</v>
      </c>
      <c r="I664" s="5">
        <v>370370.0</v>
      </c>
      <c r="J664" s="5">
        <v>7.75</v>
      </c>
      <c r="K664" s="5"/>
      <c r="L664" s="5" t="s">
        <v>279</v>
      </c>
      <c r="M664" s="5"/>
    </row>
    <row r="665" ht="14.25" customHeight="1">
      <c r="A665" s="5">
        <v>128.0</v>
      </c>
      <c r="B665" s="5">
        <v>1.0</v>
      </c>
      <c r="C665" s="5">
        <v>3.0</v>
      </c>
      <c r="D665" s="5" t="s">
        <v>947</v>
      </c>
      <c r="E665" s="5" t="s">
        <v>18</v>
      </c>
      <c r="F665" s="5">
        <v>24.0</v>
      </c>
      <c r="G665" s="5">
        <v>0.0</v>
      </c>
      <c r="H665" s="5">
        <v>0.0</v>
      </c>
      <c r="I665" s="5" t="s">
        <v>948</v>
      </c>
      <c r="J665" s="5">
        <v>7.1417</v>
      </c>
      <c r="K665" s="5"/>
      <c r="L665" s="5" t="s">
        <v>16</v>
      </c>
      <c r="M665" s="5"/>
    </row>
    <row r="666" ht="14.25" customHeight="1">
      <c r="A666" s="5">
        <v>244.0</v>
      </c>
      <c r="B666" s="5">
        <v>0.0</v>
      </c>
      <c r="C666" s="5">
        <v>3.0</v>
      </c>
      <c r="D666" s="5" t="s">
        <v>949</v>
      </c>
      <c r="E666" s="5" t="s">
        <v>18</v>
      </c>
      <c r="F666" s="5">
        <v>22.0</v>
      </c>
      <c r="G666" s="5">
        <v>0.0</v>
      </c>
      <c r="H666" s="5">
        <v>0.0</v>
      </c>
      <c r="I666" s="5" t="s">
        <v>950</v>
      </c>
      <c r="J666" s="5">
        <v>7.125</v>
      </c>
      <c r="K666" s="5"/>
      <c r="L666" s="5" t="s">
        <v>16</v>
      </c>
      <c r="M666" s="5"/>
    </row>
    <row r="667" ht="14.25" customHeight="1">
      <c r="A667" s="5">
        <v>465.0</v>
      </c>
      <c r="B667" s="5">
        <v>0.0</v>
      </c>
      <c r="C667" s="5">
        <v>3.0</v>
      </c>
      <c r="D667" s="5" t="s">
        <v>951</v>
      </c>
      <c r="E667" s="5" t="s">
        <v>18</v>
      </c>
      <c r="F667" s="5"/>
      <c r="G667" s="5">
        <v>0.0</v>
      </c>
      <c r="H667" s="5">
        <v>0.0</v>
      </c>
      <c r="I667" s="5" t="s">
        <v>952</v>
      </c>
      <c r="J667" s="5">
        <v>8.05</v>
      </c>
      <c r="K667" s="5"/>
      <c r="L667" s="5" t="s">
        <v>16</v>
      </c>
      <c r="M667" s="5"/>
    </row>
    <row r="668" ht="14.25" customHeight="1">
      <c r="A668" s="5">
        <v>37.0</v>
      </c>
      <c r="B668" s="5">
        <v>1.0</v>
      </c>
      <c r="C668" s="5">
        <v>3.0</v>
      </c>
      <c r="D668" s="5" t="s">
        <v>953</v>
      </c>
      <c r="E668" s="5" t="s">
        <v>18</v>
      </c>
      <c r="F668" s="5"/>
      <c r="G668" s="5">
        <v>0.0</v>
      </c>
      <c r="H668" s="5">
        <v>0.0</v>
      </c>
      <c r="I668" s="5">
        <v>2677.0</v>
      </c>
      <c r="J668" s="5">
        <v>7.2292</v>
      </c>
      <c r="K668" s="5"/>
      <c r="L668" s="5" t="s">
        <v>32</v>
      </c>
      <c r="M668" s="5"/>
    </row>
    <row r="669" ht="14.25" customHeight="1">
      <c r="A669" s="5">
        <v>768.0</v>
      </c>
      <c r="B669" s="5">
        <v>0.0</v>
      </c>
      <c r="C669" s="5">
        <v>3.0</v>
      </c>
      <c r="D669" s="5" t="s">
        <v>954</v>
      </c>
      <c r="E669" s="5" t="s">
        <v>14</v>
      </c>
      <c r="F669" s="5">
        <v>30.5</v>
      </c>
      <c r="G669" s="5">
        <v>0.0</v>
      </c>
      <c r="H669" s="5">
        <v>0.0</v>
      </c>
      <c r="I669" s="5">
        <v>364850.0</v>
      </c>
      <c r="J669" s="5">
        <v>7.75</v>
      </c>
      <c r="K669" s="5"/>
      <c r="L669" s="5" t="s">
        <v>279</v>
      </c>
      <c r="M669" s="5"/>
    </row>
    <row r="670" ht="14.25" customHeight="1">
      <c r="A670" s="5">
        <v>728.0</v>
      </c>
      <c r="B670" s="5">
        <v>1.0</v>
      </c>
      <c r="C670" s="5">
        <v>3.0</v>
      </c>
      <c r="D670" s="5" t="s">
        <v>955</v>
      </c>
      <c r="E670" s="5" t="s">
        <v>14</v>
      </c>
      <c r="F670" s="5"/>
      <c r="G670" s="5">
        <v>0.0</v>
      </c>
      <c r="H670" s="5">
        <v>0.0</v>
      </c>
      <c r="I670" s="5">
        <v>36866.0</v>
      </c>
      <c r="J670" s="5">
        <v>7.7375</v>
      </c>
      <c r="K670" s="5"/>
      <c r="L670" s="5" t="s">
        <v>279</v>
      </c>
      <c r="M670" s="5"/>
    </row>
    <row r="671" ht="14.25" customHeight="1">
      <c r="A671" s="5">
        <v>848.0</v>
      </c>
      <c r="B671" s="5">
        <v>0.0</v>
      </c>
      <c r="C671" s="5">
        <v>3.0</v>
      </c>
      <c r="D671" s="5" t="s">
        <v>956</v>
      </c>
      <c r="E671" s="5" t="s">
        <v>18</v>
      </c>
      <c r="F671" s="5">
        <v>35.0</v>
      </c>
      <c r="G671" s="5">
        <v>0.0</v>
      </c>
      <c r="H671" s="5">
        <v>0.0</v>
      </c>
      <c r="I671" s="5">
        <v>349213.0</v>
      </c>
      <c r="J671" s="5">
        <v>7.8958</v>
      </c>
      <c r="K671" s="5"/>
      <c r="L671" s="5" t="s">
        <v>32</v>
      </c>
      <c r="M671" s="5"/>
    </row>
    <row r="672" ht="14.25" customHeight="1">
      <c r="A672" s="5">
        <v>882.0</v>
      </c>
      <c r="B672" s="5">
        <v>0.0</v>
      </c>
      <c r="C672" s="5">
        <v>3.0</v>
      </c>
      <c r="D672" s="5" t="s">
        <v>957</v>
      </c>
      <c r="E672" s="5" t="s">
        <v>18</v>
      </c>
      <c r="F672" s="5">
        <v>33.0</v>
      </c>
      <c r="G672" s="5">
        <v>0.0</v>
      </c>
      <c r="H672" s="5">
        <v>0.0</v>
      </c>
      <c r="I672" s="5">
        <v>349257.0</v>
      </c>
      <c r="J672" s="5">
        <v>7.8958</v>
      </c>
      <c r="K672" s="5"/>
      <c r="L672" s="5" t="s">
        <v>16</v>
      </c>
      <c r="M672" s="5"/>
    </row>
    <row r="673" ht="14.25" customHeight="1">
      <c r="A673" s="5">
        <v>20.0</v>
      </c>
      <c r="B673" s="5">
        <v>1.0</v>
      </c>
      <c r="C673" s="5">
        <v>3.0</v>
      </c>
      <c r="D673" s="5" t="s">
        <v>958</v>
      </c>
      <c r="E673" s="5" t="s">
        <v>14</v>
      </c>
      <c r="F673" s="5"/>
      <c r="G673" s="5">
        <v>0.0</v>
      </c>
      <c r="H673" s="5">
        <v>0.0</v>
      </c>
      <c r="I673" s="5">
        <v>2649.0</v>
      </c>
      <c r="J673" s="5">
        <v>7.225</v>
      </c>
      <c r="K673" s="5"/>
      <c r="L673" s="5" t="s">
        <v>32</v>
      </c>
      <c r="M673" s="5"/>
    </row>
    <row r="674" ht="14.25" customHeight="1">
      <c r="A674" s="5">
        <v>829.0</v>
      </c>
      <c r="B674" s="5">
        <v>1.0</v>
      </c>
      <c r="C674" s="5">
        <v>3.0</v>
      </c>
      <c r="D674" s="5" t="s">
        <v>959</v>
      </c>
      <c r="E674" s="5" t="s">
        <v>18</v>
      </c>
      <c r="F674" s="5"/>
      <c r="G674" s="5">
        <v>0.0</v>
      </c>
      <c r="H674" s="5">
        <v>0.0</v>
      </c>
      <c r="I674" s="5">
        <v>367228.0</v>
      </c>
      <c r="J674" s="5">
        <v>7.75</v>
      </c>
      <c r="K674" s="5"/>
      <c r="L674" s="5" t="s">
        <v>279</v>
      </c>
      <c r="M674" s="5"/>
    </row>
    <row r="675" ht="14.25" customHeight="1">
      <c r="A675" s="5">
        <v>331.0</v>
      </c>
      <c r="B675" s="5">
        <v>1.0</v>
      </c>
      <c r="C675" s="5">
        <v>3.0</v>
      </c>
      <c r="D675" s="5" t="s">
        <v>960</v>
      </c>
      <c r="E675" s="5" t="s">
        <v>14</v>
      </c>
      <c r="F675" s="5"/>
      <c r="G675" s="5">
        <v>2.0</v>
      </c>
      <c r="H675" s="5">
        <v>0.0</v>
      </c>
      <c r="I675" s="5">
        <v>367226.0</v>
      </c>
      <c r="J675" s="5">
        <v>23.25</v>
      </c>
      <c r="K675" s="5"/>
      <c r="L675" s="5" t="s">
        <v>279</v>
      </c>
      <c r="M675" s="5"/>
    </row>
    <row r="676" ht="14.25" customHeight="1">
      <c r="A676" s="5">
        <v>302.0</v>
      </c>
      <c r="B676" s="5">
        <v>1.0</v>
      </c>
      <c r="C676" s="5">
        <v>3.0</v>
      </c>
      <c r="D676" s="5" t="s">
        <v>961</v>
      </c>
      <c r="E676" s="5" t="s">
        <v>18</v>
      </c>
      <c r="F676" s="5"/>
      <c r="G676" s="5">
        <v>2.0</v>
      </c>
      <c r="H676" s="5">
        <v>0.0</v>
      </c>
      <c r="I676" s="5">
        <v>367226.0</v>
      </c>
      <c r="J676" s="5">
        <v>23.25</v>
      </c>
      <c r="K676" s="5"/>
      <c r="L676" s="5" t="s">
        <v>279</v>
      </c>
      <c r="M676" s="5"/>
    </row>
    <row r="677" ht="14.25" customHeight="1">
      <c r="A677" s="5">
        <v>83.0</v>
      </c>
      <c r="B677" s="5">
        <v>1.0</v>
      </c>
      <c r="C677" s="5">
        <v>3.0</v>
      </c>
      <c r="D677" s="5" t="s">
        <v>962</v>
      </c>
      <c r="E677" s="5" t="s">
        <v>14</v>
      </c>
      <c r="F677" s="5"/>
      <c r="G677" s="5">
        <v>0.0</v>
      </c>
      <c r="H677" s="5">
        <v>0.0</v>
      </c>
      <c r="I677" s="5">
        <v>330932.0</v>
      </c>
      <c r="J677" s="5">
        <v>7.7875</v>
      </c>
      <c r="K677" s="5"/>
      <c r="L677" s="5" t="s">
        <v>279</v>
      </c>
      <c r="M677" s="5"/>
    </row>
    <row r="678" ht="14.25" customHeight="1">
      <c r="A678" s="5">
        <v>719.0</v>
      </c>
      <c r="B678" s="5">
        <v>0.0</v>
      </c>
      <c r="C678" s="5">
        <v>3.0</v>
      </c>
      <c r="D678" s="5" t="s">
        <v>963</v>
      </c>
      <c r="E678" s="5" t="s">
        <v>18</v>
      </c>
      <c r="F678" s="5"/>
      <c r="G678" s="5">
        <v>0.0</v>
      </c>
      <c r="H678" s="5">
        <v>0.0</v>
      </c>
      <c r="I678" s="5">
        <v>36568.0</v>
      </c>
      <c r="J678" s="5">
        <v>15.5</v>
      </c>
      <c r="K678" s="5"/>
      <c r="L678" s="5" t="s">
        <v>279</v>
      </c>
      <c r="M678" s="5"/>
    </row>
    <row r="679" ht="14.25" customHeight="1">
      <c r="A679" s="5">
        <v>359.0</v>
      </c>
      <c r="B679" s="5">
        <v>1.0</v>
      </c>
      <c r="C679" s="5">
        <v>3.0</v>
      </c>
      <c r="D679" s="5" t="s">
        <v>964</v>
      </c>
      <c r="E679" s="5" t="s">
        <v>14</v>
      </c>
      <c r="F679" s="5"/>
      <c r="G679" s="5">
        <v>0.0</v>
      </c>
      <c r="H679" s="5">
        <v>0.0</v>
      </c>
      <c r="I679" s="5">
        <v>330931.0</v>
      </c>
      <c r="J679" s="5">
        <v>7.8792</v>
      </c>
      <c r="K679" s="5"/>
      <c r="L679" s="5" t="s">
        <v>279</v>
      </c>
      <c r="M679" s="5"/>
    </row>
    <row r="680" ht="14.25" customHeight="1">
      <c r="A680" s="5">
        <v>23.0</v>
      </c>
      <c r="B680" s="5">
        <v>1.0</v>
      </c>
      <c r="C680" s="5">
        <v>3.0</v>
      </c>
      <c r="D680" s="5" t="s">
        <v>965</v>
      </c>
      <c r="E680" s="5" t="s">
        <v>14</v>
      </c>
      <c r="F680" s="5">
        <v>15.0</v>
      </c>
      <c r="G680" s="5">
        <v>0.0</v>
      </c>
      <c r="H680" s="5">
        <v>0.0</v>
      </c>
      <c r="I680" s="5">
        <v>330923.0</v>
      </c>
      <c r="J680" s="5">
        <v>8.0292</v>
      </c>
      <c r="K680" s="5"/>
      <c r="L680" s="5" t="s">
        <v>279</v>
      </c>
      <c r="M680" s="5"/>
    </row>
    <row r="681" ht="14.25" customHeight="1">
      <c r="A681" s="5">
        <v>127.0</v>
      </c>
      <c r="B681" s="5">
        <v>0.0</v>
      </c>
      <c r="C681" s="5">
        <v>3.0</v>
      </c>
      <c r="D681" s="5" t="s">
        <v>966</v>
      </c>
      <c r="E681" s="5" t="s">
        <v>18</v>
      </c>
      <c r="F681" s="5"/>
      <c r="G681" s="5">
        <v>0.0</v>
      </c>
      <c r="H681" s="5">
        <v>0.0</v>
      </c>
      <c r="I681" s="5">
        <v>370372.0</v>
      </c>
      <c r="J681" s="5">
        <v>7.75</v>
      </c>
      <c r="K681" s="5"/>
      <c r="L681" s="5" t="s">
        <v>279</v>
      </c>
      <c r="M681" s="5"/>
    </row>
    <row r="682" ht="14.25" customHeight="1">
      <c r="A682" s="5">
        <v>744.0</v>
      </c>
      <c r="B682" s="5">
        <v>0.0</v>
      </c>
      <c r="C682" s="5">
        <v>3.0</v>
      </c>
      <c r="D682" s="5" t="s">
        <v>967</v>
      </c>
      <c r="E682" s="5" t="s">
        <v>18</v>
      </c>
      <c r="F682" s="5">
        <v>24.0</v>
      </c>
      <c r="G682" s="5">
        <v>1.0</v>
      </c>
      <c r="H682" s="5">
        <v>0.0</v>
      </c>
      <c r="I682" s="5">
        <v>376566.0</v>
      </c>
      <c r="J682" s="5">
        <v>16.1</v>
      </c>
      <c r="K682" s="5"/>
      <c r="L682" s="5" t="s">
        <v>16</v>
      </c>
      <c r="M682" s="5"/>
    </row>
    <row r="683" ht="14.25" customHeight="1">
      <c r="A683" s="5">
        <v>565.0</v>
      </c>
      <c r="B683" s="5">
        <v>0.0</v>
      </c>
      <c r="C683" s="5">
        <v>3.0</v>
      </c>
      <c r="D683" s="5" t="s">
        <v>968</v>
      </c>
      <c r="E683" s="5" t="s">
        <v>14</v>
      </c>
      <c r="F683" s="5"/>
      <c r="G683" s="5">
        <v>0.0</v>
      </c>
      <c r="H683" s="5">
        <v>0.0</v>
      </c>
      <c r="I683" s="5" t="s">
        <v>969</v>
      </c>
      <c r="J683" s="5">
        <v>8.05</v>
      </c>
      <c r="K683" s="5"/>
      <c r="L683" s="5" t="s">
        <v>16</v>
      </c>
      <c r="M683" s="5"/>
    </row>
    <row r="684" ht="14.25" customHeight="1">
      <c r="A684" s="5">
        <v>416.0</v>
      </c>
      <c r="B684" s="5">
        <v>0.0</v>
      </c>
      <c r="C684" s="5">
        <v>3.0</v>
      </c>
      <c r="D684" s="5" t="s">
        <v>970</v>
      </c>
      <c r="E684" s="5" t="s">
        <v>14</v>
      </c>
      <c r="F684" s="5"/>
      <c r="G684" s="5">
        <v>0.0</v>
      </c>
      <c r="H684" s="5">
        <v>0.0</v>
      </c>
      <c r="I684" s="5">
        <v>343095.0</v>
      </c>
      <c r="J684" s="5">
        <v>8.05</v>
      </c>
      <c r="K684" s="5"/>
      <c r="L684" s="5" t="s">
        <v>16</v>
      </c>
      <c r="M684" s="5"/>
    </row>
    <row r="685" ht="14.25" customHeight="1">
      <c r="A685" s="5">
        <v>153.0</v>
      </c>
      <c r="B685" s="5">
        <v>0.0</v>
      </c>
      <c r="C685" s="5">
        <v>3.0</v>
      </c>
      <c r="D685" s="5" t="s">
        <v>971</v>
      </c>
      <c r="E685" s="5" t="s">
        <v>18</v>
      </c>
      <c r="F685" s="5">
        <v>55.5</v>
      </c>
      <c r="G685" s="5">
        <v>0.0</v>
      </c>
      <c r="H685" s="5">
        <v>0.0</v>
      </c>
      <c r="I685" s="5" t="s">
        <v>972</v>
      </c>
      <c r="J685" s="5">
        <v>8.05</v>
      </c>
      <c r="K685" s="5"/>
      <c r="L685" s="5" t="s">
        <v>16</v>
      </c>
      <c r="M685" s="5"/>
    </row>
    <row r="686" ht="14.25" customHeight="1">
      <c r="A686" s="5">
        <v>197.0</v>
      </c>
      <c r="B686" s="5">
        <v>0.0</v>
      </c>
      <c r="C686" s="5">
        <v>3.0</v>
      </c>
      <c r="D686" s="5" t="s">
        <v>973</v>
      </c>
      <c r="E686" s="5" t="s">
        <v>18</v>
      </c>
      <c r="F686" s="5"/>
      <c r="G686" s="5">
        <v>0.0</v>
      </c>
      <c r="H686" s="5">
        <v>0.0</v>
      </c>
      <c r="I686" s="5">
        <v>368703.0</v>
      </c>
      <c r="J686" s="5">
        <v>7.75</v>
      </c>
      <c r="K686" s="5"/>
      <c r="L686" s="5" t="s">
        <v>279</v>
      </c>
      <c r="M686" s="5"/>
    </row>
    <row r="687" ht="14.25" customHeight="1">
      <c r="A687" s="5">
        <v>295.0</v>
      </c>
      <c r="B687" s="5">
        <v>0.0</v>
      </c>
      <c r="C687" s="5">
        <v>3.0</v>
      </c>
      <c r="D687" s="5" t="s">
        <v>974</v>
      </c>
      <c r="E687" s="5" t="s">
        <v>18</v>
      </c>
      <c r="F687" s="5">
        <v>24.0</v>
      </c>
      <c r="G687" s="5">
        <v>0.0</v>
      </c>
      <c r="H687" s="5">
        <v>0.0</v>
      </c>
      <c r="I687" s="5">
        <v>349233.0</v>
      </c>
      <c r="J687" s="5">
        <v>7.8958</v>
      </c>
      <c r="K687" s="5"/>
      <c r="L687" s="5" t="s">
        <v>16</v>
      </c>
      <c r="M687" s="5"/>
    </row>
    <row r="688" ht="14.25" customHeight="1">
      <c r="A688" s="5">
        <v>106.0</v>
      </c>
      <c r="B688" s="5">
        <v>0.0</v>
      </c>
      <c r="C688" s="5">
        <v>3.0</v>
      </c>
      <c r="D688" s="5" t="s">
        <v>975</v>
      </c>
      <c r="E688" s="5" t="s">
        <v>18</v>
      </c>
      <c r="F688" s="5">
        <v>28.0</v>
      </c>
      <c r="G688" s="5">
        <v>0.0</v>
      </c>
      <c r="H688" s="5">
        <v>0.0</v>
      </c>
      <c r="I688" s="5">
        <v>349207.0</v>
      </c>
      <c r="J688" s="5">
        <v>7.8958</v>
      </c>
      <c r="K688" s="5"/>
      <c r="L688" s="5" t="s">
        <v>16</v>
      </c>
      <c r="M688" s="5"/>
    </row>
    <row r="689" ht="14.25" customHeight="1">
      <c r="A689" s="5">
        <v>651.0</v>
      </c>
      <c r="B689" s="5">
        <v>0.0</v>
      </c>
      <c r="C689" s="5">
        <v>3.0</v>
      </c>
      <c r="D689" s="5" t="s">
        <v>976</v>
      </c>
      <c r="E689" s="5" t="s">
        <v>18</v>
      </c>
      <c r="F689" s="5"/>
      <c r="G689" s="5">
        <v>0.0</v>
      </c>
      <c r="H689" s="5">
        <v>0.0</v>
      </c>
      <c r="I689" s="5">
        <v>349221.0</v>
      </c>
      <c r="J689" s="5">
        <v>7.8958</v>
      </c>
      <c r="K689" s="5"/>
      <c r="L689" s="5" t="s">
        <v>16</v>
      </c>
      <c r="M689" s="5"/>
    </row>
    <row r="690" ht="14.25" customHeight="1">
      <c r="A690" s="5">
        <v>360.0</v>
      </c>
      <c r="B690" s="5">
        <v>1.0</v>
      </c>
      <c r="C690" s="5">
        <v>3.0</v>
      </c>
      <c r="D690" s="5" t="s">
        <v>977</v>
      </c>
      <c r="E690" s="5" t="s">
        <v>14</v>
      </c>
      <c r="F690" s="5"/>
      <c r="G690" s="5">
        <v>0.0</v>
      </c>
      <c r="H690" s="5">
        <v>0.0</v>
      </c>
      <c r="I690" s="5">
        <v>330980.0</v>
      </c>
      <c r="J690" s="5">
        <v>7.8792</v>
      </c>
      <c r="K690" s="5"/>
      <c r="L690" s="5" t="s">
        <v>279</v>
      </c>
      <c r="M690" s="5"/>
    </row>
    <row r="691" ht="14.25" customHeight="1">
      <c r="A691" s="5">
        <v>76.0</v>
      </c>
      <c r="B691" s="5">
        <v>0.0</v>
      </c>
      <c r="C691" s="5">
        <v>3.0</v>
      </c>
      <c r="D691" s="5" t="s">
        <v>978</v>
      </c>
      <c r="E691" s="5" t="s">
        <v>18</v>
      </c>
      <c r="F691" s="5">
        <v>25.0</v>
      </c>
      <c r="G691" s="5">
        <v>0.0</v>
      </c>
      <c r="H691" s="5">
        <v>0.0</v>
      </c>
      <c r="I691" s="5">
        <v>348123.0</v>
      </c>
      <c r="J691" s="5">
        <v>7.65</v>
      </c>
      <c r="K691" s="5" t="s">
        <v>979</v>
      </c>
      <c r="L691" s="5" t="s">
        <v>16</v>
      </c>
      <c r="M691" s="5"/>
    </row>
    <row r="692" ht="14.25" customHeight="1">
      <c r="A692" s="5">
        <v>752.0</v>
      </c>
      <c r="B692" s="5">
        <v>1.0</v>
      </c>
      <c r="C692" s="5">
        <v>3.0</v>
      </c>
      <c r="D692" s="5" t="s">
        <v>980</v>
      </c>
      <c r="E692" s="5" t="s">
        <v>18</v>
      </c>
      <c r="F692" s="5">
        <v>6.0</v>
      </c>
      <c r="G692" s="5">
        <v>0.0</v>
      </c>
      <c r="H692" s="5">
        <v>1.0</v>
      </c>
      <c r="I692" s="5">
        <v>392096.0</v>
      </c>
      <c r="J692" s="5">
        <v>12.475</v>
      </c>
      <c r="K692" s="5" t="s">
        <v>981</v>
      </c>
      <c r="L692" s="5" t="s">
        <v>16</v>
      </c>
      <c r="M692" s="5"/>
    </row>
    <row r="693" ht="14.25" customHeight="1">
      <c r="A693" s="5">
        <v>824.0</v>
      </c>
      <c r="B693" s="5">
        <v>1.0</v>
      </c>
      <c r="C693" s="5">
        <v>3.0</v>
      </c>
      <c r="D693" s="5" t="s">
        <v>982</v>
      </c>
      <c r="E693" s="5" t="s">
        <v>14</v>
      </c>
      <c r="F693" s="5">
        <v>27.0</v>
      </c>
      <c r="G693" s="5">
        <v>0.0</v>
      </c>
      <c r="H693" s="5">
        <v>1.0</v>
      </c>
      <c r="I693" s="5">
        <v>392096.0</v>
      </c>
      <c r="J693" s="5">
        <v>12.475</v>
      </c>
      <c r="K693" s="5" t="s">
        <v>981</v>
      </c>
      <c r="L693" s="5" t="s">
        <v>16</v>
      </c>
      <c r="M693" s="5"/>
    </row>
    <row r="694" ht="14.25" customHeight="1">
      <c r="A694" s="5">
        <v>122.0</v>
      </c>
      <c r="B694" s="5">
        <v>0.0</v>
      </c>
      <c r="C694" s="5">
        <v>3.0</v>
      </c>
      <c r="D694" s="5" t="s">
        <v>983</v>
      </c>
      <c r="E694" s="5" t="s">
        <v>18</v>
      </c>
      <c r="F694" s="5"/>
      <c r="G694" s="5">
        <v>0.0</v>
      </c>
      <c r="H694" s="5">
        <v>0.0</v>
      </c>
      <c r="I694" s="5" t="s">
        <v>984</v>
      </c>
      <c r="J694" s="5">
        <v>8.05</v>
      </c>
      <c r="K694" s="5"/>
      <c r="L694" s="5" t="s">
        <v>16</v>
      </c>
      <c r="M694" s="5"/>
    </row>
    <row r="695" ht="14.25" customHeight="1">
      <c r="A695" s="5">
        <v>110.0</v>
      </c>
      <c r="B695" s="5">
        <v>1.0</v>
      </c>
      <c r="C695" s="5">
        <v>3.0</v>
      </c>
      <c r="D695" s="5" t="s">
        <v>985</v>
      </c>
      <c r="E695" s="5" t="s">
        <v>14</v>
      </c>
      <c r="F695" s="5"/>
      <c r="G695" s="5">
        <v>1.0</v>
      </c>
      <c r="H695" s="5">
        <v>0.0</v>
      </c>
      <c r="I695" s="5">
        <v>371110.0</v>
      </c>
      <c r="J695" s="5">
        <v>24.15</v>
      </c>
      <c r="K695" s="5"/>
      <c r="L695" s="5" t="s">
        <v>279</v>
      </c>
      <c r="M695" s="5"/>
    </row>
    <row r="696" ht="14.25" customHeight="1">
      <c r="A696" s="5">
        <v>769.0</v>
      </c>
      <c r="B696" s="5">
        <v>0.0</v>
      </c>
      <c r="C696" s="5">
        <v>3.0</v>
      </c>
      <c r="D696" s="5" t="s">
        <v>986</v>
      </c>
      <c r="E696" s="5" t="s">
        <v>18</v>
      </c>
      <c r="F696" s="5"/>
      <c r="G696" s="5">
        <v>1.0</v>
      </c>
      <c r="H696" s="5">
        <v>0.0</v>
      </c>
      <c r="I696" s="5">
        <v>371110.0</v>
      </c>
      <c r="J696" s="5">
        <v>24.15</v>
      </c>
      <c r="K696" s="5"/>
      <c r="L696" s="5" t="s">
        <v>279</v>
      </c>
      <c r="M696" s="5"/>
    </row>
    <row r="697" ht="14.25" customHeight="1">
      <c r="A697" s="5">
        <v>6.0</v>
      </c>
      <c r="B697" s="5">
        <v>0.0</v>
      </c>
      <c r="C697" s="5">
        <v>3.0</v>
      </c>
      <c r="D697" s="5" t="s">
        <v>987</v>
      </c>
      <c r="E697" s="5" t="s">
        <v>18</v>
      </c>
      <c r="F697" s="5"/>
      <c r="G697" s="5">
        <v>0.0</v>
      </c>
      <c r="H697" s="5">
        <v>0.0</v>
      </c>
      <c r="I697" s="5">
        <v>330877.0</v>
      </c>
      <c r="J697" s="5">
        <v>8.4583</v>
      </c>
      <c r="K697" s="5"/>
      <c r="L697" s="5" t="s">
        <v>279</v>
      </c>
      <c r="M697" s="5"/>
    </row>
    <row r="698" ht="14.25" customHeight="1">
      <c r="A698" s="5">
        <v>462.0</v>
      </c>
      <c r="B698" s="5">
        <v>0.0</v>
      </c>
      <c r="C698" s="5">
        <v>3.0</v>
      </c>
      <c r="D698" s="5" t="s">
        <v>988</v>
      </c>
      <c r="E698" s="5" t="s">
        <v>18</v>
      </c>
      <c r="F698" s="5">
        <v>34.0</v>
      </c>
      <c r="G698" s="5">
        <v>0.0</v>
      </c>
      <c r="H698" s="5">
        <v>0.0</v>
      </c>
      <c r="I698" s="5">
        <v>364506.0</v>
      </c>
      <c r="J698" s="5">
        <v>8.05</v>
      </c>
      <c r="K698" s="5"/>
      <c r="L698" s="5" t="s">
        <v>16</v>
      </c>
      <c r="M698" s="5"/>
    </row>
    <row r="699" ht="14.25" customHeight="1">
      <c r="A699" s="5">
        <v>561.0</v>
      </c>
      <c r="B699" s="5">
        <v>0.0</v>
      </c>
      <c r="C699" s="5">
        <v>3.0</v>
      </c>
      <c r="D699" s="5" t="s">
        <v>989</v>
      </c>
      <c r="E699" s="5" t="s">
        <v>18</v>
      </c>
      <c r="F699" s="5"/>
      <c r="G699" s="5">
        <v>0.0</v>
      </c>
      <c r="H699" s="5">
        <v>0.0</v>
      </c>
      <c r="I699" s="5">
        <v>372622.0</v>
      </c>
      <c r="J699" s="5">
        <v>7.75</v>
      </c>
      <c r="K699" s="5"/>
      <c r="L699" s="5" t="s">
        <v>279</v>
      </c>
      <c r="M699" s="5"/>
    </row>
    <row r="700" ht="14.25" customHeight="1">
      <c r="A700" s="5">
        <v>108.0</v>
      </c>
      <c r="B700" s="5">
        <v>1.0</v>
      </c>
      <c r="C700" s="5">
        <v>3.0</v>
      </c>
      <c r="D700" s="5" t="s">
        <v>990</v>
      </c>
      <c r="E700" s="5" t="s">
        <v>18</v>
      </c>
      <c r="F700" s="5"/>
      <c r="G700" s="5">
        <v>0.0</v>
      </c>
      <c r="H700" s="5">
        <v>0.0</v>
      </c>
      <c r="I700" s="5">
        <v>312991.0</v>
      </c>
      <c r="J700" s="5">
        <v>7.775</v>
      </c>
      <c r="K700" s="5"/>
      <c r="L700" s="5" t="s">
        <v>16</v>
      </c>
      <c r="M700" s="5"/>
    </row>
    <row r="701" ht="14.25" customHeight="1">
      <c r="A701" s="5">
        <v>66.0</v>
      </c>
      <c r="B701" s="5">
        <v>1.0</v>
      </c>
      <c r="C701" s="5">
        <v>3.0</v>
      </c>
      <c r="D701" s="5" t="s">
        <v>991</v>
      </c>
      <c r="E701" s="5" t="s">
        <v>18</v>
      </c>
      <c r="F701" s="5"/>
      <c r="G701" s="5">
        <v>1.0</v>
      </c>
      <c r="H701" s="5">
        <v>1.0</v>
      </c>
      <c r="I701" s="5">
        <v>2661.0</v>
      </c>
      <c r="J701" s="5">
        <v>15.2458</v>
      </c>
      <c r="K701" s="5"/>
      <c r="L701" s="5" t="s">
        <v>32</v>
      </c>
      <c r="M701" s="5"/>
    </row>
    <row r="702" ht="14.25" customHeight="1">
      <c r="A702" s="5">
        <v>710.0</v>
      </c>
      <c r="B702" s="5">
        <v>1.0</v>
      </c>
      <c r="C702" s="5">
        <v>3.0</v>
      </c>
      <c r="D702" s="5" t="s">
        <v>992</v>
      </c>
      <c r="E702" s="5" t="s">
        <v>18</v>
      </c>
      <c r="F702" s="5"/>
      <c r="G702" s="5">
        <v>1.0</v>
      </c>
      <c r="H702" s="5">
        <v>1.0</v>
      </c>
      <c r="I702" s="5">
        <v>2661.0</v>
      </c>
      <c r="J702" s="5">
        <v>15.2458</v>
      </c>
      <c r="K702" s="5"/>
      <c r="L702" s="5" t="s">
        <v>32</v>
      </c>
      <c r="M702" s="5"/>
    </row>
    <row r="703" ht="14.25" customHeight="1">
      <c r="A703" s="5">
        <v>368.0</v>
      </c>
      <c r="B703" s="5">
        <v>1.0</v>
      </c>
      <c r="C703" s="5">
        <v>3.0</v>
      </c>
      <c r="D703" s="5" t="s">
        <v>993</v>
      </c>
      <c r="E703" s="5" t="s">
        <v>14</v>
      </c>
      <c r="F703" s="5"/>
      <c r="G703" s="5">
        <v>0.0</v>
      </c>
      <c r="H703" s="5">
        <v>0.0</v>
      </c>
      <c r="I703" s="5">
        <v>2626.0</v>
      </c>
      <c r="J703" s="5">
        <v>7.2292</v>
      </c>
      <c r="K703" s="5"/>
      <c r="L703" s="5" t="s">
        <v>32</v>
      </c>
      <c r="M703" s="5"/>
    </row>
    <row r="704" ht="14.25" customHeight="1">
      <c r="A704" s="5">
        <v>78.0</v>
      </c>
      <c r="B704" s="5">
        <v>0.0</v>
      </c>
      <c r="C704" s="5">
        <v>3.0</v>
      </c>
      <c r="D704" s="5" t="s">
        <v>994</v>
      </c>
      <c r="E704" s="5" t="s">
        <v>18</v>
      </c>
      <c r="F704" s="5"/>
      <c r="G704" s="5">
        <v>0.0</v>
      </c>
      <c r="H704" s="5">
        <v>0.0</v>
      </c>
      <c r="I704" s="5">
        <v>374746.0</v>
      </c>
      <c r="J704" s="5">
        <v>8.05</v>
      </c>
      <c r="K704" s="5"/>
      <c r="L704" s="5" t="s">
        <v>16</v>
      </c>
      <c r="M704" s="5"/>
    </row>
    <row r="705" ht="14.25" customHeight="1">
      <c r="A705" s="5">
        <v>698.0</v>
      </c>
      <c r="B705" s="5">
        <v>1.0</v>
      </c>
      <c r="C705" s="5">
        <v>3.0</v>
      </c>
      <c r="D705" s="5" t="s">
        <v>995</v>
      </c>
      <c r="E705" s="5" t="s">
        <v>14</v>
      </c>
      <c r="F705" s="5"/>
      <c r="G705" s="5">
        <v>0.0</v>
      </c>
      <c r="H705" s="5">
        <v>0.0</v>
      </c>
      <c r="I705" s="5">
        <v>35852.0</v>
      </c>
      <c r="J705" s="5">
        <v>7.7333</v>
      </c>
      <c r="K705" s="5"/>
      <c r="L705" s="5" t="s">
        <v>279</v>
      </c>
      <c r="M705" s="5"/>
    </row>
    <row r="706" ht="14.25" customHeight="1">
      <c r="A706" s="5">
        <v>590.0</v>
      </c>
      <c r="B706" s="5">
        <v>0.0</v>
      </c>
      <c r="C706" s="5">
        <v>3.0</v>
      </c>
      <c r="D706" s="5" t="s">
        <v>996</v>
      </c>
      <c r="E706" s="5" t="s">
        <v>18</v>
      </c>
      <c r="F706" s="5"/>
      <c r="G706" s="5">
        <v>0.0</v>
      </c>
      <c r="H706" s="5">
        <v>0.0</v>
      </c>
      <c r="I706" s="5" t="s">
        <v>997</v>
      </c>
      <c r="J706" s="5">
        <v>8.05</v>
      </c>
      <c r="K706" s="5"/>
      <c r="L706" s="5" t="s">
        <v>16</v>
      </c>
      <c r="M706" s="5"/>
    </row>
    <row r="707" ht="14.25" customHeight="1">
      <c r="A707" s="5">
        <v>242.0</v>
      </c>
      <c r="B707" s="5">
        <v>1.0</v>
      </c>
      <c r="C707" s="5">
        <v>3.0</v>
      </c>
      <c r="D707" s="5" t="s">
        <v>998</v>
      </c>
      <c r="E707" s="5" t="s">
        <v>14</v>
      </c>
      <c r="F707" s="5"/>
      <c r="G707" s="5">
        <v>1.0</v>
      </c>
      <c r="H707" s="5">
        <v>0.0</v>
      </c>
      <c r="I707" s="5">
        <v>367230.0</v>
      </c>
      <c r="J707" s="5">
        <v>15.5</v>
      </c>
      <c r="K707" s="5"/>
      <c r="L707" s="5" t="s">
        <v>279</v>
      </c>
      <c r="M707" s="5"/>
    </row>
    <row r="708" ht="14.25" customHeight="1">
      <c r="A708" s="5">
        <v>613.0</v>
      </c>
      <c r="B708" s="5">
        <v>1.0</v>
      </c>
      <c r="C708" s="5">
        <v>3.0</v>
      </c>
      <c r="D708" s="5" t="s">
        <v>999</v>
      </c>
      <c r="E708" s="5" t="s">
        <v>14</v>
      </c>
      <c r="F708" s="5"/>
      <c r="G708" s="5">
        <v>1.0</v>
      </c>
      <c r="H708" s="5">
        <v>0.0</v>
      </c>
      <c r="I708" s="5">
        <v>367230.0</v>
      </c>
      <c r="J708" s="5">
        <v>15.5</v>
      </c>
      <c r="K708" s="5"/>
      <c r="L708" s="5" t="s">
        <v>279</v>
      </c>
      <c r="M708" s="5"/>
    </row>
    <row r="709" ht="14.25" customHeight="1">
      <c r="A709" s="5">
        <v>776.0</v>
      </c>
      <c r="B709" s="5">
        <v>0.0</v>
      </c>
      <c r="C709" s="5">
        <v>3.0</v>
      </c>
      <c r="D709" s="5" t="s">
        <v>1000</v>
      </c>
      <c r="E709" s="5" t="s">
        <v>18</v>
      </c>
      <c r="F709" s="5">
        <v>18.0</v>
      </c>
      <c r="G709" s="5">
        <v>0.0</v>
      </c>
      <c r="H709" s="5">
        <v>0.0</v>
      </c>
      <c r="I709" s="5">
        <v>347078.0</v>
      </c>
      <c r="J709" s="5">
        <v>7.75</v>
      </c>
      <c r="K709" s="5"/>
      <c r="L709" s="5" t="s">
        <v>16</v>
      </c>
      <c r="M709" s="5"/>
    </row>
    <row r="710" ht="14.25" customHeight="1">
      <c r="A710" s="5">
        <v>288.0</v>
      </c>
      <c r="B710" s="5">
        <v>0.0</v>
      </c>
      <c r="C710" s="5">
        <v>3.0</v>
      </c>
      <c r="D710" s="5" t="s">
        <v>1001</v>
      </c>
      <c r="E710" s="5" t="s">
        <v>18</v>
      </c>
      <c r="F710" s="5">
        <v>22.0</v>
      </c>
      <c r="G710" s="5">
        <v>0.0</v>
      </c>
      <c r="H710" s="5">
        <v>0.0</v>
      </c>
      <c r="I710" s="5">
        <v>349206.0</v>
      </c>
      <c r="J710" s="5">
        <v>7.8958</v>
      </c>
      <c r="K710" s="5"/>
      <c r="L710" s="5" t="s">
        <v>16</v>
      </c>
      <c r="M710" s="5"/>
    </row>
    <row r="711" ht="14.25" customHeight="1">
      <c r="A711" s="5">
        <v>876.0</v>
      </c>
      <c r="B711" s="5">
        <v>1.0</v>
      </c>
      <c r="C711" s="5">
        <v>3.0</v>
      </c>
      <c r="D711" s="5" t="s">
        <v>1002</v>
      </c>
      <c r="E711" s="5" t="s">
        <v>14</v>
      </c>
      <c r="F711" s="5">
        <v>15.0</v>
      </c>
      <c r="G711" s="5">
        <v>0.0</v>
      </c>
      <c r="H711" s="5">
        <v>0.0</v>
      </c>
      <c r="I711" s="5">
        <v>2667.0</v>
      </c>
      <c r="J711" s="5">
        <v>7.225</v>
      </c>
      <c r="K711" s="5"/>
      <c r="L711" s="5" t="s">
        <v>32</v>
      </c>
      <c r="M711" s="5"/>
    </row>
    <row r="712" ht="14.25" customHeight="1">
      <c r="A712" s="5">
        <v>382.0</v>
      </c>
      <c r="B712" s="5">
        <v>1.0</v>
      </c>
      <c r="C712" s="5">
        <v>3.0</v>
      </c>
      <c r="D712" s="5" t="s">
        <v>1003</v>
      </c>
      <c r="E712" s="5" t="s">
        <v>14</v>
      </c>
      <c r="F712" s="5">
        <v>1.0</v>
      </c>
      <c r="G712" s="5">
        <v>0.0</v>
      </c>
      <c r="H712" s="5">
        <v>2.0</v>
      </c>
      <c r="I712" s="5">
        <v>2653.0</v>
      </c>
      <c r="J712" s="5">
        <v>15.7417</v>
      </c>
      <c r="K712" s="5"/>
      <c r="L712" s="5" t="s">
        <v>32</v>
      </c>
      <c r="M712" s="5"/>
    </row>
    <row r="713" ht="14.25" customHeight="1">
      <c r="A713" s="5">
        <v>623.0</v>
      </c>
      <c r="B713" s="5">
        <v>1.0</v>
      </c>
      <c r="C713" s="5">
        <v>3.0</v>
      </c>
      <c r="D713" s="5" t="s">
        <v>1004</v>
      </c>
      <c r="E713" s="5" t="s">
        <v>18</v>
      </c>
      <c r="F713" s="5">
        <v>20.0</v>
      </c>
      <c r="G713" s="5">
        <v>1.0</v>
      </c>
      <c r="H713" s="5">
        <v>1.0</v>
      </c>
      <c r="I713" s="5">
        <v>2653.0</v>
      </c>
      <c r="J713" s="5">
        <v>15.7417</v>
      </c>
      <c r="K713" s="5"/>
      <c r="L713" s="5" t="s">
        <v>32</v>
      </c>
      <c r="M713" s="5"/>
    </row>
    <row r="714" ht="14.25" customHeight="1">
      <c r="A714" s="5">
        <v>740.0</v>
      </c>
      <c r="B714" s="5">
        <v>0.0</v>
      </c>
      <c r="C714" s="5">
        <v>3.0</v>
      </c>
      <c r="D714" s="5" t="s">
        <v>1005</v>
      </c>
      <c r="E714" s="5" t="s">
        <v>18</v>
      </c>
      <c r="F714" s="5"/>
      <c r="G714" s="5">
        <v>0.0</v>
      </c>
      <c r="H714" s="5">
        <v>0.0</v>
      </c>
      <c r="I714" s="5">
        <v>349218.0</v>
      </c>
      <c r="J714" s="5">
        <v>7.8958</v>
      </c>
      <c r="K714" s="5"/>
      <c r="L714" s="5" t="s">
        <v>16</v>
      </c>
      <c r="M714" s="5"/>
    </row>
    <row r="715" ht="14.25" customHeight="1">
      <c r="A715" s="5">
        <v>224.0</v>
      </c>
      <c r="B715" s="5">
        <v>0.0</v>
      </c>
      <c r="C715" s="5">
        <v>3.0</v>
      </c>
      <c r="D715" s="5" t="s">
        <v>1006</v>
      </c>
      <c r="E715" s="5" t="s">
        <v>18</v>
      </c>
      <c r="F715" s="5"/>
      <c r="G715" s="5">
        <v>0.0</v>
      </c>
      <c r="H715" s="5">
        <v>0.0</v>
      </c>
      <c r="I715" s="5">
        <v>349234.0</v>
      </c>
      <c r="J715" s="5">
        <v>7.8958</v>
      </c>
      <c r="K715" s="5"/>
      <c r="L715" s="5" t="s">
        <v>16</v>
      </c>
      <c r="M715" s="5"/>
    </row>
    <row r="716" ht="14.25" customHeight="1">
      <c r="A716" s="5">
        <v>126.0</v>
      </c>
      <c r="B716" s="5">
        <v>1.0</v>
      </c>
      <c r="C716" s="5">
        <v>3.0</v>
      </c>
      <c r="D716" s="5" t="s">
        <v>1007</v>
      </c>
      <c r="E716" s="5" t="s">
        <v>18</v>
      </c>
      <c r="F716" s="5">
        <v>12.0</v>
      </c>
      <c r="G716" s="5">
        <v>1.0</v>
      </c>
      <c r="H716" s="5">
        <v>0.0</v>
      </c>
      <c r="I716" s="5">
        <v>2651.0</v>
      </c>
      <c r="J716" s="5">
        <v>11.2417</v>
      </c>
      <c r="K716" s="5"/>
      <c r="L716" s="5" t="s">
        <v>32</v>
      </c>
      <c r="M716" s="5"/>
    </row>
    <row r="717" ht="14.25" customHeight="1">
      <c r="A717" s="5">
        <v>40.0</v>
      </c>
      <c r="B717" s="5">
        <v>1.0</v>
      </c>
      <c r="C717" s="5">
        <v>3.0</v>
      </c>
      <c r="D717" s="5" t="s">
        <v>1008</v>
      </c>
      <c r="E717" s="5" t="s">
        <v>14</v>
      </c>
      <c r="F717" s="5">
        <v>14.0</v>
      </c>
      <c r="G717" s="5">
        <v>1.0</v>
      </c>
      <c r="H717" s="5">
        <v>0.0</v>
      </c>
      <c r="I717" s="5">
        <v>2651.0</v>
      </c>
      <c r="J717" s="5">
        <v>11.2417</v>
      </c>
      <c r="K717" s="5"/>
      <c r="L717" s="5" t="s">
        <v>32</v>
      </c>
      <c r="M717" s="5"/>
    </row>
    <row r="718" ht="14.25" customHeight="1">
      <c r="A718" s="5">
        <v>316.0</v>
      </c>
      <c r="B718" s="5">
        <v>1.0</v>
      </c>
      <c r="C718" s="5">
        <v>3.0</v>
      </c>
      <c r="D718" s="5" t="s">
        <v>1009</v>
      </c>
      <c r="E718" s="5" t="s">
        <v>14</v>
      </c>
      <c r="F718" s="5">
        <v>26.0</v>
      </c>
      <c r="G718" s="5">
        <v>0.0</v>
      </c>
      <c r="H718" s="5">
        <v>0.0</v>
      </c>
      <c r="I718" s="5">
        <v>347470.0</v>
      </c>
      <c r="J718" s="5">
        <v>7.8542</v>
      </c>
      <c r="K718" s="5"/>
      <c r="L718" s="5" t="s">
        <v>16</v>
      </c>
      <c r="M718" s="5"/>
    </row>
    <row r="719" ht="14.25" customHeight="1">
      <c r="A719" s="5">
        <v>762.0</v>
      </c>
      <c r="B719" s="5">
        <v>0.0</v>
      </c>
      <c r="C719" s="5">
        <v>3.0</v>
      </c>
      <c r="D719" s="5" t="s">
        <v>1010</v>
      </c>
      <c r="E719" s="5" t="s">
        <v>18</v>
      </c>
      <c r="F719" s="5">
        <v>41.0</v>
      </c>
      <c r="G719" s="5">
        <v>0.0</v>
      </c>
      <c r="H719" s="5">
        <v>0.0</v>
      </c>
      <c r="I719" s="5" t="s">
        <v>1011</v>
      </c>
      <c r="J719" s="5">
        <v>7.125</v>
      </c>
      <c r="K719" s="5"/>
      <c r="L719" s="5" t="s">
        <v>16</v>
      </c>
      <c r="M719" s="5"/>
    </row>
    <row r="720" ht="14.25" customHeight="1">
      <c r="A720" s="5">
        <v>401.0</v>
      </c>
      <c r="B720" s="5">
        <v>1.0</v>
      </c>
      <c r="C720" s="5">
        <v>3.0</v>
      </c>
      <c r="D720" s="5" t="s">
        <v>1012</v>
      </c>
      <c r="E720" s="5" t="s">
        <v>18</v>
      </c>
      <c r="F720" s="5">
        <v>39.0</v>
      </c>
      <c r="G720" s="5">
        <v>0.0</v>
      </c>
      <c r="H720" s="5">
        <v>0.0</v>
      </c>
      <c r="I720" s="5" t="s">
        <v>1013</v>
      </c>
      <c r="J720" s="5">
        <v>7.925</v>
      </c>
      <c r="K720" s="5"/>
      <c r="L720" s="5" t="s">
        <v>16</v>
      </c>
      <c r="M720" s="5"/>
    </row>
    <row r="721" ht="14.25" customHeight="1">
      <c r="A721" s="5">
        <v>52.0</v>
      </c>
      <c r="B721" s="5">
        <v>0.0</v>
      </c>
      <c r="C721" s="5">
        <v>3.0</v>
      </c>
      <c r="D721" s="5" t="s">
        <v>1014</v>
      </c>
      <c r="E721" s="5" t="s">
        <v>18</v>
      </c>
      <c r="F721" s="5">
        <v>21.0</v>
      </c>
      <c r="G721" s="5">
        <v>0.0</v>
      </c>
      <c r="H721" s="5">
        <v>0.0</v>
      </c>
      <c r="I721" s="5" t="s">
        <v>1015</v>
      </c>
      <c r="J721" s="5">
        <v>7.8</v>
      </c>
      <c r="K721" s="5"/>
      <c r="L721" s="5" t="s">
        <v>16</v>
      </c>
      <c r="M721" s="5"/>
    </row>
    <row r="722" ht="14.25" customHeight="1">
      <c r="A722" s="5">
        <v>58.0</v>
      </c>
      <c r="B722" s="5">
        <v>0.0</v>
      </c>
      <c r="C722" s="5">
        <v>3.0</v>
      </c>
      <c r="D722" s="5" t="s">
        <v>1016</v>
      </c>
      <c r="E722" s="5" t="s">
        <v>18</v>
      </c>
      <c r="F722" s="5">
        <v>28.5</v>
      </c>
      <c r="G722" s="5">
        <v>0.0</v>
      </c>
      <c r="H722" s="5">
        <v>0.0</v>
      </c>
      <c r="I722" s="5">
        <v>2697.0</v>
      </c>
      <c r="J722" s="5">
        <v>7.2292</v>
      </c>
      <c r="K722" s="5"/>
      <c r="L722" s="5" t="s">
        <v>32</v>
      </c>
      <c r="M722" s="5"/>
    </row>
    <row r="723" ht="14.25" customHeight="1">
      <c r="A723" s="5">
        <v>142.0</v>
      </c>
      <c r="B723" s="5">
        <v>1.0</v>
      </c>
      <c r="C723" s="5">
        <v>3.0</v>
      </c>
      <c r="D723" s="5" t="s">
        <v>1017</v>
      </c>
      <c r="E723" s="5" t="s">
        <v>14</v>
      </c>
      <c r="F723" s="5">
        <v>22.0</v>
      </c>
      <c r="G723" s="5">
        <v>0.0</v>
      </c>
      <c r="H723" s="5">
        <v>0.0</v>
      </c>
      <c r="I723" s="5">
        <v>347081.0</v>
      </c>
      <c r="J723" s="5">
        <v>7.75</v>
      </c>
      <c r="K723" s="5"/>
      <c r="L723" s="5" t="s">
        <v>16</v>
      </c>
      <c r="M723" s="5"/>
    </row>
    <row r="724" ht="14.25" customHeight="1">
      <c r="A724" s="5">
        <v>327.0</v>
      </c>
      <c r="B724" s="5">
        <v>0.0</v>
      </c>
      <c r="C724" s="5">
        <v>3.0</v>
      </c>
      <c r="D724" s="5" t="s">
        <v>1018</v>
      </c>
      <c r="E724" s="5" t="s">
        <v>18</v>
      </c>
      <c r="F724" s="5">
        <v>61.0</v>
      </c>
      <c r="G724" s="5">
        <v>0.0</v>
      </c>
      <c r="H724" s="5">
        <v>0.0</v>
      </c>
      <c r="I724" s="5">
        <v>345364.0</v>
      </c>
      <c r="J724" s="5">
        <v>6.2375</v>
      </c>
      <c r="K724" s="5"/>
      <c r="L724" s="5" t="s">
        <v>16</v>
      </c>
      <c r="M724" s="5"/>
    </row>
    <row r="725" ht="14.25" customHeight="1">
      <c r="A725" s="5">
        <v>365.0</v>
      </c>
      <c r="B725" s="5">
        <v>0.0</v>
      </c>
      <c r="C725" s="5">
        <v>3.0</v>
      </c>
      <c r="D725" s="5" t="s">
        <v>1019</v>
      </c>
      <c r="E725" s="5" t="s">
        <v>18</v>
      </c>
      <c r="F725" s="5"/>
      <c r="G725" s="5">
        <v>1.0</v>
      </c>
      <c r="H725" s="5">
        <v>0.0</v>
      </c>
      <c r="I725" s="5">
        <v>370365.0</v>
      </c>
      <c r="J725" s="5">
        <v>15.5</v>
      </c>
      <c r="K725" s="5"/>
      <c r="L725" s="5" t="s">
        <v>279</v>
      </c>
      <c r="M725" s="5"/>
    </row>
    <row r="726" ht="14.25" customHeight="1">
      <c r="A726" s="5">
        <v>553.0</v>
      </c>
      <c r="B726" s="5">
        <v>0.0</v>
      </c>
      <c r="C726" s="5">
        <v>3.0</v>
      </c>
      <c r="D726" s="5" t="s">
        <v>1020</v>
      </c>
      <c r="E726" s="5" t="s">
        <v>18</v>
      </c>
      <c r="F726" s="5"/>
      <c r="G726" s="5">
        <v>0.0</v>
      </c>
      <c r="H726" s="5">
        <v>0.0</v>
      </c>
      <c r="I726" s="5">
        <v>330979.0</v>
      </c>
      <c r="J726" s="5">
        <v>7.8292</v>
      </c>
      <c r="K726" s="5"/>
      <c r="L726" s="5" t="s">
        <v>279</v>
      </c>
      <c r="M726" s="5"/>
    </row>
    <row r="727" ht="14.25" customHeight="1">
      <c r="A727" s="5">
        <v>187.0</v>
      </c>
      <c r="B727" s="5">
        <v>1.0</v>
      </c>
      <c r="C727" s="5">
        <v>3.0</v>
      </c>
      <c r="D727" s="5" t="s">
        <v>1021</v>
      </c>
      <c r="E727" s="5" t="s">
        <v>14</v>
      </c>
      <c r="F727" s="5"/>
      <c r="G727" s="5">
        <v>1.0</v>
      </c>
      <c r="H727" s="5">
        <v>0.0</v>
      </c>
      <c r="I727" s="5">
        <v>370365.0</v>
      </c>
      <c r="J727" s="5">
        <v>15.5</v>
      </c>
      <c r="K727" s="5"/>
      <c r="L727" s="5" t="s">
        <v>279</v>
      </c>
      <c r="M727" s="5"/>
    </row>
    <row r="728" ht="14.25" customHeight="1">
      <c r="A728" s="5">
        <v>630.0</v>
      </c>
      <c r="B728" s="5">
        <v>0.0</v>
      </c>
      <c r="C728" s="5">
        <v>3.0</v>
      </c>
      <c r="D728" s="5" t="s">
        <v>1022</v>
      </c>
      <c r="E728" s="5" t="s">
        <v>18</v>
      </c>
      <c r="F728" s="5"/>
      <c r="G728" s="5">
        <v>0.0</v>
      </c>
      <c r="H728" s="5">
        <v>0.0</v>
      </c>
      <c r="I728" s="5">
        <v>334912.0</v>
      </c>
      <c r="J728" s="5">
        <v>7.7333</v>
      </c>
      <c r="K728" s="5"/>
      <c r="L728" s="5" t="s">
        <v>279</v>
      </c>
      <c r="M728" s="5"/>
    </row>
    <row r="729" ht="14.25" customHeight="1">
      <c r="A729" s="5">
        <v>460.0</v>
      </c>
      <c r="B729" s="5">
        <v>0.0</v>
      </c>
      <c r="C729" s="5">
        <v>3.0</v>
      </c>
      <c r="D729" s="5" t="s">
        <v>1023</v>
      </c>
      <c r="E729" s="5" t="s">
        <v>18</v>
      </c>
      <c r="F729" s="5"/>
      <c r="G729" s="5">
        <v>0.0</v>
      </c>
      <c r="H729" s="5">
        <v>0.0</v>
      </c>
      <c r="I729" s="5">
        <v>371060.0</v>
      </c>
      <c r="J729" s="5">
        <v>7.75</v>
      </c>
      <c r="K729" s="5"/>
      <c r="L729" s="5" t="s">
        <v>279</v>
      </c>
      <c r="M729" s="5"/>
    </row>
    <row r="730" ht="14.25" customHeight="1">
      <c r="A730" s="5">
        <v>351.0</v>
      </c>
      <c r="B730" s="5">
        <v>0.0</v>
      </c>
      <c r="C730" s="5">
        <v>3.0</v>
      </c>
      <c r="D730" s="5" t="s">
        <v>1024</v>
      </c>
      <c r="E730" s="5" t="s">
        <v>18</v>
      </c>
      <c r="F730" s="5">
        <v>23.0</v>
      </c>
      <c r="G730" s="5">
        <v>0.0</v>
      </c>
      <c r="H730" s="5">
        <v>0.0</v>
      </c>
      <c r="I730" s="5">
        <v>7267.0</v>
      </c>
      <c r="J730" s="5">
        <v>9.225</v>
      </c>
      <c r="K730" s="5"/>
      <c r="L730" s="5" t="s">
        <v>16</v>
      </c>
      <c r="M730" s="5"/>
    </row>
    <row r="731" ht="14.25" customHeight="1">
      <c r="A731" s="5">
        <v>48.0</v>
      </c>
      <c r="B731" s="5">
        <v>1.0</v>
      </c>
      <c r="C731" s="5">
        <v>3.0</v>
      </c>
      <c r="D731" s="5" t="s">
        <v>1025</v>
      </c>
      <c r="E731" s="5" t="s">
        <v>14</v>
      </c>
      <c r="F731" s="5"/>
      <c r="G731" s="5">
        <v>0.0</v>
      </c>
      <c r="H731" s="5">
        <v>0.0</v>
      </c>
      <c r="I731" s="5">
        <v>14311.0</v>
      </c>
      <c r="J731" s="5">
        <v>7.75</v>
      </c>
      <c r="K731" s="5"/>
      <c r="L731" s="5" t="s">
        <v>279</v>
      </c>
      <c r="M731" s="5"/>
    </row>
    <row r="732" ht="14.25" customHeight="1">
      <c r="A732" s="5">
        <v>29.0</v>
      </c>
      <c r="B732" s="5">
        <v>1.0</v>
      </c>
      <c r="C732" s="5">
        <v>3.0</v>
      </c>
      <c r="D732" s="5" t="s">
        <v>1026</v>
      </c>
      <c r="E732" s="5" t="s">
        <v>14</v>
      </c>
      <c r="F732" s="5"/>
      <c r="G732" s="5">
        <v>0.0</v>
      </c>
      <c r="H732" s="5">
        <v>0.0</v>
      </c>
      <c r="I732" s="5">
        <v>330959.0</v>
      </c>
      <c r="J732" s="5">
        <v>7.8792</v>
      </c>
      <c r="K732" s="5"/>
      <c r="L732" s="5" t="s">
        <v>279</v>
      </c>
      <c r="M732" s="5"/>
    </row>
    <row r="733" ht="14.25" customHeight="1">
      <c r="A733" s="5">
        <v>555.0</v>
      </c>
      <c r="B733" s="5">
        <v>1.0</v>
      </c>
      <c r="C733" s="5">
        <v>3.0</v>
      </c>
      <c r="D733" s="5" t="s">
        <v>1027</v>
      </c>
      <c r="E733" s="5" t="s">
        <v>14</v>
      </c>
      <c r="F733" s="5">
        <v>22.0</v>
      </c>
      <c r="G733" s="5">
        <v>0.0</v>
      </c>
      <c r="H733" s="5">
        <v>0.0</v>
      </c>
      <c r="I733" s="5">
        <v>347085.0</v>
      </c>
      <c r="J733" s="5">
        <v>7.775</v>
      </c>
      <c r="K733" s="5"/>
      <c r="L733" s="5" t="s">
        <v>16</v>
      </c>
      <c r="M733" s="5"/>
    </row>
    <row r="734" ht="14.25" customHeight="1">
      <c r="A734" s="5">
        <v>654.0</v>
      </c>
      <c r="B734" s="5">
        <v>1.0</v>
      </c>
      <c r="C734" s="5">
        <v>3.0</v>
      </c>
      <c r="D734" s="5" t="s">
        <v>1028</v>
      </c>
      <c r="E734" s="5" t="s">
        <v>14</v>
      </c>
      <c r="F734" s="5"/>
      <c r="G734" s="5">
        <v>0.0</v>
      </c>
      <c r="H734" s="5">
        <v>0.0</v>
      </c>
      <c r="I734" s="5">
        <v>330919.0</v>
      </c>
      <c r="J734" s="5">
        <v>7.8292</v>
      </c>
      <c r="K734" s="5"/>
      <c r="L734" s="5" t="s">
        <v>279</v>
      </c>
      <c r="M734" s="5"/>
    </row>
    <row r="735" ht="14.25" customHeight="1">
      <c r="A735" s="5">
        <v>509.0</v>
      </c>
      <c r="B735" s="5">
        <v>0.0</v>
      </c>
      <c r="C735" s="5">
        <v>3.0</v>
      </c>
      <c r="D735" s="5" t="s">
        <v>1029</v>
      </c>
      <c r="E735" s="5" t="s">
        <v>18</v>
      </c>
      <c r="F735" s="5">
        <v>28.0</v>
      </c>
      <c r="G735" s="5">
        <v>0.0</v>
      </c>
      <c r="H735" s="5">
        <v>0.0</v>
      </c>
      <c r="I735" s="5" t="s">
        <v>1030</v>
      </c>
      <c r="J735" s="5">
        <v>22.525</v>
      </c>
      <c r="K735" s="5"/>
      <c r="L735" s="5" t="s">
        <v>16</v>
      </c>
      <c r="M735" s="5"/>
    </row>
    <row r="736" ht="14.25" customHeight="1">
      <c r="A736" s="5">
        <v>198.0</v>
      </c>
      <c r="B736" s="5">
        <v>0.0</v>
      </c>
      <c r="C736" s="5">
        <v>3.0</v>
      </c>
      <c r="D736" s="5" t="s">
        <v>1031</v>
      </c>
      <c r="E736" s="5" t="s">
        <v>18</v>
      </c>
      <c r="F736" s="5">
        <v>42.0</v>
      </c>
      <c r="G736" s="5">
        <v>0.0</v>
      </c>
      <c r="H736" s="5">
        <v>1.0</v>
      </c>
      <c r="I736" s="5">
        <v>4579.0</v>
      </c>
      <c r="J736" s="5">
        <v>8.4042</v>
      </c>
      <c r="K736" s="5"/>
      <c r="L736" s="5" t="s">
        <v>16</v>
      </c>
      <c r="M736" s="5"/>
    </row>
    <row r="737" ht="14.25" customHeight="1">
      <c r="A737" s="5">
        <v>155.0</v>
      </c>
      <c r="B737" s="5">
        <v>0.0</v>
      </c>
      <c r="C737" s="5">
        <v>3.0</v>
      </c>
      <c r="D737" s="5" t="s">
        <v>1032</v>
      </c>
      <c r="E737" s="5" t="s">
        <v>18</v>
      </c>
      <c r="F737" s="5"/>
      <c r="G737" s="5">
        <v>0.0</v>
      </c>
      <c r="H737" s="5">
        <v>0.0</v>
      </c>
      <c r="I737" s="5" t="s">
        <v>1033</v>
      </c>
      <c r="J737" s="5">
        <v>7.3125</v>
      </c>
      <c r="K737" s="5"/>
      <c r="L737" s="5" t="s">
        <v>16</v>
      </c>
      <c r="M737" s="5"/>
    </row>
    <row r="738" ht="14.25" customHeight="1">
      <c r="A738" s="5">
        <v>397.0</v>
      </c>
      <c r="B738" s="5">
        <v>0.0</v>
      </c>
      <c r="C738" s="5">
        <v>3.0</v>
      </c>
      <c r="D738" s="5" t="s">
        <v>1034</v>
      </c>
      <c r="E738" s="5" t="s">
        <v>14</v>
      </c>
      <c r="F738" s="5">
        <v>31.0</v>
      </c>
      <c r="G738" s="5">
        <v>0.0</v>
      </c>
      <c r="H738" s="5">
        <v>0.0</v>
      </c>
      <c r="I738" s="5">
        <v>350407.0</v>
      </c>
      <c r="J738" s="5">
        <v>7.8542</v>
      </c>
      <c r="K738" s="5"/>
      <c r="L738" s="5" t="s">
        <v>16</v>
      </c>
      <c r="M738" s="5"/>
    </row>
    <row r="739" ht="14.25" customHeight="1">
      <c r="A739" s="5">
        <v>282.0</v>
      </c>
      <c r="B739" s="5">
        <v>0.0</v>
      </c>
      <c r="C739" s="5">
        <v>3.0</v>
      </c>
      <c r="D739" s="5" t="s">
        <v>1035</v>
      </c>
      <c r="E739" s="5" t="s">
        <v>18</v>
      </c>
      <c r="F739" s="5">
        <v>28.0</v>
      </c>
      <c r="G739" s="5">
        <v>0.0</v>
      </c>
      <c r="H739" s="5">
        <v>0.0</v>
      </c>
      <c r="I739" s="5">
        <v>347464.0</v>
      </c>
      <c r="J739" s="5">
        <v>7.8542</v>
      </c>
      <c r="K739" s="5"/>
      <c r="L739" s="5" t="s">
        <v>16</v>
      </c>
      <c r="M739" s="5"/>
    </row>
    <row r="740" ht="14.25" customHeight="1">
      <c r="A740" s="5">
        <v>683.0</v>
      </c>
      <c r="B740" s="5">
        <v>0.0</v>
      </c>
      <c r="C740" s="5">
        <v>3.0</v>
      </c>
      <c r="D740" s="5" t="s">
        <v>1036</v>
      </c>
      <c r="E740" s="5" t="s">
        <v>18</v>
      </c>
      <c r="F740" s="5">
        <v>20.0</v>
      </c>
      <c r="G740" s="5">
        <v>0.0</v>
      </c>
      <c r="H740" s="5">
        <v>0.0</v>
      </c>
      <c r="I740" s="5">
        <v>6563.0</v>
      </c>
      <c r="J740" s="5">
        <v>9.225</v>
      </c>
      <c r="K740" s="5"/>
      <c r="L740" s="5" t="s">
        <v>16</v>
      </c>
      <c r="M740" s="5"/>
    </row>
    <row r="741" ht="14.25" customHeight="1">
      <c r="A741" s="5">
        <v>405.0</v>
      </c>
      <c r="B741" s="5">
        <v>0.0</v>
      </c>
      <c r="C741" s="5">
        <v>3.0</v>
      </c>
      <c r="D741" s="5" t="s">
        <v>1037</v>
      </c>
      <c r="E741" s="5" t="s">
        <v>14</v>
      </c>
      <c r="F741" s="5">
        <v>20.0</v>
      </c>
      <c r="G741" s="5">
        <v>0.0</v>
      </c>
      <c r="H741" s="5">
        <v>0.0</v>
      </c>
      <c r="I741" s="5">
        <v>315096.0</v>
      </c>
      <c r="J741" s="5">
        <v>8.6625</v>
      </c>
      <c r="K741" s="5"/>
      <c r="L741" s="5" t="s">
        <v>16</v>
      </c>
      <c r="M741" s="5"/>
    </row>
    <row r="742" ht="14.25" customHeight="1">
      <c r="A742" s="5">
        <v>726.0</v>
      </c>
      <c r="B742" s="5">
        <v>0.0</v>
      </c>
      <c r="C742" s="5">
        <v>3.0</v>
      </c>
      <c r="D742" s="5" t="s">
        <v>1038</v>
      </c>
      <c r="E742" s="5" t="s">
        <v>18</v>
      </c>
      <c r="F742" s="5">
        <v>20.0</v>
      </c>
      <c r="G742" s="5">
        <v>0.0</v>
      </c>
      <c r="H742" s="5">
        <v>0.0</v>
      </c>
      <c r="I742" s="5">
        <v>315094.0</v>
      </c>
      <c r="J742" s="5">
        <v>8.6625</v>
      </c>
      <c r="K742" s="5"/>
      <c r="L742" s="5" t="s">
        <v>16</v>
      </c>
      <c r="M742" s="5"/>
    </row>
    <row r="743" ht="14.25" customHeight="1">
      <c r="A743" s="5">
        <v>139.0</v>
      </c>
      <c r="B743" s="5">
        <v>0.0</v>
      </c>
      <c r="C743" s="5">
        <v>3.0</v>
      </c>
      <c r="D743" s="5" t="s">
        <v>1039</v>
      </c>
      <c r="E743" s="5" t="s">
        <v>18</v>
      </c>
      <c r="F743" s="5">
        <v>16.0</v>
      </c>
      <c r="G743" s="5">
        <v>0.0</v>
      </c>
      <c r="H743" s="5">
        <v>0.0</v>
      </c>
      <c r="I743" s="5">
        <v>7534.0</v>
      </c>
      <c r="J743" s="5">
        <v>9.2167</v>
      </c>
      <c r="K743" s="5"/>
      <c r="L743" s="5" t="s">
        <v>16</v>
      </c>
      <c r="M743" s="5"/>
    </row>
    <row r="744" ht="14.25" customHeight="1">
      <c r="A744" s="5">
        <v>798.0</v>
      </c>
      <c r="B744" s="5">
        <v>1.0</v>
      </c>
      <c r="C744" s="5">
        <v>3.0</v>
      </c>
      <c r="D744" s="5" t="s">
        <v>1040</v>
      </c>
      <c r="E744" s="5" t="s">
        <v>14</v>
      </c>
      <c r="F744" s="5">
        <v>31.0</v>
      </c>
      <c r="G744" s="5">
        <v>0.0</v>
      </c>
      <c r="H744" s="5">
        <v>0.0</v>
      </c>
      <c r="I744" s="5">
        <v>349244.0</v>
      </c>
      <c r="J744" s="5">
        <v>8.6833</v>
      </c>
      <c r="K744" s="5"/>
      <c r="L744" s="5" t="s">
        <v>16</v>
      </c>
      <c r="M744" s="5"/>
    </row>
    <row r="745" ht="14.25" customHeight="1">
      <c r="A745" s="5">
        <v>503.0</v>
      </c>
      <c r="B745" s="5">
        <v>0.0</v>
      </c>
      <c r="C745" s="5">
        <v>3.0</v>
      </c>
      <c r="D745" s="5" t="s">
        <v>1041</v>
      </c>
      <c r="E745" s="5" t="s">
        <v>14</v>
      </c>
      <c r="F745" s="5"/>
      <c r="G745" s="5">
        <v>0.0</v>
      </c>
      <c r="H745" s="5">
        <v>0.0</v>
      </c>
      <c r="I745" s="5">
        <v>330909.0</v>
      </c>
      <c r="J745" s="5">
        <v>7.6292</v>
      </c>
      <c r="K745" s="5"/>
      <c r="L745" s="5" t="s">
        <v>279</v>
      </c>
      <c r="M745" s="5"/>
    </row>
    <row r="746" ht="14.25" customHeight="1">
      <c r="A746" s="5">
        <v>8.0</v>
      </c>
      <c r="B746" s="5">
        <v>0.0</v>
      </c>
      <c r="C746" s="5">
        <v>3.0</v>
      </c>
      <c r="D746" s="5" t="s">
        <v>1042</v>
      </c>
      <c r="E746" s="5" t="s">
        <v>18</v>
      </c>
      <c r="F746" s="5">
        <v>2.0</v>
      </c>
      <c r="G746" s="5">
        <v>3.0</v>
      </c>
      <c r="H746" s="5">
        <v>1.0</v>
      </c>
      <c r="I746" s="5">
        <v>349909.0</v>
      </c>
      <c r="J746" s="5">
        <v>21.075</v>
      </c>
      <c r="K746" s="5"/>
      <c r="L746" s="5" t="s">
        <v>16</v>
      </c>
      <c r="M746" s="5"/>
    </row>
    <row r="747" ht="14.25" customHeight="1">
      <c r="A747" s="5">
        <v>375.0</v>
      </c>
      <c r="B747" s="5">
        <v>0.0</v>
      </c>
      <c r="C747" s="5">
        <v>3.0</v>
      </c>
      <c r="D747" s="5" t="s">
        <v>1043</v>
      </c>
      <c r="E747" s="5" t="s">
        <v>14</v>
      </c>
      <c r="F747" s="5">
        <v>3.0</v>
      </c>
      <c r="G747" s="5">
        <v>3.0</v>
      </c>
      <c r="H747" s="5">
        <v>1.0</v>
      </c>
      <c r="I747" s="5">
        <v>349909.0</v>
      </c>
      <c r="J747" s="5">
        <v>21.075</v>
      </c>
      <c r="K747" s="5"/>
      <c r="L747" s="5" t="s">
        <v>16</v>
      </c>
      <c r="M747" s="5"/>
    </row>
    <row r="748" ht="14.25" customHeight="1">
      <c r="A748" s="5">
        <v>25.0</v>
      </c>
      <c r="B748" s="5">
        <v>0.0</v>
      </c>
      <c r="C748" s="5">
        <v>3.0</v>
      </c>
      <c r="D748" s="5" t="s">
        <v>1044</v>
      </c>
      <c r="E748" s="5" t="s">
        <v>14</v>
      </c>
      <c r="F748" s="5">
        <v>8.0</v>
      </c>
      <c r="G748" s="5">
        <v>3.0</v>
      </c>
      <c r="H748" s="5">
        <v>1.0</v>
      </c>
      <c r="I748" s="5">
        <v>349909.0</v>
      </c>
      <c r="J748" s="5">
        <v>21.075</v>
      </c>
      <c r="K748" s="5"/>
      <c r="L748" s="5" t="s">
        <v>16</v>
      </c>
      <c r="M748" s="5"/>
    </row>
    <row r="749" ht="14.25" customHeight="1">
      <c r="A749" s="5">
        <v>568.0</v>
      </c>
      <c r="B749" s="5">
        <v>0.0</v>
      </c>
      <c r="C749" s="5">
        <v>3.0</v>
      </c>
      <c r="D749" s="5" t="s">
        <v>1045</v>
      </c>
      <c r="E749" s="5" t="s">
        <v>14</v>
      </c>
      <c r="F749" s="5">
        <v>29.0</v>
      </c>
      <c r="G749" s="5">
        <v>0.0</v>
      </c>
      <c r="H749" s="5">
        <v>4.0</v>
      </c>
      <c r="I749" s="5">
        <v>349909.0</v>
      </c>
      <c r="J749" s="5">
        <v>21.075</v>
      </c>
      <c r="K749" s="5"/>
      <c r="L749" s="5" t="s">
        <v>16</v>
      </c>
      <c r="M749" s="5"/>
    </row>
    <row r="750" ht="14.25" customHeight="1">
      <c r="A750" s="5">
        <v>165.0</v>
      </c>
      <c r="B750" s="5">
        <v>0.0</v>
      </c>
      <c r="C750" s="5">
        <v>3.0</v>
      </c>
      <c r="D750" s="5" t="s">
        <v>1046</v>
      </c>
      <c r="E750" s="5" t="s">
        <v>18</v>
      </c>
      <c r="F750" s="5">
        <v>1.0</v>
      </c>
      <c r="G750" s="5">
        <v>4.0</v>
      </c>
      <c r="H750" s="5">
        <v>1.0</v>
      </c>
      <c r="I750" s="5">
        <v>3101295.0</v>
      </c>
      <c r="J750" s="5">
        <v>39.6875</v>
      </c>
      <c r="K750" s="5"/>
      <c r="L750" s="5" t="s">
        <v>16</v>
      </c>
      <c r="M750" s="5"/>
    </row>
    <row r="751" ht="14.25" customHeight="1">
      <c r="A751" s="5">
        <v>51.0</v>
      </c>
      <c r="B751" s="5">
        <v>0.0</v>
      </c>
      <c r="C751" s="5">
        <v>3.0</v>
      </c>
      <c r="D751" s="5" t="s">
        <v>1047</v>
      </c>
      <c r="E751" s="5" t="s">
        <v>18</v>
      </c>
      <c r="F751" s="5">
        <v>7.0</v>
      </c>
      <c r="G751" s="5">
        <v>4.0</v>
      </c>
      <c r="H751" s="5">
        <v>1.0</v>
      </c>
      <c r="I751" s="5">
        <v>3101295.0</v>
      </c>
      <c r="J751" s="5">
        <v>39.6875</v>
      </c>
      <c r="K751" s="5"/>
      <c r="L751" s="5" t="s">
        <v>16</v>
      </c>
      <c r="M751" s="5"/>
    </row>
    <row r="752" ht="14.25" customHeight="1">
      <c r="A752" s="5">
        <v>825.0</v>
      </c>
      <c r="B752" s="5">
        <v>0.0</v>
      </c>
      <c r="C752" s="5">
        <v>3.0</v>
      </c>
      <c r="D752" s="5" t="s">
        <v>1048</v>
      </c>
      <c r="E752" s="5" t="s">
        <v>18</v>
      </c>
      <c r="F752" s="5">
        <v>2.0</v>
      </c>
      <c r="G752" s="5">
        <v>4.0</v>
      </c>
      <c r="H752" s="5">
        <v>1.0</v>
      </c>
      <c r="I752" s="5">
        <v>3101295.0</v>
      </c>
      <c r="J752" s="5">
        <v>39.6875</v>
      </c>
      <c r="K752" s="5"/>
      <c r="L752" s="5" t="s">
        <v>16</v>
      </c>
      <c r="M752" s="5"/>
    </row>
    <row r="753" ht="14.25" customHeight="1">
      <c r="A753" s="5">
        <v>267.0</v>
      </c>
      <c r="B753" s="5">
        <v>0.0</v>
      </c>
      <c r="C753" s="5">
        <v>3.0</v>
      </c>
      <c r="D753" s="5" t="s">
        <v>1049</v>
      </c>
      <c r="E753" s="5" t="s">
        <v>18</v>
      </c>
      <c r="F753" s="5">
        <v>16.0</v>
      </c>
      <c r="G753" s="5">
        <v>4.0</v>
      </c>
      <c r="H753" s="5">
        <v>1.0</v>
      </c>
      <c r="I753" s="5">
        <v>3101295.0</v>
      </c>
      <c r="J753" s="5">
        <v>39.6875</v>
      </c>
      <c r="K753" s="5"/>
      <c r="L753" s="5" t="s">
        <v>16</v>
      </c>
      <c r="M753" s="5"/>
    </row>
    <row r="754" ht="14.25" customHeight="1">
      <c r="A754" s="5">
        <v>687.0</v>
      </c>
      <c r="B754" s="5">
        <v>0.0</v>
      </c>
      <c r="C754" s="5">
        <v>3.0</v>
      </c>
      <c r="D754" s="5" t="s">
        <v>1050</v>
      </c>
      <c r="E754" s="5" t="s">
        <v>18</v>
      </c>
      <c r="F754" s="5">
        <v>14.0</v>
      </c>
      <c r="G754" s="5">
        <v>4.0</v>
      </c>
      <c r="H754" s="5">
        <v>1.0</v>
      </c>
      <c r="I754" s="5">
        <v>3101295.0</v>
      </c>
      <c r="J754" s="5">
        <v>39.6875</v>
      </c>
      <c r="K754" s="5"/>
      <c r="L754" s="5" t="s">
        <v>16</v>
      </c>
      <c r="M754" s="5"/>
    </row>
    <row r="755" ht="14.25" customHeight="1">
      <c r="A755" s="5">
        <v>639.0</v>
      </c>
      <c r="B755" s="5">
        <v>0.0</v>
      </c>
      <c r="C755" s="5">
        <v>3.0</v>
      </c>
      <c r="D755" s="5" t="s">
        <v>1051</v>
      </c>
      <c r="E755" s="5" t="s">
        <v>14</v>
      </c>
      <c r="F755" s="5">
        <v>41.0</v>
      </c>
      <c r="G755" s="5">
        <v>0.0</v>
      </c>
      <c r="H755" s="5">
        <v>5.0</v>
      </c>
      <c r="I755" s="5">
        <v>3101295.0</v>
      </c>
      <c r="J755" s="5">
        <v>39.6875</v>
      </c>
      <c r="K755" s="5"/>
      <c r="L755" s="5" t="s">
        <v>16</v>
      </c>
      <c r="M755" s="5"/>
    </row>
    <row r="756" ht="14.25" customHeight="1">
      <c r="A756" s="5">
        <v>837.0</v>
      </c>
      <c r="B756" s="5">
        <v>0.0</v>
      </c>
      <c r="C756" s="5">
        <v>3.0</v>
      </c>
      <c r="D756" s="5" t="s">
        <v>1052</v>
      </c>
      <c r="E756" s="5" t="s">
        <v>18</v>
      </c>
      <c r="F756" s="5">
        <v>21.0</v>
      </c>
      <c r="G756" s="5">
        <v>0.0</v>
      </c>
      <c r="H756" s="5">
        <v>0.0</v>
      </c>
      <c r="I756" s="5">
        <v>315097.0</v>
      </c>
      <c r="J756" s="5">
        <v>8.6625</v>
      </c>
      <c r="K756" s="5"/>
      <c r="L756" s="5" t="s">
        <v>16</v>
      </c>
      <c r="M756" s="5"/>
    </row>
    <row r="757" ht="14.25" customHeight="1">
      <c r="A757" s="5">
        <v>576.0</v>
      </c>
      <c r="B757" s="5">
        <v>0.0</v>
      </c>
      <c r="C757" s="5">
        <v>3.0</v>
      </c>
      <c r="D757" s="5" t="s">
        <v>1053</v>
      </c>
      <c r="E757" s="5" t="s">
        <v>18</v>
      </c>
      <c r="F757" s="5">
        <v>19.0</v>
      </c>
      <c r="G757" s="5">
        <v>0.0</v>
      </c>
      <c r="H757" s="5">
        <v>0.0</v>
      </c>
      <c r="I757" s="5">
        <v>358585.0</v>
      </c>
      <c r="J757" s="5">
        <v>14.5</v>
      </c>
      <c r="K757" s="5"/>
      <c r="L757" s="5" t="s">
        <v>16</v>
      </c>
      <c r="M757" s="5"/>
    </row>
    <row r="758" ht="14.25" customHeight="1">
      <c r="A758" s="5">
        <v>585.0</v>
      </c>
      <c r="B758" s="5">
        <v>0.0</v>
      </c>
      <c r="C758" s="5">
        <v>3.0</v>
      </c>
      <c r="D758" s="5" t="s">
        <v>1054</v>
      </c>
      <c r="E758" s="5" t="s">
        <v>18</v>
      </c>
      <c r="F758" s="5"/>
      <c r="G758" s="5">
        <v>0.0</v>
      </c>
      <c r="H758" s="5">
        <v>0.0</v>
      </c>
      <c r="I758" s="5">
        <v>3411.0</v>
      </c>
      <c r="J758" s="5">
        <v>8.7125</v>
      </c>
      <c r="K758" s="5"/>
      <c r="L758" s="5" t="s">
        <v>32</v>
      </c>
      <c r="M758" s="5"/>
    </row>
    <row r="759" ht="14.25" customHeight="1">
      <c r="A759" s="5">
        <v>520.0</v>
      </c>
      <c r="B759" s="5">
        <v>0.0</v>
      </c>
      <c r="C759" s="5">
        <v>3.0</v>
      </c>
      <c r="D759" s="5" t="s">
        <v>1055</v>
      </c>
      <c r="E759" s="5" t="s">
        <v>18</v>
      </c>
      <c r="F759" s="5">
        <v>32.0</v>
      </c>
      <c r="G759" s="5">
        <v>0.0</v>
      </c>
      <c r="H759" s="5">
        <v>0.0</v>
      </c>
      <c r="I759" s="5">
        <v>349242.0</v>
      </c>
      <c r="J759" s="5">
        <v>7.8958</v>
      </c>
      <c r="K759" s="5"/>
      <c r="L759" s="5" t="s">
        <v>16</v>
      </c>
      <c r="M759" s="5"/>
    </row>
    <row r="760" ht="14.25" customHeight="1">
      <c r="A760" s="5">
        <v>455.0</v>
      </c>
      <c r="B760" s="5">
        <v>0.0</v>
      </c>
      <c r="C760" s="5">
        <v>3.0</v>
      </c>
      <c r="D760" s="5" t="s">
        <v>1056</v>
      </c>
      <c r="E760" s="5" t="s">
        <v>18</v>
      </c>
      <c r="F760" s="5"/>
      <c r="G760" s="5">
        <v>0.0</v>
      </c>
      <c r="H760" s="5">
        <v>0.0</v>
      </c>
      <c r="I760" s="5" t="s">
        <v>1057</v>
      </c>
      <c r="J760" s="5">
        <v>8.05</v>
      </c>
      <c r="K760" s="5"/>
      <c r="L760" s="5" t="s">
        <v>16</v>
      </c>
      <c r="M760" s="5"/>
    </row>
    <row r="761" ht="14.25" customHeight="1">
      <c r="A761" s="5">
        <v>116.0</v>
      </c>
      <c r="B761" s="5">
        <v>0.0</v>
      </c>
      <c r="C761" s="5">
        <v>3.0</v>
      </c>
      <c r="D761" s="5" t="s">
        <v>1058</v>
      </c>
      <c r="E761" s="5" t="s">
        <v>18</v>
      </c>
      <c r="F761" s="5">
        <v>21.0</v>
      </c>
      <c r="G761" s="5">
        <v>0.0</v>
      </c>
      <c r="H761" s="5">
        <v>0.0</v>
      </c>
      <c r="I761" s="5" t="s">
        <v>1059</v>
      </c>
      <c r="J761" s="5">
        <v>7.925</v>
      </c>
      <c r="K761" s="5"/>
      <c r="L761" s="5" t="s">
        <v>16</v>
      </c>
      <c r="M761" s="5"/>
    </row>
    <row r="762" ht="14.25" customHeight="1">
      <c r="A762" s="5">
        <v>213.0</v>
      </c>
      <c r="B762" s="5">
        <v>0.0</v>
      </c>
      <c r="C762" s="5">
        <v>3.0</v>
      </c>
      <c r="D762" s="5" t="s">
        <v>1060</v>
      </c>
      <c r="E762" s="5" t="s">
        <v>18</v>
      </c>
      <c r="F762" s="5">
        <v>22.0</v>
      </c>
      <c r="G762" s="5">
        <v>0.0</v>
      </c>
      <c r="H762" s="5">
        <v>0.0</v>
      </c>
      <c r="I762" s="5" t="s">
        <v>1061</v>
      </c>
      <c r="J762" s="5">
        <v>7.25</v>
      </c>
      <c r="K762" s="5"/>
      <c r="L762" s="5" t="s">
        <v>16</v>
      </c>
      <c r="M762" s="5"/>
    </row>
    <row r="763" ht="14.25" customHeight="1">
      <c r="A763" s="5">
        <v>268.0</v>
      </c>
      <c r="B763" s="5">
        <v>1.0</v>
      </c>
      <c r="C763" s="5">
        <v>3.0</v>
      </c>
      <c r="D763" s="5" t="s">
        <v>1062</v>
      </c>
      <c r="E763" s="5" t="s">
        <v>18</v>
      </c>
      <c r="F763" s="5">
        <v>25.0</v>
      </c>
      <c r="G763" s="5">
        <v>1.0</v>
      </c>
      <c r="H763" s="5">
        <v>0.0</v>
      </c>
      <c r="I763" s="5">
        <v>347083.0</v>
      </c>
      <c r="J763" s="5">
        <v>7.775</v>
      </c>
      <c r="K763" s="5"/>
      <c r="L763" s="5" t="s">
        <v>16</v>
      </c>
      <c r="M763" s="5"/>
    </row>
    <row r="764" ht="14.25" customHeight="1">
      <c r="A764" s="5">
        <v>129.0</v>
      </c>
      <c r="B764" s="5">
        <v>1.0</v>
      </c>
      <c r="C764" s="5">
        <v>3.0</v>
      </c>
      <c r="D764" s="5" t="s">
        <v>1063</v>
      </c>
      <c r="E764" s="5" t="s">
        <v>14</v>
      </c>
      <c r="F764" s="5"/>
      <c r="G764" s="5">
        <v>1.0</v>
      </c>
      <c r="H764" s="5">
        <v>1.0</v>
      </c>
      <c r="I764" s="5">
        <v>2668.0</v>
      </c>
      <c r="J764" s="5">
        <v>22.3583</v>
      </c>
      <c r="K764" s="5" t="s">
        <v>1064</v>
      </c>
      <c r="L764" s="5" t="s">
        <v>32</v>
      </c>
      <c r="M764" s="5"/>
    </row>
    <row r="765" ht="14.25" customHeight="1">
      <c r="A765" s="5">
        <v>534.0</v>
      </c>
      <c r="B765" s="5">
        <v>1.0</v>
      </c>
      <c r="C765" s="5">
        <v>3.0</v>
      </c>
      <c r="D765" s="5" t="s">
        <v>1065</v>
      </c>
      <c r="E765" s="5" t="s">
        <v>14</v>
      </c>
      <c r="F765" s="5"/>
      <c r="G765" s="5">
        <v>0.0</v>
      </c>
      <c r="H765" s="5">
        <v>2.0</v>
      </c>
      <c r="I765" s="5">
        <v>2668.0</v>
      </c>
      <c r="J765" s="5">
        <v>22.3583</v>
      </c>
      <c r="K765" s="5"/>
      <c r="L765" s="5" t="s">
        <v>32</v>
      </c>
      <c r="M765" s="5"/>
    </row>
    <row r="766" ht="14.25" customHeight="1">
      <c r="A766" s="5">
        <v>681.0</v>
      </c>
      <c r="B766" s="5">
        <v>0.0</v>
      </c>
      <c r="C766" s="5">
        <v>3.0</v>
      </c>
      <c r="D766" s="5" t="s">
        <v>1066</v>
      </c>
      <c r="E766" s="5" t="s">
        <v>14</v>
      </c>
      <c r="F766" s="5"/>
      <c r="G766" s="5">
        <v>0.0</v>
      </c>
      <c r="H766" s="5">
        <v>0.0</v>
      </c>
      <c r="I766" s="5">
        <v>330935.0</v>
      </c>
      <c r="J766" s="5">
        <v>8.1375</v>
      </c>
      <c r="K766" s="5"/>
      <c r="L766" s="5" t="s">
        <v>279</v>
      </c>
      <c r="M766" s="5"/>
    </row>
    <row r="767" ht="14.25" customHeight="1">
      <c r="A767" s="5">
        <v>101.0</v>
      </c>
      <c r="B767" s="5">
        <v>0.0</v>
      </c>
      <c r="C767" s="5">
        <v>3.0</v>
      </c>
      <c r="D767" s="5" t="s">
        <v>1067</v>
      </c>
      <c r="E767" s="5" t="s">
        <v>14</v>
      </c>
      <c r="F767" s="5">
        <v>28.0</v>
      </c>
      <c r="G767" s="5">
        <v>0.0</v>
      </c>
      <c r="H767" s="5">
        <v>0.0</v>
      </c>
      <c r="I767" s="5">
        <v>349245.0</v>
      </c>
      <c r="J767" s="5">
        <v>7.8958</v>
      </c>
      <c r="K767" s="5"/>
      <c r="L767" s="5" t="s">
        <v>16</v>
      </c>
      <c r="M767" s="5"/>
    </row>
    <row r="768" ht="14.25" customHeight="1">
      <c r="A768" s="5">
        <v>878.0</v>
      </c>
      <c r="B768" s="5">
        <v>0.0</v>
      </c>
      <c r="C768" s="5">
        <v>3.0</v>
      </c>
      <c r="D768" s="5" t="s">
        <v>1068</v>
      </c>
      <c r="E768" s="5" t="s">
        <v>18</v>
      </c>
      <c r="F768" s="5">
        <v>19.0</v>
      </c>
      <c r="G768" s="5">
        <v>0.0</v>
      </c>
      <c r="H768" s="5">
        <v>0.0</v>
      </c>
      <c r="I768" s="5">
        <v>349212.0</v>
      </c>
      <c r="J768" s="5">
        <v>7.8958</v>
      </c>
      <c r="K768" s="5"/>
      <c r="L768" s="5" t="s">
        <v>16</v>
      </c>
      <c r="M768" s="5"/>
    </row>
    <row r="769" ht="14.25" customHeight="1">
      <c r="A769" s="5">
        <v>102.0</v>
      </c>
      <c r="B769" s="5">
        <v>0.0</v>
      </c>
      <c r="C769" s="5">
        <v>3.0</v>
      </c>
      <c r="D769" s="5" t="s">
        <v>1069</v>
      </c>
      <c r="E769" s="5" t="s">
        <v>18</v>
      </c>
      <c r="F769" s="5"/>
      <c r="G769" s="5">
        <v>0.0</v>
      </c>
      <c r="H769" s="5">
        <v>0.0</v>
      </c>
      <c r="I769" s="5">
        <v>349215.0</v>
      </c>
      <c r="J769" s="5">
        <v>7.8958</v>
      </c>
      <c r="K769" s="5"/>
      <c r="L769" s="5" t="s">
        <v>16</v>
      </c>
      <c r="M769" s="5"/>
    </row>
    <row r="770" ht="14.25" customHeight="1">
      <c r="A770" s="5">
        <v>443.0</v>
      </c>
      <c r="B770" s="5">
        <v>0.0</v>
      </c>
      <c r="C770" s="5">
        <v>3.0</v>
      </c>
      <c r="D770" s="5" t="s">
        <v>1070</v>
      </c>
      <c r="E770" s="5" t="s">
        <v>18</v>
      </c>
      <c r="F770" s="5">
        <v>25.0</v>
      </c>
      <c r="G770" s="5">
        <v>1.0</v>
      </c>
      <c r="H770" s="5">
        <v>0.0</v>
      </c>
      <c r="I770" s="5">
        <v>347076.0</v>
      </c>
      <c r="J770" s="5">
        <v>7.775</v>
      </c>
      <c r="K770" s="5"/>
      <c r="L770" s="5" t="s">
        <v>16</v>
      </c>
      <c r="M770" s="5"/>
    </row>
    <row r="771" ht="14.25" customHeight="1">
      <c r="A771" s="5">
        <v>808.0</v>
      </c>
      <c r="B771" s="5">
        <v>0.0</v>
      </c>
      <c r="C771" s="5">
        <v>3.0</v>
      </c>
      <c r="D771" s="5" t="s">
        <v>1071</v>
      </c>
      <c r="E771" s="5" t="s">
        <v>14</v>
      </c>
      <c r="F771" s="5">
        <v>18.0</v>
      </c>
      <c r="G771" s="5">
        <v>0.0</v>
      </c>
      <c r="H771" s="5">
        <v>0.0</v>
      </c>
      <c r="I771" s="5">
        <v>347087.0</v>
      </c>
      <c r="J771" s="5">
        <v>7.775</v>
      </c>
      <c r="K771" s="5"/>
      <c r="L771" s="5" t="s">
        <v>16</v>
      </c>
      <c r="M771" s="5"/>
    </row>
    <row r="772" ht="14.25" customHeight="1">
      <c r="A772" s="5">
        <v>430.0</v>
      </c>
      <c r="B772" s="5">
        <v>1.0</v>
      </c>
      <c r="C772" s="5">
        <v>3.0</v>
      </c>
      <c r="D772" s="5" t="s">
        <v>1072</v>
      </c>
      <c r="E772" s="5" t="s">
        <v>18</v>
      </c>
      <c r="F772" s="5">
        <v>32.0</v>
      </c>
      <c r="G772" s="5">
        <v>0.0</v>
      </c>
      <c r="H772" s="5">
        <v>0.0</v>
      </c>
      <c r="I772" s="5" t="s">
        <v>1073</v>
      </c>
      <c r="J772" s="5">
        <v>8.05</v>
      </c>
      <c r="K772" s="5" t="s">
        <v>1074</v>
      </c>
      <c r="L772" s="5" t="s">
        <v>16</v>
      </c>
      <c r="M772" s="5"/>
    </row>
    <row r="773" ht="14.25" customHeight="1">
      <c r="A773" s="5">
        <v>385.0</v>
      </c>
      <c r="B773" s="5">
        <v>0.0</v>
      </c>
      <c r="C773" s="5">
        <v>3.0</v>
      </c>
      <c r="D773" s="5" t="s">
        <v>1075</v>
      </c>
      <c r="E773" s="5" t="s">
        <v>18</v>
      </c>
      <c r="F773" s="5"/>
      <c r="G773" s="5">
        <v>0.0</v>
      </c>
      <c r="H773" s="5">
        <v>0.0</v>
      </c>
      <c r="I773" s="5">
        <v>349227.0</v>
      </c>
      <c r="J773" s="5">
        <v>7.8958</v>
      </c>
      <c r="K773" s="5"/>
      <c r="L773" s="5" t="s">
        <v>16</v>
      </c>
      <c r="M773" s="5"/>
    </row>
    <row r="774" ht="14.25" customHeight="1">
      <c r="A774" s="5">
        <v>657.0</v>
      </c>
      <c r="B774" s="5">
        <v>0.0</v>
      </c>
      <c r="C774" s="5">
        <v>3.0</v>
      </c>
      <c r="D774" s="5" t="s">
        <v>1076</v>
      </c>
      <c r="E774" s="5" t="s">
        <v>18</v>
      </c>
      <c r="F774" s="5"/>
      <c r="G774" s="5">
        <v>0.0</v>
      </c>
      <c r="H774" s="5">
        <v>0.0</v>
      </c>
      <c r="I774" s="5">
        <v>349223.0</v>
      </c>
      <c r="J774" s="5">
        <v>7.8958</v>
      </c>
      <c r="K774" s="5"/>
      <c r="L774" s="5" t="s">
        <v>16</v>
      </c>
      <c r="M774" s="5"/>
    </row>
    <row r="775" ht="14.25" customHeight="1">
      <c r="A775" s="5">
        <v>860.0</v>
      </c>
      <c r="B775" s="5">
        <v>0.0</v>
      </c>
      <c r="C775" s="5">
        <v>3.0</v>
      </c>
      <c r="D775" s="5" t="s">
        <v>1077</v>
      </c>
      <c r="E775" s="5" t="s">
        <v>18</v>
      </c>
      <c r="F775" s="5"/>
      <c r="G775" s="5">
        <v>0.0</v>
      </c>
      <c r="H775" s="5">
        <v>0.0</v>
      </c>
      <c r="I775" s="5">
        <v>2629.0</v>
      </c>
      <c r="J775" s="5">
        <v>7.2292</v>
      </c>
      <c r="K775" s="5"/>
      <c r="L775" s="5" t="s">
        <v>32</v>
      </c>
      <c r="M775" s="5"/>
    </row>
    <row r="776" ht="14.25" customHeight="1">
      <c r="A776" s="5">
        <v>251.0</v>
      </c>
      <c r="B776" s="5">
        <v>0.0</v>
      </c>
      <c r="C776" s="5">
        <v>3.0</v>
      </c>
      <c r="D776" s="5" t="s">
        <v>1078</v>
      </c>
      <c r="E776" s="5" t="s">
        <v>18</v>
      </c>
      <c r="F776" s="5"/>
      <c r="G776" s="5">
        <v>0.0</v>
      </c>
      <c r="H776" s="5">
        <v>0.0</v>
      </c>
      <c r="I776" s="5">
        <v>362316.0</v>
      </c>
      <c r="J776" s="5">
        <v>7.25</v>
      </c>
      <c r="K776" s="5"/>
      <c r="L776" s="5" t="s">
        <v>16</v>
      </c>
      <c r="M776" s="5"/>
    </row>
    <row r="777" ht="14.25" customHeight="1">
      <c r="A777" s="5">
        <v>109.0</v>
      </c>
      <c r="B777" s="5">
        <v>0.0</v>
      </c>
      <c r="C777" s="5">
        <v>3.0</v>
      </c>
      <c r="D777" s="5" t="s">
        <v>1079</v>
      </c>
      <c r="E777" s="5" t="s">
        <v>18</v>
      </c>
      <c r="F777" s="5">
        <v>38.0</v>
      </c>
      <c r="G777" s="5">
        <v>0.0</v>
      </c>
      <c r="H777" s="5">
        <v>0.0</v>
      </c>
      <c r="I777" s="5">
        <v>349249.0</v>
      </c>
      <c r="J777" s="5">
        <v>7.8958</v>
      </c>
      <c r="K777" s="5"/>
      <c r="L777" s="5" t="s">
        <v>16</v>
      </c>
      <c r="M777" s="5"/>
    </row>
    <row r="778" ht="14.25" customHeight="1">
      <c r="A778" s="5">
        <v>172.0</v>
      </c>
      <c r="B778" s="5">
        <v>0.0</v>
      </c>
      <c r="C778" s="5">
        <v>3.0</v>
      </c>
      <c r="D778" s="5" t="s">
        <v>1080</v>
      </c>
      <c r="E778" s="5" t="s">
        <v>18</v>
      </c>
      <c r="F778" s="5">
        <v>4.0</v>
      </c>
      <c r="G778" s="5">
        <v>4.0</v>
      </c>
      <c r="H778" s="5">
        <v>1.0</v>
      </c>
      <c r="I778" s="5">
        <v>382652.0</v>
      </c>
      <c r="J778" s="5">
        <v>29.125</v>
      </c>
      <c r="K778" s="5"/>
      <c r="L778" s="5" t="s">
        <v>279</v>
      </c>
      <c r="M778" s="5"/>
    </row>
    <row r="779" ht="14.25" customHeight="1">
      <c r="A779" s="5">
        <v>279.0</v>
      </c>
      <c r="B779" s="5">
        <v>0.0</v>
      </c>
      <c r="C779" s="5">
        <v>3.0</v>
      </c>
      <c r="D779" s="5" t="s">
        <v>1081</v>
      </c>
      <c r="E779" s="5" t="s">
        <v>18</v>
      </c>
      <c r="F779" s="5">
        <v>7.0</v>
      </c>
      <c r="G779" s="5">
        <v>4.0</v>
      </c>
      <c r="H779" s="5">
        <v>1.0</v>
      </c>
      <c r="I779" s="5">
        <v>382652.0</v>
      </c>
      <c r="J779" s="5">
        <v>29.125</v>
      </c>
      <c r="K779" s="5"/>
      <c r="L779" s="5" t="s">
        <v>279</v>
      </c>
      <c r="M779" s="5"/>
    </row>
    <row r="780" ht="14.25" customHeight="1">
      <c r="A780" s="5">
        <v>17.0</v>
      </c>
      <c r="B780" s="5">
        <v>0.0</v>
      </c>
      <c r="C780" s="5">
        <v>3.0</v>
      </c>
      <c r="D780" s="5" t="s">
        <v>1082</v>
      </c>
      <c r="E780" s="5" t="s">
        <v>18</v>
      </c>
      <c r="F780" s="5">
        <v>2.0</v>
      </c>
      <c r="G780" s="5">
        <v>4.0</v>
      </c>
      <c r="H780" s="5">
        <v>1.0</v>
      </c>
      <c r="I780" s="5">
        <v>382652.0</v>
      </c>
      <c r="J780" s="5">
        <v>29.125</v>
      </c>
      <c r="K780" s="5"/>
      <c r="L780" s="5" t="s">
        <v>279</v>
      </c>
      <c r="M780" s="5"/>
    </row>
    <row r="781" ht="14.25" customHeight="1">
      <c r="A781" s="5">
        <v>788.0</v>
      </c>
      <c r="B781" s="5">
        <v>0.0</v>
      </c>
      <c r="C781" s="5">
        <v>3.0</v>
      </c>
      <c r="D781" s="5" t="s">
        <v>1083</v>
      </c>
      <c r="E781" s="5" t="s">
        <v>18</v>
      </c>
      <c r="F781" s="5">
        <v>8.0</v>
      </c>
      <c r="G781" s="5">
        <v>4.0</v>
      </c>
      <c r="H781" s="5">
        <v>1.0</v>
      </c>
      <c r="I781" s="5">
        <v>382652.0</v>
      </c>
      <c r="J781" s="5">
        <v>29.125</v>
      </c>
      <c r="K781" s="5"/>
      <c r="L781" s="5" t="s">
        <v>279</v>
      </c>
      <c r="M781" s="5"/>
    </row>
    <row r="782" ht="14.25" customHeight="1">
      <c r="A782" s="5">
        <v>886.0</v>
      </c>
      <c r="B782" s="5">
        <v>0.0</v>
      </c>
      <c r="C782" s="5">
        <v>3.0</v>
      </c>
      <c r="D782" s="5" t="s">
        <v>1084</v>
      </c>
      <c r="E782" s="5" t="s">
        <v>14</v>
      </c>
      <c r="F782" s="5">
        <v>39.0</v>
      </c>
      <c r="G782" s="5">
        <v>0.0</v>
      </c>
      <c r="H782" s="5">
        <v>5.0</v>
      </c>
      <c r="I782" s="5">
        <v>382652.0</v>
      </c>
      <c r="J782" s="5">
        <v>29.125</v>
      </c>
      <c r="K782" s="5"/>
      <c r="L782" s="5" t="s">
        <v>279</v>
      </c>
      <c r="M782" s="5"/>
    </row>
    <row r="783" ht="14.25" customHeight="1">
      <c r="A783" s="5">
        <v>591.0</v>
      </c>
      <c r="B783" s="5">
        <v>0.0</v>
      </c>
      <c r="C783" s="5">
        <v>3.0</v>
      </c>
      <c r="D783" s="5" t="s">
        <v>1085</v>
      </c>
      <c r="E783" s="5" t="s">
        <v>18</v>
      </c>
      <c r="F783" s="5">
        <v>35.0</v>
      </c>
      <c r="G783" s="5">
        <v>0.0</v>
      </c>
      <c r="H783" s="5">
        <v>0.0</v>
      </c>
      <c r="I783" s="5" t="s">
        <v>1086</v>
      </c>
      <c r="J783" s="5">
        <v>7.125</v>
      </c>
      <c r="K783" s="5"/>
      <c r="L783" s="5" t="s">
        <v>16</v>
      </c>
      <c r="M783" s="5"/>
    </row>
    <row r="784" ht="14.25" customHeight="1">
      <c r="A784" s="5">
        <v>539.0</v>
      </c>
      <c r="B784" s="5">
        <v>0.0</v>
      </c>
      <c r="C784" s="5">
        <v>3.0</v>
      </c>
      <c r="D784" s="5" t="s">
        <v>1087</v>
      </c>
      <c r="E784" s="5" t="s">
        <v>18</v>
      </c>
      <c r="F784" s="5"/>
      <c r="G784" s="5">
        <v>0.0</v>
      </c>
      <c r="H784" s="5">
        <v>0.0</v>
      </c>
      <c r="I784" s="5">
        <v>364498.0</v>
      </c>
      <c r="J784" s="5">
        <v>14.5</v>
      </c>
      <c r="K784" s="5"/>
      <c r="L784" s="5" t="s">
        <v>16</v>
      </c>
      <c r="M784" s="5"/>
    </row>
    <row r="785" ht="14.25" customHeight="1">
      <c r="A785" s="5">
        <v>133.0</v>
      </c>
      <c r="B785" s="5">
        <v>0.0</v>
      </c>
      <c r="C785" s="5">
        <v>3.0</v>
      </c>
      <c r="D785" s="5" t="s">
        <v>1088</v>
      </c>
      <c r="E785" s="5" t="s">
        <v>14</v>
      </c>
      <c r="F785" s="5">
        <v>47.0</v>
      </c>
      <c r="G785" s="5">
        <v>1.0</v>
      </c>
      <c r="H785" s="5">
        <v>0.0</v>
      </c>
      <c r="I785" s="5" t="s">
        <v>1089</v>
      </c>
      <c r="J785" s="5">
        <v>14.5</v>
      </c>
      <c r="K785" s="5"/>
      <c r="L785" s="5" t="s">
        <v>16</v>
      </c>
      <c r="M785" s="5"/>
    </row>
    <row r="786" ht="14.25" customHeight="1">
      <c r="A786" s="5">
        <v>46.0</v>
      </c>
      <c r="B786" s="5">
        <v>0.0</v>
      </c>
      <c r="C786" s="5">
        <v>3.0</v>
      </c>
      <c r="D786" s="5" t="s">
        <v>1090</v>
      </c>
      <c r="E786" s="5" t="s">
        <v>18</v>
      </c>
      <c r="F786" s="5"/>
      <c r="G786" s="5">
        <v>0.0</v>
      </c>
      <c r="H786" s="5">
        <v>0.0</v>
      </c>
      <c r="I786" s="5" t="s">
        <v>1091</v>
      </c>
      <c r="J786" s="5">
        <v>8.05</v>
      </c>
      <c r="K786" s="5"/>
      <c r="L786" s="5" t="s">
        <v>16</v>
      </c>
      <c r="M786" s="5"/>
    </row>
    <row r="787" ht="14.25" customHeight="1">
      <c r="A787" s="5">
        <v>668.0</v>
      </c>
      <c r="B787" s="5">
        <v>0.0</v>
      </c>
      <c r="C787" s="5">
        <v>3.0</v>
      </c>
      <c r="D787" s="5" t="s">
        <v>1092</v>
      </c>
      <c r="E787" s="5" t="s">
        <v>18</v>
      </c>
      <c r="F787" s="5"/>
      <c r="G787" s="5">
        <v>0.0</v>
      </c>
      <c r="H787" s="5">
        <v>0.0</v>
      </c>
      <c r="I787" s="5">
        <v>312993.0</v>
      </c>
      <c r="J787" s="5">
        <v>7.775</v>
      </c>
      <c r="K787" s="5"/>
      <c r="L787" s="5" t="s">
        <v>16</v>
      </c>
      <c r="M787" s="5"/>
    </row>
    <row r="788" ht="14.25" customHeight="1">
      <c r="A788" s="5">
        <v>425.0</v>
      </c>
      <c r="B788" s="5">
        <v>0.0</v>
      </c>
      <c r="C788" s="5">
        <v>3.0</v>
      </c>
      <c r="D788" s="5" t="s">
        <v>1093</v>
      </c>
      <c r="E788" s="5" t="s">
        <v>18</v>
      </c>
      <c r="F788" s="5">
        <v>18.0</v>
      </c>
      <c r="G788" s="5">
        <v>1.0</v>
      </c>
      <c r="H788" s="5">
        <v>1.0</v>
      </c>
      <c r="I788" s="5">
        <v>370129.0</v>
      </c>
      <c r="J788" s="5">
        <v>20.2125</v>
      </c>
      <c r="K788" s="5"/>
      <c r="L788" s="5" t="s">
        <v>16</v>
      </c>
      <c r="M788" s="5"/>
    </row>
    <row r="789" ht="14.25" customHeight="1">
      <c r="A789" s="5">
        <v>255.0</v>
      </c>
      <c r="B789" s="5">
        <v>0.0</v>
      </c>
      <c r="C789" s="5">
        <v>3.0</v>
      </c>
      <c r="D789" s="5" t="s">
        <v>1094</v>
      </c>
      <c r="E789" s="5" t="s">
        <v>14</v>
      </c>
      <c r="F789" s="5">
        <v>41.0</v>
      </c>
      <c r="G789" s="5">
        <v>0.0</v>
      </c>
      <c r="H789" s="5">
        <v>2.0</v>
      </c>
      <c r="I789" s="5">
        <v>370129.0</v>
      </c>
      <c r="J789" s="5">
        <v>20.2125</v>
      </c>
      <c r="K789" s="5"/>
      <c r="L789" s="5" t="s">
        <v>16</v>
      </c>
      <c r="M789" s="5"/>
    </row>
    <row r="790" ht="14.25" customHeight="1">
      <c r="A790" s="5">
        <v>483.0</v>
      </c>
      <c r="B790" s="5">
        <v>0.0</v>
      </c>
      <c r="C790" s="5">
        <v>3.0</v>
      </c>
      <c r="D790" s="5" t="s">
        <v>1095</v>
      </c>
      <c r="E790" s="5" t="s">
        <v>18</v>
      </c>
      <c r="F790" s="5">
        <v>50.0</v>
      </c>
      <c r="G790" s="5">
        <v>0.0</v>
      </c>
      <c r="H790" s="5">
        <v>0.0</v>
      </c>
      <c r="I790" s="5" t="s">
        <v>1096</v>
      </c>
      <c r="J790" s="5">
        <v>8.05</v>
      </c>
      <c r="K790" s="5"/>
      <c r="L790" s="5" t="s">
        <v>16</v>
      </c>
      <c r="M790" s="5"/>
    </row>
    <row r="791" ht="14.25" customHeight="1">
      <c r="A791" s="5">
        <v>575.0</v>
      </c>
      <c r="B791" s="5">
        <v>0.0</v>
      </c>
      <c r="C791" s="5">
        <v>3.0</v>
      </c>
      <c r="D791" s="5" t="s">
        <v>1097</v>
      </c>
      <c r="E791" s="5" t="s">
        <v>18</v>
      </c>
      <c r="F791" s="5">
        <v>16.0</v>
      </c>
      <c r="G791" s="5">
        <v>0.0</v>
      </c>
      <c r="H791" s="5">
        <v>0.0</v>
      </c>
      <c r="I791" s="5" t="s">
        <v>1098</v>
      </c>
      <c r="J791" s="5">
        <v>8.05</v>
      </c>
      <c r="K791" s="5"/>
      <c r="L791" s="5" t="s">
        <v>16</v>
      </c>
      <c r="M791" s="5"/>
    </row>
    <row r="792" ht="14.25" customHeight="1">
      <c r="A792" s="5">
        <v>518.0</v>
      </c>
      <c r="B792" s="5">
        <v>0.0</v>
      </c>
      <c r="C792" s="5">
        <v>3.0</v>
      </c>
      <c r="D792" s="5" t="s">
        <v>1099</v>
      </c>
      <c r="E792" s="5" t="s">
        <v>18</v>
      </c>
      <c r="F792" s="5"/>
      <c r="G792" s="5">
        <v>0.0</v>
      </c>
      <c r="H792" s="5">
        <v>0.0</v>
      </c>
      <c r="I792" s="5">
        <v>371110.0</v>
      </c>
      <c r="J792" s="5">
        <v>24.15</v>
      </c>
      <c r="K792" s="5"/>
      <c r="L792" s="5" t="s">
        <v>279</v>
      </c>
      <c r="M792" s="5"/>
    </row>
    <row r="793" ht="14.25" customHeight="1">
      <c r="A793" s="5">
        <v>833.0</v>
      </c>
      <c r="B793" s="5">
        <v>0.0</v>
      </c>
      <c r="C793" s="5">
        <v>3.0</v>
      </c>
      <c r="D793" s="5" t="s">
        <v>1100</v>
      </c>
      <c r="E793" s="5" t="s">
        <v>18</v>
      </c>
      <c r="F793" s="5"/>
      <c r="G793" s="5">
        <v>0.0</v>
      </c>
      <c r="H793" s="5">
        <v>0.0</v>
      </c>
      <c r="I793" s="5">
        <v>2671.0</v>
      </c>
      <c r="J793" s="5">
        <v>7.2292</v>
      </c>
      <c r="K793" s="5"/>
      <c r="L793" s="5" t="s">
        <v>32</v>
      </c>
      <c r="M793" s="5"/>
    </row>
    <row r="794" ht="14.25" customHeight="1">
      <c r="A794" s="5">
        <v>694.0</v>
      </c>
      <c r="B794" s="5">
        <v>0.0</v>
      </c>
      <c r="C794" s="5">
        <v>3.0</v>
      </c>
      <c r="D794" s="5" t="s">
        <v>1101</v>
      </c>
      <c r="E794" s="5" t="s">
        <v>18</v>
      </c>
      <c r="F794" s="5">
        <v>25.0</v>
      </c>
      <c r="G794" s="5">
        <v>0.0</v>
      </c>
      <c r="H794" s="5">
        <v>0.0</v>
      </c>
      <c r="I794" s="5">
        <v>2672.0</v>
      </c>
      <c r="J794" s="5">
        <v>7.225</v>
      </c>
      <c r="K794" s="5"/>
      <c r="L794" s="5" t="s">
        <v>32</v>
      </c>
      <c r="M794" s="5"/>
    </row>
    <row r="795" ht="14.25" customHeight="1">
      <c r="A795" s="5">
        <v>389.0</v>
      </c>
      <c r="B795" s="5">
        <v>0.0</v>
      </c>
      <c r="C795" s="5">
        <v>3.0</v>
      </c>
      <c r="D795" s="5" t="s">
        <v>1102</v>
      </c>
      <c r="E795" s="5" t="s">
        <v>18</v>
      </c>
      <c r="F795" s="5"/>
      <c r="G795" s="5">
        <v>0.0</v>
      </c>
      <c r="H795" s="5">
        <v>0.0</v>
      </c>
      <c r="I795" s="5">
        <v>367655.0</v>
      </c>
      <c r="J795" s="5">
        <v>7.7292</v>
      </c>
      <c r="K795" s="5"/>
      <c r="L795" s="5" t="s">
        <v>279</v>
      </c>
      <c r="M795" s="5"/>
    </row>
    <row r="796" ht="14.25" customHeight="1">
      <c r="A796" s="5">
        <v>160.0</v>
      </c>
      <c r="B796" s="5">
        <v>0.0</v>
      </c>
      <c r="C796" s="5">
        <v>3.0</v>
      </c>
      <c r="D796" s="5" t="s">
        <v>1103</v>
      </c>
      <c r="E796" s="5" t="s">
        <v>18</v>
      </c>
      <c r="F796" s="5"/>
      <c r="G796" s="5">
        <v>8.0</v>
      </c>
      <c r="H796" s="5">
        <v>2.0</v>
      </c>
      <c r="I796" s="5" t="s">
        <v>1104</v>
      </c>
      <c r="J796" s="5">
        <v>69.55</v>
      </c>
      <c r="K796" s="5"/>
      <c r="L796" s="5" t="s">
        <v>16</v>
      </c>
      <c r="M796" s="5"/>
    </row>
    <row r="797" ht="14.25" customHeight="1">
      <c r="A797" s="5">
        <v>181.0</v>
      </c>
      <c r="B797" s="5">
        <v>0.0</v>
      </c>
      <c r="C797" s="5">
        <v>3.0</v>
      </c>
      <c r="D797" s="5" t="s">
        <v>1105</v>
      </c>
      <c r="E797" s="5" t="s">
        <v>14</v>
      </c>
      <c r="F797" s="5"/>
      <c r="G797" s="5">
        <v>8.0</v>
      </c>
      <c r="H797" s="5">
        <v>2.0</v>
      </c>
      <c r="I797" s="5" t="s">
        <v>1104</v>
      </c>
      <c r="J797" s="5">
        <v>69.55</v>
      </c>
      <c r="K797" s="5"/>
      <c r="L797" s="5" t="s">
        <v>16</v>
      </c>
      <c r="M797" s="5"/>
    </row>
    <row r="798" ht="14.25" customHeight="1">
      <c r="A798" s="5">
        <v>864.0</v>
      </c>
      <c r="B798" s="5">
        <v>0.0</v>
      </c>
      <c r="C798" s="5">
        <v>3.0</v>
      </c>
      <c r="D798" s="5" t="s">
        <v>1106</v>
      </c>
      <c r="E798" s="5" t="s">
        <v>14</v>
      </c>
      <c r="F798" s="5"/>
      <c r="G798" s="5">
        <v>8.0</v>
      </c>
      <c r="H798" s="5">
        <v>2.0</v>
      </c>
      <c r="I798" s="5" t="s">
        <v>1104</v>
      </c>
      <c r="J798" s="5">
        <v>69.55</v>
      </c>
      <c r="K798" s="5"/>
      <c r="L798" s="5" t="s">
        <v>16</v>
      </c>
      <c r="M798" s="5"/>
    </row>
    <row r="799" ht="14.25" customHeight="1">
      <c r="A799" s="5">
        <v>793.0</v>
      </c>
      <c r="B799" s="5">
        <v>0.0</v>
      </c>
      <c r="C799" s="5">
        <v>3.0</v>
      </c>
      <c r="D799" s="5" t="s">
        <v>1107</v>
      </c>
      <c r="E799" s="5" t="s">
        <v>14</v>
      </c>
      <c r="F799" s="5"/>
      <c r="G799" s="5">
        <v>8.0</v>
      </c>
      <c r="H799" s="5">
        <v>2.0</v>
      </c>
      <c r="I799" s="5" t="s">
        <v>1104</v>
      </c>
      <c r="J799" s="5">
        <v>69.55</v>
      </c>
      <c r="K799" s="5"/>
      <c r="L799" s="5" t="s">
        <v>16</v>
      </c>
      <c r="M799" s="5"/>
    </row>
    <row r="800" ht="14.25" customHeight="1">
      <c r="A800" s="5">
        <v>847.0</v>
      </c>
      <c r="B800" s="5">
        <v>0.0</v>
      </c>
      <c r="C800" s="5">
        <v>3.0</v>
      </c>
      <c r="D800" s="5" t="s">
        <v>1108</v>
      </c>
      <c r="E800" s="5" t="s">
        <v>18</v>
      </c>
      <c r="F800" s="5"/>
      <c r="G800" s="5">
        <v>8.0</v>
      </c>
      <c r="H800" s="5">
        <v>2.0</v>
      </c>
      <c r="I800" s="5" t="s">
        <v>1104</v>
      </c>
      <c r="J800" s="5">
        <v>69.55</v>
      </c>
      <c r="K800" s="5"/>
      <c r="L800" s="5" t="s">
        <v>16</v>
      </c>
      <c r="M800" s="5"/>
    </row>
    <row r="801" ht="14.25" customHeight="1">
      <c r="A801" s="5">
        <v>202.0</v>
      </c>
      <c r="B801" s="5">
        <v>0.0</v>
      </c>
      <c r="C801" s="5">
        <v>3.0</v>
      </c>
      <c r="D801" s="5" t="s">
        <v>1109</v>
      </c>
      <c r="E801" s="5" t="s">
        <v>18</v>
      </c>
      <c r="F801" s="5"/>
      <c r="G801" s="5">
        <v>8.0</v>
      </c>
      <c r="H801" s="5">
        <v>2.0</v>
      </c>
      <c r="I801" s="5" t="s">
        <v>1104</v>
      </c>
      <c r="J801" s="5">
        <v>69.55</v>
      </c>
      <c r="K801" s="5"/>
      <c r="L801" s="5" t="s">
        <v>16</v>
      </c>
      <c r="M801" s="5"/>
    </row>
    <row r="802" ht="14.25" customHeight="1">
      <c r="A802" s="5">
        <v>325.0</v>
      </c>
      <c r="B802" s="5">
        <v>0.0</v>
      </c>
      <c r="C802" s="5">
        <v>3.0</v>
      </c>
      <c r="D802" s="5" t="s">
        <v>1110</v>
      </c>
      <c r="E802" s="5" t="s">
        <v>18</v>
      </c>
      <c r="F802" s="5"/>
      <c r="G802" s="5">
        <v>8.0</v>
      </c>
      <c r="H802" s="5">
        <v>2.0</v>
      </c>
      <c r="I802" s="5" t="s">
        <v>1104</v>
      </c>
      <c r="J802" s="5">
        <v>69.55</v>
      </c>
      <c r="K802" s="5"/>
      <c r="L802" s="5" t="s">
        <v>16</v>
      </c>
      <c r="M802" s="5"/>
    </row>
    <row r="803" ht="14.25" customHeight="1">
      <c r="A803" s="5">
        <v>107.0</v>
      </c>
      <c r="B803" s="5">
        <v>1.0</v>
      </c>
      <c r="C803" s="5">
        <v>3.0</v>
      </c>
      <c r="D803" s="5" t="s">
        <v>1111</v>
      </c>
      <c r="E803" s="5" t="s">
        <v>14</v>
      </c>
      <c r="F803" s="5">
        <v>21.0</v>
      </c>
      <c r="G803" s="5">
        <v>0.0</v>
      </c>
      <c r="H803" s="5">
        <v>0.0</v>
      </c>
      <c r="I803" s="5">
        <v>343120.0</v>
      </c>
      <c r="J803" s="5">
        <v>7.65</v>
      </c>
      <c r="K803" s="5"/>
      <c r="L803" s="5" t="s">
        <v>16</v>
      </c>
      <c r="M803" s="5"/>
    </row>
    <row r="804" ht="14.25" customHeight="1">
      <c r="A804" s="5">
        <v>529.0</v>
      </c>
      <c r="B804" s="5">
        <v>0.0</v>
      </c>
      <c r="C804" s="5">
        <v>3.0</v>
      </c>
      <c r="D804" s="5" t="s">
        <v>1112</v>
      </c>
      <c r="E804" s="5" t="s">
        <v>18</v>
      </c>
      <c r="F804" s="5">
        <v>39.0</v>
      </c>
      <c r="G804" s="5">
        <v>0.0</v>
      </c>
      <c r="H804" s="5">
        <v>0.0</v>
      </c>
      <c r="I804" s="5">
        <v>3101296.0</v>
      </c>
      <c r="J804" s="5">
        <v>7.925</v>
      </c>
      <c r="K804" s="5"/>
      <c r="L804" s="5" t="s">
        <v>16</v>
      </c>
      <c r="M804" s="5"/>
    </row>
    <row r="805" ht="14.25" customHeight="1">
      <c r="A805" s="5">
        <v>49.0</v>
      </c>
      <c r="B805" s="5">
        <v>0.0</v>
      </c>
      <c r="C805" s="5">
        <v>3.0</v>
      </c>
      <c r="D805" s="5" t="s">
        <v>1113</v>
      </c>
      <c r="E805" s="5" t="s">
        <v>18</v>
      </c>
      <c r="F805" s="5"/>
      <c r="G805" s="5">
        <v>2.0</v>
      </c>
      <c r="H805" s="5">
        <v>0.0</v>
      </c>
      <c r="I805" s="5">
        <v>2662.0</v>
      </c>
      <c r="J805" s="5">
        <v>21.6792</v>
      </c>
      <c r="K805" s="5"/>
      <c r="L805" s="5" t="s">
        <v>32</v>
      </c>
      <c r="M805" s="5"/>
    </row>
    <row r="806" ht="14.25" customHeight="1">
      <c r="A806" s="5">
        <v>11.0</v>
      </c>
      <c r="B806" s="5">
        <v>1.0</v>
      </c>
      <c r="C806" s="5">
        <v>3.0</v>
      </c>
      <c r="D806" s="5" t="s">
        <v>1114</v>
      </c>
      <c r="E806" s="5" t="s">
        <v>14</v>
      </c>
      <c r="F806" s="5">
        <v>4.0</v>
      </c>
      <c r="G806" s="5">
        <v>1.0</v>
      </c>
      <c r="H806" s="5">
        <v>1.0</v>
      </c>
      <c r="I806" s="5" t="s">
        <v>1115</v>
      </c>
      <c r="J806" s="5">
        <v>16.7</v>
      </c>
      <c r="K806" s="5" t="s">
        <v>1116</v>
      </c>
      <c r="L806" s="5" t="s">
        <v>16</v>
      </c>
      <c r="M806" s="5"/>
    </row>
    <row r="807" ht="14.25" customHeight="1">
      <c r="A807" s="5">
        <v>395.0</v>
      </c>
      <c r="B807" s="5">
        <v>1.0</v>
      </c>
      <c r="C807" s="5">
        <v>3.0</v>
      </c>
      <c r="D807" s="5" t="s">
        <v>1117</v>
      </c>
      <c r="E807" s="5" t="s">
        <v>14</v>
      </c>
      <c r="F807" s="5">
        <v>24.0</v>
      </c>
      <c r="G807" s="5">
        <v>0.0</v>
      </c>
      <c r="H807" s="5">
        <v>2.0</v>
      </c>
      <c r="I807" s="5" t="s">
        <v>1115</v>
      </c>
      <c r="J807" s="5">
        <v>16.7</v>
      </c>
      <c r="K807" s="5" t="s">
        <v>1116</v>
      </c>
      <c r="L807" s="5" t="s">
        <v>16</v>
      </c>
      <c r="M807" s="5"/>
    </row>
    <row r="808" ht="14.25" customHeight="1">
      <c r="A808" s="5">
        <v>13.0</v>
      </c>
      <c r="B808" s="5">
        <v>0.0</v>
      </c>
      <c r="C808" s="5">
        <v>3.0</v>
      </c>
      <c r="D808" s="5" t="s">
        <v>1118</v>
      </c>
      <c r="E808" s="5" t="s">
        <v>18</v>
      </c>
      <c r="F808" s="5">
        <v>20.0</v>
      </c>
      <c r="G808" s="5">
        <v>0.0</v>
      </c>
      <c r="H808" s="5">
        <v>0.0</v>
      </c>
      <c r="I808" s="5" t="s">
        <v>1119</v>
      </c>
      <c r="J808" s="5">
        <v>8.05</v>
      </c>
      <c r="K808" s="5"/>
      <c r="L808" s="5" t="s">
        <v>16</v>
      </c>
      <c r="M808" s="5"/>
    </row>
    <row r="809" ht="14.25" customHeight="1">
      <c r="A809" s="5">
        <v>677.0</v>
      </c>
      <c r="B809" s="5">
        <v>0.0</v>
      </c>
      <c r="C809" s="5">
        <v>3.0</v>
      </c>
      <c r="D809" s="5" t="s">
        <v>1120</v>
      </c>
      <c r="E809" s="5" t="s">
        <v>18</v>
      </c>
      <c r="F809" s="5">
        <v>24.5</v>
      </c>
      <c r="G809" s="5">
        <v>0.0</v>
      </c>
      <c r="H809" s="5">
        <v>0.0</v>
      </c>
      <c r="I809" s="5">
        <v>342826.0</v>
      </c>
      <c r="J809" s="5">
        <v>8.05</v>
      </c>
      <c r="K809" s="5"/>
      <c r="L809" s="5" t="s">
        <v>16</v>
      </c>
      <c r="M809" s="5"/>
    </row>
    <row r="810" ht="14.25" customHeight="1">
      <c r="A810" s="5">
        <v>469.0</v>
      </c>
      <c r="B810" s="5">
        <v>0.0</v>
      </c>
      <c r="C810" s="5">
        <v>3.0</v>
      </c>
      <c r="D810" s="5" t="s">
        <v>1121</v>
      </c>
      <c r="E810" s="5" t="s">
        <v>18</v>
      </c>
      <c r="F810" s="5"/>
      <c r="G810" s="5">
        <v>0.0</v>
      </c>
      <c r="H810" s="5">
        <v>0.0</v>
      </c>
      <c r="I810" s="5">
        <v>36209.0</v>
      </c>
      <c r="J810" s="5">
        <v>7.725</v>
      </c>
      <c r="K810" s="5"/>
      <c r="L810" s="5" t="s">
        <v>279</v>
      </c>
      <c r="M810" s="5"/>
    </row>
    <row r="811" ht="14.25" customHeight="1">
      <c r="A811" s="5">
        <v>411.0</v>
      </c>
      <c r="B811" s="5">
        <v>0.0</v>
      </c>
      <c r="C811" s="5">
        <v>3.0</v>
      </c>
      <c r="D811" s="5" t="s">
        <v>1122</v>
      </c>
      <c r="E811" s="5" t="s">
        <v>18</v>
      </c>
      <c r="F811" s="5"/>
      <c r="G811" s="5">
        <v>0.0</v>
      </c>
      <c r="H811" s="5">
        <v>0.0</v>
      </c>
      <c r="I811" s="5">
        <v>349222.0</v>
      </c>
      <c r="J811" s="5">
        <v>7.8958</v>
      </c>
      <c r="K811" s="5"/>
      <c r="L811" s="5" t="s">
        <v>16</v>
      </c>
      <c r="M811" s="5"/>
    </row>
    <row r="812" ht="14.25" customHeight="1">
      <c r="A812" s="5">
        <v>82.0</v>
      </c>
      <c r="B812" s="5">
        <v>1.0</v>
      </c>
      <c r="C812" s="5">
        <v>3.0</v>
      </c>
      <c r="D812" s="5" t="s">
        <v>1123</v>
      </c>
      <c r="E812" s="5" t="s">
        <v>18</v>
      </c>
      <c r="F812" s="5">
        <v>29.0</v>
      </c>
      <c r="G812" s="5">
        <v>0.0</v>
      </c>
      <c r="H812" s="5">
        <v>0.0</v>
      </c>
      <c r="I812" s="5">
        <v>345779.0</v>
      </c>
      <c r="J812" s="5">
        <v>9.5</v>
      </c>
      <c r="K812" s="5"/>
      <c r="L812" s="5" t="s">
        <v>16</v>
      </c>
      <c r="M812" s="5"/>
    </row>
    <row r="813" ht="14.25" customHeight="1">
      <c r="A813" s="5">
        <v>498.0</v>
      </c>
      <c r="B813" s="5">
        <v>0.0</v>
      </c>
      <c r="C813" s="5">
        <v>3.0</v>
      </c>
      <c r="D813" s="5" t="s">
        <v>1124</v>
      </c>
      <c r="E813" s="5" t="s">
        <v>18</v>
      </c>
      <c r="F813" s="5"/>
      <c r="G813" s="5">
        <v>0.0</v>
      </c>
      <c r="H813" s="5">
        <v>0.0</v>
      </c>
      <c r="I813" s="5" t="s">
        <v>1125</v>
      </c>
      <c r="J813" s="5">
        <v>15.1</v>
      </c>
      <c r="K813" s="5"/>
      <c r="L813" s="5" t="s">
        <v>16</v>
      </c>
      <c r="M813" s="5"/>
    </row>
    <row r="814" ht="14.25" customHeight="1">
      <c r="A814" s="5">
        <v>96.0</v>
      </c>
      <c r="B814" s="5">
        <v>0.0</v>
      </c>
      <c r="C814" s="5">
        <v>3.0</v>
      </c>
      <c r="D814" s="5" t="s">
        <v>1126</v>
      </c>
      <c r="E814" s="5" t="s">
        <v>18</v>
      </c>
      <c r="F814" s="5"/>
      <c r="G814" s="5">
        <v>0.0</v>
      </c>
      <c r="H814" s="5">
        <v>0.0</v>
      </c>
      <c r="I814" s="5">
        <v>374910.0</v>
      </c>
      <c r="J814" s="5">
        <v>8.05</v>
      </c>
      <c r="K814" s="5"/>
      <c r="L814" s="5" t="s">
        <v>16</v>
      </c>
      <c r="M814" s="5"/>
    </row>
    <row r="815" ht="14.25" customHeight="1">
      <c r="A815" s="5">
        <v>564.0</v>
      </c>
      <c r="B815" s="5">
        <v>0.0</v>
      </c>
      <c r="C815" s="5">
        <v>3.0</v>
      </c>
      <c r="D815" s="5" t="s">
        <v>1127</v>
      </c>
      <c r="E815" s="5" t="s">
        <v>18</v>
      </c>
      <c r="F815" s="5"/>
      <c r="G815" s="5">
        <v>0.0</v>
      </c>
      <c r="H815" s="5">
        <v>0.0</v>
      </c>
      <c r="I815" s="5" t="s">
        <v>1128</v>
      </c>
      <c r="J815" s="5">
        <v>8.05</v>
      </c>
      <c r="K815" s="5"/>
      <c r="L815" s="5" t="s">
        <v>16</v>
      </c>
      <c r="M815" s="5"/>
    </row>
    <row r="816" ht="14.25" customHeight="1">
      <c r="A816" s="5">
        <v>61.0</v>
      </c>
      <c r="B816" s="5">
        <v>0.0</v>
      </c>
      <c r="C816" s="5">
        <v>3.0</v>
      </c>
      <c r="D816" s="5" t="s">
        <v>1129</v>
      </c>
      <c r="E816" s="5" t="s">
        <v>18</v>
      </c>
      <c r="F816" s="5">
        <v>22.0</v>
      </c>
      <c r="G816" s="5">
        <v>0.0</v>
      </c>
      <c r="H816" s="5">
        <v>0.0</v>
      </c>
      <c r="I816" s="5">
        <v>2669.0</v>
      </c>
      <c r="J816" s="5">
        <v>7.2292</v>
      </c>
      <c r="K816" s="5"/>
      <c r="L816" s="5" t="s">
        <v>32</v>
      </c>
      <c r="M816" s="5"/>
    </row>
    <row r="817" ht="14.25" customHeight="1">
      <c r="A817" s="5">
        <v>838.0</v>
      </c>
      <c r="B817" s="5">
        <v>0.0</v>
      </c>
      <c r="C817" s="5">
        <v>3.0</v>
      </c>
      <c r="D817" s="5" t="s">
        <v>1130</v>
      </c>
      <c r="E817" s="5" t="s">
        <v>18</v>
      </c>
      <c r="F817" s="5"/>
      <c r="G817" s="5">
        <v>0.0</v>
      </c>
      <c r="H817" s="5">
        <v>0.0</v>
      </c>
      <c r="I817" s="5">
        <v>392092.0</v>
      </c>
      <c r="J817" s="5">
        <v>8.05</v>
      </c>
      <c r="K817" s="5"/>
      <c r="L817" s="5" t="s">
        <v>16</v>
      </c>
      <c r="M817" s="5"/>
    </row>
    <row r="818" ht="14.25" customHeight="1">
      <c r="A818" s="5">
        <v>562.0</v>
      </c>
      <c r="B818" s="5">
        <v>0.0</v>
      </c>
      <c r="C818" s="5">
        <v>3.0</v>
      </c>
      <c r="D818" s="5" t="s">
        <v>1131</v>
      </c>
      <c r="E818" s="5" t="s">
        <v>18</v>
      </c>
      <c r="F818" s="5">
        <v>40.0</v>
      </c>
      <c r="G818" s="5">
        <v>0.0</v>
      </c>
      <c r="H818" s="5">
        <v>0.0</v>
      </c>
      <c r="I818" s="5">
        <v>349251.0</v>
      </c>
      <c r="J818" s="5">
        <v>7.8958</v>
      </c>
      <c r="K818" s="5"/>
      <c r="L818" s="5" t="s">
        <v>16</v>
      </c>
      <c r="M818" s="5"/>
    </row>
    <row r="819" ht="14.25" customHeight="1">
      <c r="A819" s="5">
        <v>174.0</v>
      </c>
      <c r="B819" s="5">
        <v>0.0</v>
      </c>
      <c r="C819" s="5">
        <v>3.0</v>
      </c>
      <c r="D819" s="5" t="s">
        <v>1132</v>
      </c>
      <c r="E819" s="5" t="s">
        <v>18</v>
      </c>
      <c r="F819" s="5">
        <v>21.0</v>
      </c>
      <c r="G819" s="5">
        <v>0.0</v>
      </c>
      <c r="H819" s="5">
        <v>0.0</v>
      </c>
      <c r="I819" s="5" t="s">
        <v>1133</v>
      </c>
      <c r="J819" s="5">
        <v>7.925</v>
      </c>
      <c r="K819" s="5"/>
      <c r="L819" s="5" t="s">
        <v>16</v>
      </c>
      <c r="M819" s="5"/>
    </row>
    <row r="820" ht="14.25" customHeight="1">
      <c r="A820" s="5">
        <v>787.0</v>
      </c>
      <c r="B820" s="5">
        <v>1.0</v>
      </c>
      <c r="C820" s="5">
        <v>3.0</v>
      </c>
      <c r="D820" s="5" t="s">
        <v>1134</v>
      </c>
      <c r="E820" s="5" t="s">
        <v>14</v>
      </c>
      <c r="F820" s="5">
        <v>18.0</v>
      </c>
      <c r="G820" s="5">
        <v>0.0</v>
      </c>
      <c r="H820" s="5">
        <v>0.0</v>
      </c>
      <c r="I820" s="5">
        <v>3101265.0</v>
      </c>
      <c r="J820" s="5">
        <v>7.4958</v>
      </c>
      <c r="K820" s="5"/>
      <c r="L820" s="5" t="s">
        <v>16</v>
      </c>
      <c r="M820" s="5"/>
    </row>
    <row r="821" ht="14.25" customHeight="1">
      <c r="A821" s="5">
        <v>64.0</v>
      </c>
      <c r="B821" s="5">
        <v>0.0</v>
      </c>
      <c r="C821" s="5">
        <v>3.0</v>
      </c>
      <c r="D821" s="5" t="s">
        <v>1135</v>
      </c>
      <c r="E821" s="5" t="s">
        <v>18</v>
      </c>
      <c r="F821" s="5">
        <v>4.0</v>
      </c>
      <c r="G821" s="5">
        <v>3.0</v>
      </c>
      <c r="H821" s="5">
        <v>2.0</v>
      </c>
      <c r="I821" s="5">
        <v>347088.0</v>
      </c>
      <c r="J821" s="5">
        <v>27.9</v>
      </c>
      <c r="K821" s="5"/>
      <c r="L821" s="5" t="s">
        <v>16</v>
      </c>
      <c r="M821" s="5"/>
    </row>
    <row r="822" ht="14.25" customHeight="1">
      <c r="A822" s="5">
        <v>820.0</v>
      </c>
      <c r="B822" s="5">
        <v>0.0</v>
      </c>
      <c r="C822" s="5">
        <v>3.0</v>
      </c>
      <c r="D822" s="5" t="s">
        <v>1136</v>
      </c>
      <c r="E822" s="5" t="s">
        <v>18</v>
      </c>
      <c r="F822" s="5">
        <v>10.0</v>
      </c>
      <c r="G822" s="5">
        <v>3.0</v>
      </c>
      <c r="H822" s="5">
        <v>2.0</v>
      </c>
      <c r="I822" s="5">
        <v>347088.0</v>
      </c>
      <c r="J822" s="5">
        <v>27.9</v>
      </c>
      <c r="K822" s="5"/>
      <c r="L822" s="5" t="s">
        <v>16</v>
      </c>
      <c r="M822" s="5"/>
    </row>
    <row r="823" ht="14.25" customHeight="1">
      <c r="A823" s="5">
        <v>635.0</v>
      </c>
      <c r="B823" s="5">
        <v>0.0</v>
      </c>
      <c r="C823" s="5">
        <v>3.0</v>
      </c>
      <c r="D823" s="5" t="s">
        <v>1137</v>
      </c>
      <c r="E823" s="5" t="s">
        <v>14</v>
      </c>
      <c r="F823" s="5">
        <v>9.0</v>
      </c>
      <c r="G823" s="5">
        <v>3.0</v>
      </c>
      <c r="H823" s="5">
        <v>2.0</v>
      </c>
      <c r="I823" s="5">
        <v>347088.0</v>
      </c>
      <c r="J823" s="5">
        <v>27.9</v>
      </c>
      <c r="K823" s="5"/>
      <c r="L823" s="5" t="s">
        <v>16</v>
      </c>
      <c r="M823" s="5"/>
    </row>
    <row r="824" ht="14.25" customHeight="1">
      <c r="A824" s="5">
        <v>643.0</v>
      </c>
      <c r="B824" s="5">
        <v>0.0</v>
      </c>
      <c r="C824" s="5">
        <v>3.0</v>
      </c>
      <c r="D824" s="5" t="s">
        <v>1138</v>
      </c>
      <c r="E824" s="5" t="s">
        <v>14</v>
      </c>
      <c r="F824" s="5">
        <v>2.0</v>
      </c>
      <c r="G824" s="5">
        <v>3.0</v>
      </c>
      <c r="H824" s="5">
        <v>2.0</v>
      </c>
      <c r="I824" s="5">
        <v>347088.0</v>
      </c>
      <c r="J824" s="5">
        <v>27.9</v>
      </c>
      <c r="K824" s="5"/>
      <c r="L824" s="5" t="s">
        <v>16</v>
      </c>
      <c r="M824" s="5"/>
    </row>
    <row r="825" ht="14.25" customHeight="1">
      <c r="A825" s="5">
        <v>361.0</v>
      </c>
      <c r="B825" s="5">
        <v>0.0</v>
      </c>
      <c r="C825" s="5">
        <v>3.0</v>
      </c>
      <c r="D825" s="5" t="s">
        <v>1139</v>
      </c>
      <c r="E825" s="5" t="s">
        <v>18</v>
      </c>
      <c r="F825" s="5">
        <v>40.0</v>
      </c>
      <c r="G825" s="5">
        <v>1.0</v>
      </c>
      <c r="H825" s="5">
        <v>4.0</v>
      </c>
      <c r="I825" s="5">
        <v>347088.0</v>
      </c>
      <c r="J825" s="5">
        <v>27.9</v>
      </c>
      <c r="K825" s="5"/>
      <c r="L825" s="5" t="s">
        <v>16</v>
      </c>
      <c r="M825" s="5"/>
    </row>
    <row r="826" ht="14.25" customHeight="1">
      <c r="A826" s="5">
        <v>168.0</v>
      </c>
      <c r="B826" s="5">
        <v>0.0</v>
      </c>
      <c r="C826" s="5">
        <v>3.0</v>
      </c>
      <c r="D826" s="5" t="s">
        <v>1140</v>
      </c>
      <c r="E826" s="5" t="s">
        <v>14</v>
      </c>
      <c r="F826" s="5">
        <v>45.0</v>
      </c>
      <c r="G826" s="5">
        <v>1.0</v>
      </c>
      <c r="H826" s="5">
        <v>4.0</v>
      </c>
      <c r="I826" s="5">
        <v>347088.0</v>
      </c>
      <c r="J826" s="5">
        <v>27.9</v>
      </c>
      <c r="K826" s="5"/>
      <c r="L826" s="5" t="s">
        <v>16</v>
      </c>
      <c r="M826" s="5"/>
    </row>
    <row r="827" ht="14.25" customHeight="1">
      <c r="A827" s="5">
        <v>602.0</v>
      </c>
      <c r="B827" s="5">
        <v>0.0</v>
      </c>
      <c r="C827" s="5">
        <v>3.0</v>
      </c>
      <c r="D827" s="5" t="s">
        <v>1141</v>
      </c>
      <c r="E827" s="5" t="s">
        <v>18</v>
      </c>
      <c r="F827" s="5"/>
      <c r="G827" s="5">
        <v>0.0</v>
      </c>
      <c r="H827" s="5">
        <v>0.0</v>
      </c>
      <c r="I827" s="5">
        <v>349214.0</v>
      </c>
      <c r="J827" s="5">
        <v>7.8958</v>
      </c>
      <c r="K827" s="5"/>
      <c r="L827" s="5" t="s">
        <v>16</v>
      </c>
      <c r="M827" s="5"/>
    </row>
    <row r="828" ht="14.25" customHeight="1">
      <c r="A828" s="5">
        <v>88.0</v>
      </c>
      <c r="B828" s="5">
        <v>0.0</v>
      </c>
      <c r="C828" s="5">
        <v>3.0</v>
      </c>
      <c r="D828" s="5" t="s">
        <v>1142</v>
      </c>
      <c r="E828" s="5" t="s">
        <v>18</v>
      </c>
      <c r="F828" s="5"/>
      <c r="G828" s="5">
        <v>0.0</v>
      </c>
      <c r="H828" s="5">
        <v>0.0</v>
      </c>
      <c r="I828" s="5" t="s">
        <v>1143</v>
      </c>
      <c r="J828" s="5">
        <v>8.05</v>
      </c>
      <c r="K828" s="5"/>
      <c r="L828" s="5" t="s">
        <v>16</v>
      </c>
      <c r="M828" s="5"/>
    </row>
    <row r="829" ht="14.25" customHeight="1">
      <c r="A829" s="5">
        <v>159.0</v>
      </c>
      <c r="B829" s="5">
        <v>0.0</v>
      </c>
      <c r="C829" s="5">
        <v>3.0</v>
      </c>
      <c r="D829" s="5" t="s">
        <v>1144</v>
      </c>
      <c r="E829" s="5" t="s">
        <v>18</v>
      </c>
      <c r="F829" s="5"/>
      <c r="G829" s="5">
        <v>0.0</v>
      </c>
      <c r="H829" s="5">
        <v>0.0</v>
      </c>
      <c r="I829" s="5">
        <v>315037.0</v>
      </c>
      <c r="J829" s="5">
        <v>8.6625</v>
      </c>
      <c r="K829" s="5"/>
      <c r="L829" s="5" t="s">
        <v>16</v>
      </c>
      <c r="M829" s="5"/>
    </row>
    <row r="830" ht="14.25" customHeight="1">
      <c r="A830" s="5">
        <v>261.0</v>
      </c>
      <c r="B830" s="5">
        <v>0.0</v>
      </c>
      <c r="C830" s="5">
        <v>3.0</v>
      </c>
      <c r="D830" s="5" t="s">
        <v>1145</v>
      </c>
      <c r="E830" s="5" t="s">
        <v>18</v>
      </c>
      <c r="F830" s="5"/>
      <c r="G830" s="5">
        <v>0.0</v>
      </c>
      <c r="H830" s="5">
        <v>0.0</v>
      </c>
      <c r="I830" s="5">
        <v>384461.0</v>
      </c>
      <c r="J830" s="5">
        <v>7.75</v>
      </c>
      <c r="K830" s="5"/>
      <c r="L830" s="5" t="s">
        <v>279</v>
      </c>
      <c r="M830" s="5"/>
    </row>
    <row r="831" ht="14.25" customHeight="1">
      <c r="A831" s="5">
        <v>716.0</v>
      </c>
      <c r="B831" s="5">
        <v>0.0</v>
      </c>
      <c r="C831" s="5">
        <v>3.0</v>
      </c>
      <c r="D831" s="5" t="s">
        <v>1146</v>
      </c>
      <c r="E831" s="5" t="s">
        <v>18</v>
      </c>
      <c r="F831" s="5">
        <v>19.0</v>
      </c>
      <c r="G831" s="5">
        <v>0.0</v>
      </c>
      <c r="H831" s="5">
        <v>0.0</v>
      </c>
      <c r="I831" s="5">
        <v>348124.0</v>
      </c>
      <c r="J831" s="5">
        <v>7.65</v>
      </c>
      <c r="K831" s="5" t="s">
        <v>979</v>
      </c>
      <c r="L831" s="5" t="s">
        <v>16</v>
      </c>
      <c r="M831" s="5"/>
    </row>
    <row r="832" ht="14.25" customHeight="1">
      <c r="A832" s="5">
        <v>489.0</v>
      </c>
      <c r="B832" s="5">
        <v>0.0</v>
      </c>
      <c r="C832" s="5">
        <v>3.0</v>
      </c>
      <c r="D832" s="5" t="s">
        <v>1147</v>
      </c>
      <c r="E832" s="5" t="s">
        <v>18</v>
      </c>
      <c r="F832" s="5">
        <v>30.0</v>
      </c>
      <c r="G832" s="5">
        <v>0.0</v>
      </c>
      <c r="H832" s="5">
        <v>0.0</v>
      </c>
      <c r="I832" s="5" t="s">
        <v>1148</v>
      </c>
      <c r="J832" s="5">
        <v>8.05</v>
      </c>
      <c r="K832" s="5"/>
      <c r="L832" s="5" t="s">
        <v>16</v>
      </c>
      <c r="M832" s="5"/>
    </row>
    <row r="833" ht="14.25" customHeight="1">
      <c r="A833" s="5">
        <v>77.0</v>
      </c>
      <c r="B833" s="5">
        <v>0.0</v>
      </c>
      <c r="C833" s="5">
        <v>3.0</v>
      </c>
      <c r="D833" s="5" t="s">
        <v>1149</v>
      </c>
      <c r="E833" s="5" t="s">
        <v>18</v>
      </c>
      <c r="F833" s="5"/>
      <c r="G833" s="5">
        <v>0.0</v>
      </c>
      <c r="H833" s="5">
        <v>0.0</v>
      </c>
      <c r="I833" s="5">
        <v>349208.0</v>
      </c>
      <c r="J833" s="5">
        <v>7.8958</v>
      </c>
      <c r="K833" s="5"/>
      <c r="L833" s="5" t="s">
        <v>16</v>
      </c>
      <c r="M833" s="5"/>
    </row>
    <row r="834" ht="14.25" customHeight="1">
      <c r="A834" s="5">
        <v>286.0</v>
      </c>
      <c r="B834" s="5">
        <v>0.0</v>
      </c>
      <c r="C834" s="5">
        <v>3.0</v>
      </c>
      <c r="D834" s="5" t="s">
        <v>1150</v>
      </c>
      <c r="E834" s="5" t="s">
        <v>18</v>
      </c>
      <c r="F834" s="5">
        <v>33.0</v>
      </c>
      <c r="G834" s="5">
        <v>0.0</v>
      </c>
      <c r="H834" s="5">
        <v>0.0</v>
      </c>
      <c r="I834" s="5">
        <v>349239.0</v>
      </c>
      <c r="J834" s="5">
        <v>8.6625</v>
      </c>
      <c r="K834" s="5"/>
      <c r="L834" s="5" t="s">
        <v>32</v>
      </c>
      <c r="M834" s="5"/>
    </row>
    <row r="835" ht="14.25" customHeight="1">
      <c r="A835" s="5">
        <v>650.0</v>
      </c>
      <c r="B835" s="5">
        <v>1.0</v>
      </c>
      <c r="C835" s="5">
        <v>3.0</v>
      </c>
      <c r="D835" s="5" t="s">
        <v>1151</v>
      </c>
      <c r="E835" s="5" t="s">
        <v>14</v>
      </c>
      <c r="F835" s="5">
        <v>23.0</v>
      </c>
      <c r="G835" s="5">
        <v>0.0</v>
      </c>
      <c r="H835" s="5">
        <v>0.0</v>
      </c>
      <c r="I835" s="5" t="s">
        <v>1152</v>
      </c>
      <c r="J835" s="5">
        <v>7.55</v>
      </c>
      <c r="K835" s="5"/>
      <c r="L835" s="5" t="s">
        <v>16</v>
      </c>
      <c r="M835" s="5"/>
    </row>
    <row r="836" ht="14.25" customHeight="1">
      <c r="A836" s="5">
        <v>495.0</v>
      </c>
      <c r="B836" s="5">
        <v>0.0</v>
      </c>
      <c r="C836" s="5">
        <v>3.0</v>
      </c>
      <c r="D836" s="5" t="s">
        <v>1153</v>
      </c>
      <c r="E836" s="5" t="s">
        <v>18</v>
      </c>
      <c r="F836" s="5">
        <v>21.0</v>
      </c>
      <c r="G836" s="5">
        <v>0.0</v>
      </c>
      <c r="H836" s="5">
        <v>0.0</v>
      </c>
      <c r="I836" s="5" t="s">
        <v>1154</v>
      </c>
      <c r="J836" s="5">
        <v>8.05</v>
      </c>
      <c r="K836" s="5"/>
      <c r="L836" s="5" t="s">
        <v>16</v>
      </c>
      <c r="M836" s="5"/>
    </row>
    <row r="837" ht="14.25" customHeight="1">
      <c r="A837" s="5">
        <v>567.0</v>
      </c>
      <c r="B837" s="5">
        <v>0.0</v>
      </c>
      <c r="C837" s="5">
        <v>3.0</v>
      </c>
      <c r="D837" s="5" t="s">
        <v>1155</v>
      </c>
      <c r="E837" s="5" t="s">
        <v>18</v>
      </c>
      <c r="F837" s="5">
        <v>19.0</v>
      </c>
      <c r="G837" s="5">
        <v>0.0</v>
      </c>
      <c r="H837" s="5">
        <v>0.0</v>
      </c>
      <c r="I837" s="5">
        <v>349205.0</v>
      </c>
      <c r="J837" s="5">
        <v>7.8958</v>
      </c>
      <c r="K837" s="5"/>
      <c r="L837" s="5" t="s">
        <v>16</v>
      </c>
      <c r="M837" s="5"/>
    </row>
    <row r="838" ht="14.25" customHeight="1">
      <c r="A838" s="5">
        <v>475.0</v>
      </c>
      <c r="B838" s="5">
        <v>0.0</v>
      </c>
      <c r="C838" s="5">
        <v>3.0</v>
      </c>
      <c r="D838" s="5" t="s">
        <v>1156</v>
      </c>
      <c r="E838" s="5" t="s">
        <v>14</v>
      </c>
      <c r="F838" s="5">
        <v>22.0</v>
      </c>
      <c r="G838" s="5">
        <v>0.0</v>
      </c>
      <c r="H838" s="5">
        <v>0.0</v>
      </c>
      <c r="I838" s="5">
        <v>7553.0</v>
      </c>
      <c r="J838" s="5">
        <v>9.8375</v>
      </c>
      <c r="K838" s="5"/>
      <c r="L838" s="5" t="s">
        <v>16</v>
      </c>
      <c r="M838" s="5"/>
    </row>
    <row r="839" ht="14.25" customHeight="1">
      <c r="A839" s="5">
        <v>745.0</v>
      </c>
      <c r="B839" s="5">
        <v>1.0</v>
      </c>
      <c r="C839" s="5">
        <v>3.0</v>
      </c>
      <c r="D839" s="5" t="s">
        <v>1157</v>
      </c>
      <c r="E839" s="5" t="s">
        <v>18</v>
      </c>
      <c r="F839" s="5">
        <v>31.0</v>
      </c>
      <c r="G839" s="5">
        <v>0.0</v>
      </c>
      <c r="H839" s="5">
        <v>0.0</v>
      </c>
      <c r="I839" s="5" t="s">
        <v>1158</v>
      </c>
      <c r="J839" s="5">
        <v>7.925</v>
      </c>
      <c r="K839" s="5"/>
      <c r="L839" s="5" t="s">
        <v>16</v>
      </c>
      <c r="M839" s="5"/>
    </row>
    <row r="840" ht="14.25" customHeight="1">
      <c r="A840" s="5">
        <v>206.0</v>
      </c>
      <c r="B840" s="5">
        <v>0.0</v>
      </c>
      <c r="C840" s="5">
        <v>3.0</v>
      </c>
      <c r="D840" s="5" t="s">
        <v>1159</v>
      </c>
      <c r="E840" s="5" t="s">
        <v>14</v>
      </c>
      <c r="F840" s="5">
        <v>2.0</v>
      </c>
      <c r="G840" s="5">
        <v>0.0</v>
      </c>
      <c r="H840" s="5">
        <v>1.0</v>
      </c>
      <c r="I840" s="5">
        <v>347054.0</v>
      </c>
      <c r="J840" s="5">
        <v>10.4625</v>
      </c>
      <c r="K840" s="5" t="s">
        <v>1116</v>
      </c>
      <c r="L840" s="5" t="s">
        <v>16</v>
      </c>
      <c r="M840" s="5"/>
    </row>
    <row r="841" ht="14.25" customHeight="1">
      <c r="A841" s="5">
        <v>252.0</v>
      </c>
      <c r="B841" s="5">
        <v>0.0</v>
      </c>
      <c r="C841" s="5">
        <v>3.0</v>
      </c>
      <c r="D841" s="5" t="s">
        <v>1160</v>
      </c>
      <c r="E841" s="5" t="s">
        <v>14</v>
      </c>
      <c r="F841" s="5">
        <v>29.0</v>
      </c>
      <c r="G841" s="5">
        <v>1.0</v>
      </c>
      <c r="H841" s="5">
        <v>1.0</v>
      </c>
      <c r="I841" s="5">
        <v>347054.0</v>
      </c>
      <c r="J841" s="5">
        <v>10.4625</v>
      </c>
      <c r="K841" s="5" t="s">
        <v>1116</v>
      </c>
      <c r="L841" s="5" t="s">
        <v>16</v>
      </c>
      <c r="M841" s="5"/>
    </row>
    <row r="842" ht="14.25" customHeight="1">
      <c r="A842" s="5">
        <v>221.0</v>
      </c>
      <c r="B842" s="5">
        <v>1.0</v>
      </c>
      <c r="C842" s="5">
        <v>3.0</v>
      </c>
      <c r="D842" s="5" t="s">
        <v>1161</v>
      </c>
      <c r="E842" s="5" t="s">
        <v>18</v>
      </c>
      <c r="F842" s="5">
        <v>16.0</v>
      </c>
      <c r="G842" s="5">
        <v>0.0</v>
      </c>
      <c r="H842" s="5">
        <v>0.0</v>
      </c>
      <c r="I842" s="5" t="s">
        <v>1162</v>
      </c>
      <c r="J842" s="5">
        <v>8.05</v>
      </c>
      <c r="K842" s="5"/>
      <c r="L842" s="5" t="s">
        <v>16</v>
      </c>
      <c r="M842" s="5"/>
    </row>
    <row r="843" ht="14.25" customHeight="1">
      <c r="A843" s="5">
        <v>415.0</v>
      </c>
      <c r="B843" s="5">
        <v>1.0</v>
      </c>
      <c r="C843" s="5">
        <v>3.0</v>
      </c>
      <c r="D843" s="5" t="s">
        <v>1163</v>
      </c>
      <c r="E843" s="5" t="s">
        <v>18</v>
      </c>
      <c r="F843" s="5">
        <v>44.0</v>
      </c>
      <c r="G843" s="5">
        <v>0.0</v>
      </c>
      <c r="H843" s="5">
        <v>0.0</v>
      </c>
      <c r="I843" s="5" t="s">
        <v>1164</v>
      </c>
      <c r="J843" s="5">
        <v>7.925</v>
      </c>
      <c r="K843" s="5"/>
      <c r="L843" s="5" t="s">
        <v>16</v>
      </c>
      <c r="M843" s="5"/>
    </row>
    <row r="844" ht="14.25" customHeight="1">
      <c r="A844" s="5">
        <v>885.0</v>
      </c>
      <c r="B844" s="5">
        <v>0.0</v>
      </c>
      <c r="C844" s="5">
        <v>3.0</v>
      </c>
      <c r="D844" s="5" t="s">
        <v>1165</v>
      </c>
      <c r="E844" s="5" t="s">
        <v>18</v>
      </c>
      <c r="F844" s="5">
        <v>25.0</v>
      </c>
      <c r="G844" s="5">
        <v>0.0</v>
      </c>
      <c r="H844" s="5">
        <v>0.0</v>
      </c>
      <c r="I844" s="5" t="s">
        <v>1166</v>
      </c>
      <c r="J844" s="5">
        <v>7.05</v>
      </c>
      <c r="K844" s="5"/>
      <c r="L844" s="5" t="s">
        <v>16</v>
      </c>
      <c r="M844" s="5"/>
    </row>
    <row r="845" ht="14.25" customHeight="1">
      <c r="A845" s="5">
        <v>852.0</v>
      </c>
      <c r="B845" s="5">
        <v>0.0</v>
      </c>
      <c r="C845" s="5">
        <v>3.0</v>
      </c>
      <c r="D845" s="5" t="s">
        <v>1167</v>
      </c>
      <c r="E845" s="5" t="s">
        <v>18</v>
      </c>
      <c r="F845" s="5">
        <v>74.0</v>
      </c>
      <c r="G845" s="5">
        <v>0.0</v>
      </c>
      <c r="H845" s="5">
        <v>0.0</v>
      </c>
      <c r="I845" s="5">
        <v>347060.0</v>
      </c>
      <c r="J845" s="5">
        <v>7.775</v>
      </c>
      <c r="K845" s="5"/>
      <c r="L845" s="5" t="s">
        <v>16</v>
      </c>
      <c r="M845" s="5"/>
    </row>
    <row r="846" ht="14.25" customHeight="1">
      <c r="A846" s="5">
        <v>500.0</v>
      </c>
      <c r="B846" s="5">
        <v>0.0</v>
      </c>
      <c r="C846" s="5">
        <v>3.0</v>
      </c>
      <c r="D846" s="5" t="s">
        <v>1168</v>
      </c>
      <c r="E846" s="5" t="s">
        <v>18</v>
      </c>
      <c r="F846" s="5">
        <v>24.0</v>
      </c>
      <c r="G846" s="5">
        <v>0.0</v>
      </c>
      <c r="H846" s="5">
        <v>0.0</v>
      </c>
      <c r="I846" s="5">
        <v>350035.0</v>
      </c>
      <c r="J846" s="5">
        <v>7.7958</v>
      </c>
      <c r="K846" s="5"/>
      <c r="L846" s="5" t="s">
        <v>16</v>
      </c>
      <c r="M846" s="5"/>
    </row>
    <row r="847" ht="14.25" customHeight="1">
      <c r="A847" s="5">
        <v>759.0</v>
      </c>
      <c r="B847" s="5">
        <v>0.0</v>
      </c>
      <c r="C847" s="5">
        <v>3.0</v>
      </c>
      <c r="D847" s="5" t="s">
        <v>1169</v>
      </c>
      <c r="E847" s="5" t="s">
        <v>18</v>
      </c>
      <c r="F847" s="5">
        <v>34.0</v>
      </c>
      <c r="G847" s="5">
        <v>0.0</v>
      </c>
      <c r="H847" s="5">
        <v>0.0</v>
      </c>
      <c r="I847" s="5">
        <v>363294.0</v>
      </c>
      <c r="J847" s="5">
        <v>8.05</v>
      </c>
      <c r="K847" s="5"/>
      <c r="L847" s="5" t="s">
        <v>16</v>
      </c>
      <c r="M847" s="5"/>
    </row>
    <row r="848" ht="14.25" customHeight="1">
      <c r="A848" s="5">
        <v>804.0</v>
      </c>
      <c r="B848" s="5">
        <v>1.0</v>
      </c>
      <c r="C848" s="5">
        <v>3.0</v>
      </c>
      <c r="D848" s="5" t="s">
        <v>1170</v>
      </c>
      <c r="E848" s="5" t="s">
        <v>18</v>
      </c>
      <c r="F848" s="5">
        <v>0.42</v>
      </c>
      <c r="G848" s="5">
        <v>0.0</v>
      </c>
      <c r="H848" s="5">
        <v>1.0</v>
      </c>
      <c r="I848" s="5">
        <v>2625.0</v>
      </c>
      <c r="J848" s="5">
        <v>8.5167</v>
      </c>
      <c r="K848" s="5"/>
      <c r="L848" s="5" t="s">
        <v>32</v>
      </c>
      <c r="M848" s="5"/>
    </row>
    <row r="849" ht="14.25" customHeight="1">
      <c r="A849" s="5">
        <v>640.0</v>
      </c>
      <c r="B849" s="5">
        <v>0.0</v>
      </c>
      <c r="C849" s="5">
        <v>3.0</v>
      </c>
      <c r="D849" s="5" t="s">
        <v>1171</v>
      </c>
      <c r="E849" s="5" t="s">
        <v>18</v>
      </c>
      <c r="F849" s="5"/>
      <c r="G849" s="5">
        <v>1.0</v>
      </c>
      <c r="H849" s="5">
        <v>0.0</v>
      </c>
      <c r="I849" s="5">
        <v>376564.0</v>
      </c>
      <c r="J849" s="5">
        <v>16.1</v>
      </c>
      <c r="K849" s="5"/>
      <c r="L849" s="5" t="s">
        <v>16</v>
      </c>
      <c r="M849" s="5"/>
    </row>
    <row r="850" ht="14.25" customHeight="1">
      <c r="A850" s="5">
        <v>432.0</v>
      </c>
      <c r="B850" s="5">
        <v>1.0</v>
      </c>
      <c r="C850" s="5">
        <v>3.0</v>
      </c>
      <c r="D850" s="5" t="s">
        <v>1172</v>
      </c>
      <c r="E850" s="5" t="s">
        <v>14</v>
      </c>
      <c r="F850" s="5"/>
      <c r="G850" s="5">
        <v>1.0</v>
      </c>
      <c r="H850" s="5">
        <v>0.0</v>
      </c>
      <c r="I850" s="5">
        <v>376564.0</v>
      </c>
      <c r="J850" s="5">
        <v>16.1</v>
      </c>
      <c r="K850" s="5"/>
      <c r="L850" s="5" t="s">
        <v>16</v>
      </c>
      <c r="M850" s="5"/>
    </row>
    <row r="851" ht="14.25" customHeight="1">
      <c r="A851" s="5">
        <v>383.0</v>
      </c>
      <c r="B851" s="5">
        <v>0.0</v>
      </c>
      <c r="C851" s="5">
        <v>3.0</v>
      </c>
      <c r="D851" s="5" t="s">
        <v>1173</v>
      </c>
      <c r="E851" s="5" t="s">
        <v>18</v>
      </c>
      <c r="F851" s="5">
        <v>32.0</v>
      </c>
      <c r="G851" s="5">
        <v>0.0</v>
      </c>
      <c r="H851" s="5">
        <v>0.0</v>
      </c>
      <c r="I851" s="5" t="s">
        <v>1174</v>
      </c>
      <c r="J851" s="5">
        <v>7.925</v>
      </c>
      <c r="K851" s="5"/>
      <c r="L851" s="5" t="s">
        <v>16</v>
      </c>
      <c r="M851" s="5"/>
    </row>
    <row r="852" ht="14.25" customHeight="1">
      <c r="A852" s="5">
        <v>777.0</v>
      </c>
      <c r="B852" s="5">
        <v>0.0</v>
      </c>
      <c r="C852" s="5">
        <v>3.0</v>
      </c>
      <c r="D852" s="5" t="s">
        <v>1175</v>
      </c>
      <c r="E852" s="5" t="s">
        <v>18</v>
      </c>
      <c r="F852" s="5"/>
      <c r="G852" s="5">
        <v>0.0</v>
      </c>
      <c r="H852" s="5">
        <v>0.0</v>
      </c>
      <c r="I852" s="5">
        <v>383121.0</v>
      </c>
      <c r="J852" s="5">
        <v>7.75</v>
      </c>
      <c r="K852" s="5" t="s">
        <v>1176</v>
      </c>
      <c r="L852" s="5" t="s">
        <v>279</v>
      </c>
      <c r="M852" s="5"/>
    </row>
    <row r="853" ht="14.25" customHeight="1">
      <c r="A853" s="5">
        <v>30.0</v>
      </c>
      <c r="B853" s="5">
        <v>0.0</v>
      </c>
      <c r="C853" s="5">
        <v>3.0</v>
      </c>
      <c r="D853" s="5" t="s">
        <v>1177</v>
      </c>
      <c r="E853" s="5" t="s">
        <v>18</v>
      </c>
      <c r="F853" s="5"/>
      <c r="G853" s="5">
        <v>0.0</v>
      </c>
      <c r="H853" s="5">
        <v>0.0</v>
      </c>
      <c r="I853" s="5">
        <v>349216.0</v>
      </c>
      <c r="J853" s="5">
        <v>7.8958</v>
      </c>
      <c r="K853" s="5"/>
      <c r="L853" s="5" t="s">
        <v>16</v>
      </c>
      <c r="M853" s="5"/>
    </row>
    <row r="854" ht="14.25" customHeight="1">
      <c r="A854" s="5">
        <v>815.0</v>
      </c>
      <c r="B854" s="5">
        <v>0.0</v>
      </c>
      <c r="C854" s="5">
        <v>3.0</v>
      </c>
      <c r="D854" s="5" t="s">
        <v>1178</v>
      </c>
      <c r="E854" s="5" t="s">
        <v>18</v>
      </c>
      <c r="F854" s="5">
        <v>30.5</v>
      </c>
      <c r="G854" s="5">
        <v>0.0</v>
      </c>
      <c r="H854" s="5">
        <v>0.0</v>
      </c>
      <c r="I854" s="5">
        <v>364499.0</v>
      </c>
      <c r="J854" s="5">
        <v>8.05</v>
      </c>
      <c r="K854" s="5"/>
      <c r="L854" s="5" t="s">
        <v>16</v>
      </c>
      <c r="M854" s="5"/>
    </row>
    <row r="855" ht="14.25" customHeight="1">
      <c r="A855" s="5">
        <v>604.0</v>
      </c>
      <c r="B855" s="5">
        <v>0.0</v>
      </c>
      <c r="C855" s="5">
        <v>3.0</v>
      </c>
      <c r="D855" s="5" t="s">
        <v>1179</v>
      </c>
      <c r="E855" s="5" t="s">
        <v>18</v>
      </c>
      <c r="F855" s="5">
        <v>44.0</v>
      </c>
      <c r="G855" s="5">
        <v>0.0</v>
      </c>
      <c r="H855" s="5">
        <v>0.0</v>
      </c>
      <c r="I855" s="5">
        <v>364511.0</v>
      </c>
      <c r="J855" s="5">
        <v>8.05</v>
      </c>
      <c r="K855" s="5"/>
      <c r="L855" s="5" t="s">
        <v>16</v>
      </c>
      <c r="M855" s="5"/>
    </row>
    <row r="856" ht="14.25" customHeight="1">
      <c r="A856" s="5">
        <v>272.0</v>
      </c>
      <c r="B856" s="5">
        <v>1.0</v>
      </c>
      <c r="C856" s="5">
        <v>3.0</v>
      </c>
      <c r="D856" s="5" t="s">
        <v>1180</v>
      </c>
      <c r="E856" s="5" t="s">
        <v>18</v>
      </c>
      <c r="F856" s="5">
        <v>25.0</v>
      </c>
      <c r="G856" s="5">
        <v>0.0</v>
      </c>
      <c r="H856" s="5">
        <v>0.0</v>
      </c>
      <c r="I856" s="5" t="s">
        <v>880</v>
      </c>
      <c r="J856" s="5">
        <v>0.0</v>
      </c>
      <c r="K856" s="5"/>
      <c r="L856" s="5" t="s">
        <v>16</v>
      </c>
      <c r="M856" s="5"/>
    </row>
    <row r="857" ht="14.25" customHeight="1">
      <c r="A857" s="5">
        <v>532.0</v>
      </c>
      <c r="B857" s="5">
        <v>0.0</v>
      </c>
      <c r="C857" s="5">
        <v>3.0</v>
      </c>
      <c r="D857" s="5" t="s">
        <v>1181</v>
      </c>
      <c r="E857" s="5" t="s">
        <v>18</v>
      </c>
      <c r="F857" s="5"/>
      <c r="G857" s="5">
        <v>0.0</v>
      </c>
      <c r="H857" s="5">
        <v>0.0</v>
      </c>
      <c r="I857" s="5">
        <v>2641.0</v>
      </c>
      <c r="J857" s="5">
        <v>7.2292</v>
      </c>
      <c r="K857" s="5"/>
      <c r="L857" s="5" t="s">
        <v>32</v>
      </c>
      <c r="M857" s="5"/>
    </row>
    <row r="858" ht="14.25" customHeight="1">
      <c r="A858" s="5">
        <v>256.0</v>
      </c>
      <c r="B858" s="5">
        <v>1.0</v>
      </c>
      <c r="C858" s="5">
        <v>3.0</v>
      </c>
      <c r="D858" s="5" t="s">
        <v>1182</v>
      </c>
      <c r="E858" s="5" t="s">
        <v>14</v>
      </c>
      <c r="F858" s="5">
        <v>29.0</v>
      </c>
      <c r="G858" s="5">
        <v>0.0</v>
      </c>
      <c r="H858" s="5">
        <v>2.0</v>
      </c>
      <c r="I858" s="5">
        <v>2650.0</v>
      </c>
      <c r="J858" s="5">
        <v>15.2458</v>
      </c>
      <c r="K858" s="5"/>
      <c r="L858" s="5" t="s">
        <v>32</v>
      </c>
      <c r="M858" s="5"/>
    </row>
    <row r="859" ht="14.25" customHeight="1">
      <c r="A859" s="5">
        <v>190.0</v>
      </c>
      <c r="B859" s="5">
        <v>0.0</v>
      </c>
      <c r="C859" s="5">
        <v>3.0</v>
      </c>
      <c r="D859" s="5" t="s">
        <v>1183</v>
      </c>
      <c r="E859" s="5" t="s">
        <v>18</v>
      </c>
      <c r="F859" s="5">
        <v>36.0</v>
      </c>
      <c r="G859" s="5">
        <v>0.0</v>
      </c>
      <c r="H859" s="5">
        <v>0.0</v>
      </c>
      <c r="I859" s="5">
        <v>349247.0</v>
      </c>
      <c r="J859" s="5">
        <v>7.8958</v>
      </c>
      <c r="K859" s="5"/>
      <c r="L859" s="5" t="s">
        <v>16</v>
      </c>
      <c r="M859" s="5"/>
    </row>
    <row r="860" ht="14.25" customHeight="1">
      <c r="A860" s="5">
        <v>678.0</v>
      </c>
      <c r="B860" s="5">
        <v>1.0</v>
      </c>
      <c r="C860" s="5">
        <v>3.0</v>
      </c>
      <c r="D860" s="5" t="s">
        <v>1184</v>
      </c>
      <c r="E860" s="5" t="s">
        <v>14</v>
      </c>
      <c r="F860" s="5">
        <v>18.0</v>
      </c>
      <c r="G860" s="5">
        <v>0.0</v>
      </c>
      <c r="H860" s="5">
        <v>0.0</v>
      </c>
      <c r="I860" s="5">
        <v>4138.0</v>
      </c>
      <c r="J860" s="5">
        <v>9.8417</v>
      </c>
      <c r="K860" s="5"/>
      <c r="L860" s="5" t="s">
        <v>16</v>
      </c>
      <c r="M860" s="5"/>
    </row>
    <row r="861" ht="14.25" customHeight="1">
      <c r="A861" s="5">
        <v>484.0</v>
      </c>
      <c r="B861" s="5">
        <v>1.0</v>
      </c>
      <c r="C861" s="5">
        <v>3.0</v>
      </c>
      <c r="D861" s="5" t="s">
        <v>1185</v>
      </c>
      <c r="E861" s="5" t="s">
        <v>14</v>
      </c>
      <c r="F861" s="5">
        <v>63.0</v>
      </c>
      <c r="G861" s="5">
        <v>0.0</v>
      </c>
      <c r="H861" s="5">
        <v>0.0</v>
      </c>
      <c r="I861" s="5">
        <v>4134.0</v>
      </c>
      <c r="J861" s="5">
        <v>9.5875</v>
      </c>
      <c r="K861" s="5"/>
      <c r="L861" s="5" t="s">
        <v>16</v>
      </c>
      <c r="M861" s="5"/>
    </row>
    <row r="862" ht="14.25" customHeight="1">
      <c r="A862" s="5">
        <v>154.0</v>
      </c>
      <c r="B862" s="5">
        <v>0.0</v>
      </c>
      <c r="C862" s="5">
        <v>3.0</v>
      </c>
      <c r="D862" s="5" t="s">
        <v>1186</v>
      </c>
      <c r="E862" s="5" t="s">
        <v>18</v>
      </c>
      <c r="F862" s="5">
        <v>40.5</v>
      </c>
      <c r="G862" s="5">
        <v>0.0</v>
      </c>
      <c r="H862" s="5">
        <v>2.0</v>
      </c>
      <c r="I862" s="5" t="s">
        <v>1187</v>
      </c>
      <c r="J862" s="5">
        <v>14.5</v>
      </c>
      <c r="K862" s="5"/>
      <c r="L862" s="5" t="s">
        <v>16</v>
      </c>
      <c r="M862" s="5"/>
    </row>
    <row r="863" ht="14.25" customHeight="1">
      <c r="A863" s="5">
        <v>420.0</v>
      </c>
      <c r="B863" s="5">
        <v>0.0</v>
      </c>
      <c r="C863" s="5">
        <v>3.0</v>
      </c>
      <c r="D863" s="5" t="s">
        <v>1188</v>
      </c>
      <c r="E863" s="5" t="s">
        <v>14</v>
      </c>
      <c r="F863" s="5">
        <v>10.0</v>
      </c>
      <c r="G863" s="5">
        <v>0.0</v>
      </c>
      <c r="H863" s="5">
        <v>2.0</v>
      </c>
      <c r="I863" s="5">
        <v>345773.0</v>
      </c>
      <c r="J863" s="5">
        <v>24.15</v>
      </c>
      <c r="K863" s="5"/>
      <c r="L863" s="5" t="s">
        <v>16</v>
      </c>
      <c r="M863" s="5"/>
    </row>
    <row r="864" ht="14.25" customHeight="1">
      <c r="A864" s="5">
        <v>596.0</v>
      </c>
      <c r="B864" s="5">
        <v>0.0</v>
      </c>
      <c r="C864" s="5">
        <v>3.0</v>
      </c>
      <c r="D864" s="5" t="s">
        <v>1189</v>
      </c>
      <c r="E864" s="5" t="s">
        <v>18</v>
      </c>
      <c r="F864" s="5">
        <v>36.0</v>
      </c>
      <c r="G864" s="5">
        <v>1.0</v>
      </c>
      <c r="H864" s="5">
        <v>1.0</v>
      </c>
      <c r="I864" s="5">
        <v>345773.0</v>
      </c>
      <c r="J864" s="5">
        <v>24.15</v>
      </c>
      <c r="K864" s="5"/>
      <c r="L864" s="5" t="s">
        <v>16</v>
      </c>
      <c r="M864" s="5"/>
    </row>
    <row r="865" ht="14.25" customHeight="1">
      <c r="A865" s="5">
        <v>800.0</v>
      </c>
      <c r="B865" s="5">
        <v>0.0</v>
      </c>
      <c r="C865" s="5">
        <v>3.0</v>
      </c>
      <c r="D865" s="5" t="s">
        <v>1190</v>
      </c>
      <c r="E865" s="5" t="s">
        <v>14</v>
      </c>
      <c r="F865" s="5">
        <v>30.0</v>
      </c>
      <c r="G865" s="5">
        <v>1.0</v>
      </c>
      <c r="H865" s="5">
        <v>1.0</v>
      </c>
      <c r="I865" s="5">
        <v>345773.0</v>
      </c>
      <c r="J865" s="5">
        <v>24.15</v>
      </c>
      <c r="K865" s="5"/>
      <c r="L865" s="5" t="s">
        <v>16</v>
      </c>
      <c r="M865" s="5"/>
    </row>
    <row r="866" ht="14.25" customHeight="1">
      <c r="A866" s="5">
        <v>869.0</v>
      </c>
      <c r="B866" s="5">
        <v>0.0</v>
      </c>
      <c r="C866" s="5">
        <v>3.0</v>
      </c>
      <c r="D866" s="5" t="s">
        <v>1191</v>
      </c>
      <c r="E866" s="5" t="s">
        <v>18</v>
      </c>
      <c r="F866" s="5"/>
      <c r="G866" s="5">
        <v>0.0</v>
      </c>
      <c r="H866" s="5">
        <v>0.0</v>
      </c>
      <c r="I866" s="5">
        <v>345777.0</v>
      </c>
      <c r="J866" s="5">
        <v>9.5</v>
      </c>
      <c r="K866" s="5"/>
      <c r="L866" s="5" t="s">
        <v>16</v>
      </c>
      <c r="M866" s="5"/>
    </row>
    <row r="867" ht="14.25" customHeight="1">
      <c r="A867" s="5">
        <v>753.0</v>
      </c>
      <c r="B867" s="5">
        <v>0.0</v>
      </c>
      <c r="C867" s="5">
        <v>3.0</v>
      </c>
      <c r="D867" s="5" t="s">
        <v>1192</v>
      </c>
      <c r="E867" s="5" t="s">
        <v>18</v>
      </c>
      <c r="F867" s="5">
        <v>33.0</v>
      </c>
      <c r="G867" s="5">
        <v>0.0</v>
      </c>
      <c r="H867" s="5">
        <v>0.0</v>
      </c>
      <c r="I867" s="5">
        <v>345780.0</v>
      </c>
      <c r="J867" s="5">
        <v>9.5</v>
      </c>
      <c r="K867" s="5"/>
      <c r="L867" s="5" t="s">
        <v>16</v>
      </c>
      <c r="M867" s="5"/>
    </row>
    <row r="868" ht="14.25" customHeight="1">
      <c r="A868" s="5">
        <v>201.0</v>
      </c>
      <c r="B868" s="5">
        <v>0.0</v>
      </c>
      <c r="C868" s="5">
        <v>3.0</v>
      </c>
      <c r="D868" s="5" t="s">
        <v>1193</v>
      </c>
      <c r="E868" s="5" t="s">
        <v>18</v>
      </c>
      <c r="F868" s="5">
        <v>28.0</v>
      </c>
      <c r="G868" s="5">
        <v>0.0</v>
      </c>
      <c r="H868" s="5">
        <v>0.0</v>
      </c>
      <c r="I868" s="5">
        <v>345770.0</v>
      </c>
      <c r="J868" s="5">
        <v>9.5</v>
      </c>
      <c r="K868" s="5"/>
      <c r="L868" s="5" t="s">
        <v>16</v>
      </c>
      <c r="M868" s="5"/>
    </row>
    <row r="869" ht="14.25" customHeight="1">
      <c r="A869" s="5">
        <v>356.0</v>
      </c>
      <c r="B869" s="5">
        <v>0.0</v>
      </c>
      <c r="C869" s="5">
        <v>3.0</v>
      </c>
      <c r="D869" s="5" t="s">
        <v>1194</v>
      </c>
      <c r="E869" s="5" t="s">
        <v>18</v>
      </c>
      <c r="F869" s="5">
        <v>28.0</v>
      </c>
      <c r="G869" s="5">
        <v>0.0</v>
      </c>
      <c r="H869" s="5">
        <v>0.0</v>
      </c>
      <c r="I869" s="5">
        <v>345783.0</v>
      </c>
      <c r="J869" s="5">
        <v>9.5</v>
      </c>
      <c r="K869" s="5"/>
      <c r="L869" s="5" t="s">
        <v>16</v>
      </c>
      <c r="M869" s="5"/>
    </row>
    <row r="870" ht="14.25" customHeight="1">
      <c r="A870" s="5">
        <v>874.0</v>
      </c>
      <c r="B870" s="5">
        <v>0.0</v>
      </c>
      <c r="C870" s="5">
        <v>3.0</v>
      </c>
      <c r="D870" s="5" t="s">
        <v>1195</v>
      </c>
      <c r="E870" s="5" t="s">
        <v>18</v>
      </c>
      <c r="F870" s="5">
        <v>47.0</v>
      </c>
      <c r="G870" s="5">
        <v>0.0</v>
      </c>
      <c r="H870" s="5">
        <v>0.0</v>
      </c>
      <c r="I870" s="5">
        <v>345765.0</v>
      </c>
      <c r="J870" s="5">
        <v>9.0</v>
      </c>
      <c r="K870" s="5"/>
      <c r="L870" s="5" t="s">
        <v>16</v>
      </c>
      <c r="M870" s="5"/>
    </row>
    <row r="871" ht="14.25" customHeight="1">
      <c r="A871" s="5">
        <v>39.0</v>
      </c>
      <c r="B871" s="5">
        <v>0.0</v>
      </c>
      <c r="C871" s="5">
        <v>3.0</v>
      </c>
      <c r="D871" s="5" t="s">
        <v>1196</v>
      </c>
      <c r="E871" s="5" t="s">
        <v>14</v>
      </c>
      <c r="F871" s="5">
        <v>18.0</v>
      </c>
      <c r="G871" s="5">
        <v>2.0</v>
      </c>
      <c r="H871" s="5">
        <v>0.0</v>
      </c>
      <c r="I871" s="5">
        <v>345764.0</v>
      </c>
      <c r="J871" s="5">
        <v>18.0</v>
      </c>
      <c r="K871" s="5"/>
      <c r="L871" s="5" t="s">
        <v>16</v>
      </c>
      <c r="M871" s="5"/>
    </row>
    <row r="872" ht="14.25" customHeight="1">
      <c r="A872" s="5">
        <v>334.0</v>
      </c>
      <c r="B872" s="5">
        <v>0.0</v>
      </c>
      <c r="C872" s="5">
        <v>3.0</v>
      </c>
      <c r="D872" s="5" t="s">
        <v>1197</v>
      </c>
      <c r="E872" s="5" t="s">
        <v>18</v>
      </c>
      <c r="F872" s="5">
        <v>16.0</v>
      </c>
      <c r="G872" s="5">
        <v>2.0</v>
      </c>
      <c r="H872" s="5">
        <v>0.0</v>
      </c>
      <c r="I872" s="5">
        <v>345764.0</v>
      </c>
      <c r="J872" s="5">
        <v>18.0</v>
      </c>
      <c r="K872" s="5"/>
      <c r="L872" s="5" t="s">
        <v>16</v>
      </c>
      <c r="M872" s="5"/>
    </row>
    <row r="873" ht="14.25" customHeight="1">
      <c r="A873" s="5">
        <v>19.0</v>
      </c>
      <c r="B873" s="5">
        <v>0.0</v>
      </c>
      <c r="C873" s="5">
        <v>3.0</v>
      </c>
      <c r="D873" s="5" t="s">
        <v>1198</v>
      </c>
      <c r="E873" s="5" t="s">
        <v>14</v>
      </c>
      <c r="F873" s="5">
        <v>31.0</v>
      </c>
      <c r="G873" s="5">
        <v>1.0</v>
      </c>
      <c r="H873" s="5">
        <v>0.0</v>
      </c>
      <c r="I873" s="5">
        <v>345763.0</v>
      </c>
      <c r="J873" s="5">
        <v>18.0</v>
      </c>
      <c r="K873" s="5"/>
      <c r="L873" s="5" t="s">
        <v>16</v>
      </c>
      <c r="M873" s="5"/>
    </row>
    <row r="874" ht="14.25" customHeight="1">
      <c r="A874" s="5">
        <v>15.0</v>
      </c>
      <c r="B874" s="5">
        <v>0.0</v>
      </c>
      <c r="C874" s="5">
        <v>3.0</v>
      </c>
      <c r="D874" s="5" t="s">
        <v>1199</v>
      </c>
      <c r="E874" s="5" t="s">
        <v>14</v>
      </c>
      <c r="F874" s="5">
        <v>14.0</v>
      </c>
      <c r="G874" s="5">
        <v>0.0</v>
      </c>
      <c r="H874" s="5">
        <v>0.0</v>
      </c>
      <c r="I874" s="5">
        <v>350406.0</v>
      </c>
      <c r="J874" s="5">
        <v>7.8542</v>
      </c>
      <c r="K874" s="5"/>
      <c r="L874" s="5" t="s">
        <v>16</v>
      </c>
      <c r="M874" s="5"/>
    </row>
    <row r="875" ht="14.25" customHeight="1">
      <c r="A875" s="5">
        <v>522.0</v>
      </c>
      <c r="B875" s="5">
        <v>0.0</v>
      </c>
      <c r="C875" s="5">
        <v>3.0</v>
      </c>
      <c r="D875" s="5" t="s">
        <v>1200</v>
      </c>
      <c r="E875" s="5" t="s">
        <v>18</v>
      </c>
      <c r="F875" s="5">
        <v>22.0</v>
      </c>
      <c r="G875" s="5">
        <v>0.0</v>
      </c>
      <c r="H875" s="5">
        <v>0.0</v>
      </c>
      <c r="I875" s="5">
        <v>349252.0</v>
      </c>
      <c r="J875" s="5">
        <v>7.8958</v>
      </c>
      <c r="K875" s="5"/>
      <c r="L875" s="5" t="s">
        <v>16</v>
      </c>
      <c r="M875" s="5"/>
    </row>
    <row r="876" ht="14.25" customHeight="1">
      <c r="A876" s="5">
        <v>81.0</v>
      </c>
      <c r="B876" s="5">
        <v>0.0</v>
      </c>
      <c r="C876" s="5">
        <v>3.0</v>
      </c>
      <c r="D876" s="5" t="s">
        <v>1201</v>
      </c>
      <c r="E876" s="5" t="s">
        <v>18</v>
      </c>
      <c r="F876" s="5">
        <v>22.0</v>
      </c>
      <c r="G876" s="5">
        <v>0.0</v>
      </c>
      <c r="H876" s="5">
        <v>0.0</v>
      </c>
      <c r="I876" s="5">
        <v>345767.0</v>
      </c>
      <c r="J876" s="5">
        <v>9.0</v>
      </c>
      <c r="K876" s="5"/>
      <c r="L876" s="5" t="s">
        <v>16</v>
      </c>
      <c r="M876" s="5"/>
    </row>
    <row r="877" ht="14.25" customHeight="1">
      <c r="A877" s="5">
        <v>512.0</v>
      </c>
      <c r="B877" s="5">
        <v>0.0</v>
      </c>
      <c r="C877" s="5">
        <v>3.0</v>
      </c>
      <c r="D877" s="5" t="s">
        <v>1202</v>
      </c>
      <c r="E877" s="5" t="s">
        <v>18</v>
      </c>
      <c r="F877" s="5"/>
      <c r="G877" s="5">
        <v>0.0</v>
      </c>
      <c r="H877" s="5">
        <v>0.0</v>
      </c>
      <c r="I877" s="5" t="s">
        <v>1203</v>
      </c>
      <c r="J877" s="5">
        <v>8.05</v>
      </c>
      <c r="K877" s="5"/>
      <c r="L877" s="5" t="s">
        <v>16</v>
      </c>
      <c r="M877" s="5"/>
    </row>
    <row r="878" ht="14.25" customHeight="1">
      <c r="A878" s="5">
        <v>407.0</v>
      </c>
      <c r="B878" s="5">
        <v>0.0</v>
      </c>
      <c r="C878" s="5">
        <v>3.0</v>
      </c>
      <c r="D878" s="5" t="s">
        <v>1204</v>
      </c>
      <c r="E878" s="5" t="s">
        <v>18</v>
      </c>
      <c r="F878" s="5">
        <v>51.0</v>
      </c>
      <c r="G878" s="5">
        <v>0.0</v>
      </c>
      <c r="H878" s="5">
        <v>0.0</v>
      </c>
      <c r="I878" s="5">
        <v>347064.0</v>
      </c>
      <c r="J878" s="5">
        <v>7.75</v>
      </c>
      <c r="K878" s="5"/>
      <c r="L878" s="5" t="s">
        <v>16</v>
      </c>
      <c r="M878" s="5"/>
    </row>
    <row r="879" ht="14.25" customHeight="1">
      <c r="A879" s="5">
        <v>372.0</v>
      </c>
      <c r="B879" s="5">
        <v>0.0</v>
      </c>
      <c r="C879" s="5">
        <v>3.0</v>
      </c>
      <c r="D879" s="5" t="s">
        <v>1205</v>
      </c>
      <c r="E879" s="5" t="s">
        <v>18</v>
      </c>
      <c r="F879" s="5">
        <v>18.0</v>
      </c>
      <c r="G879" s="5">
        <v>1.0</v>
      </c>
      <c r="H879" s="5">
        <v>0.0</v>
      </c>
      <c r="I879" s="5">
        <v>3101267.0</v>
      </c>
      <c r="J879" s="5">
        <v>6.4958</v>
      </c>
      <c r="K879" s="5"/>
      <c r="L879" s="5" t="s">
        <v>16</v>
      </c>
      <c r="M879" s="5"/>
    </row>
    <row r="880" ht="14.25" customHeight="1">
      <c r="A880" s="5">
        <v>649.0</v>
      </c>
      <c r="B880" s="5">
        <v>0.0</v>
      </c>
      <c r="C880" s="5">
        <v>3.0</v>
      </c>
      <c r="D880" s="5" t="s">
        <v>1206</v>
      </c>
      <c r="E880" s="5" t="s">
        <v>18</v>
      </c>
      <c r="F880" s="5"/>
      <c r="G880" s="5">
        <v>0.0</v>
      </c>
      <c r="H880" s="5">
        <v>0.0</v>
      </c>
      <c r="I880" s="5" t="s">
        <v>1207</v>
      </c>
      <c r="J880" s="5">
        <v>7.55</v>
      </c>
      <c r="K880" s="5"/>
      <c r="L880" s="5" t="s">
        <v>16</v>
      </c>
      <c r="M880" s="5"/>
    </row>
    <row r="881" ht="14.25" customHeight="1">
      <c r="A881" s="5">
        <v>305.0</v>
      </c>
      <c r="B881" s="5">
        <v>0.0</v>
      </c>
      <c r="C881" s="5">
        <v>3.0</v>
      </c>
      <c r="D881" s="5" t="s">
        <v>1208</v>
      </c>
      <c r="E881" s="5" t="s">
        <v>18</v>
      </c>
      <c r="F881" s="5"/>
      <c r="G881" s="5">
        <v>0.0</v>
      </c>
      <c r="H881" s="5">
        <v>0.0</v>
      </c>
      <c r="I881" s="5" t="s">
        <v>1209</v>
      </c>
      <c r="J881" s="5">
        <v>8.05</v>
      </c>
      <c r="K881" s="5"/>
      <c r="L881" s="5" t="s">
        <v>16</v>
      </c>
      <c r="M881" s="5"/>
    </row>
    <row r="882" ht="14.25" customHeight="1">
      <c r="A882" s="5">
        <v>736.0</v>
      </c>
      <c r="B882" s="5">
        <v>0.0</v>
      </c>
      <c r="C882" s="5">
        <v>3.0</v>
      </c>
      <c r="D882" s="5" t="s">
        <v>1210</v>
      </c>
      <c r="E882" s="5" t="s">
        <v>18</v>
      </c>
      <c r="F882" s="5">
        <v>28.5</v>
      </c>
      <c r="G882" s="5">
        <v>0.0</v>
      </c>
      <c r="H882" s="5">
        <v>0.0</v>
      </c>
      <c r="I882" s="5">
        <v>54636.0</v>
      </c>
      <c r="J882" s="5">
        <v>16.1</v>
      </c>
      <c r="K882" s="5"/>
      <c r="L882" s="5" t="s">
        <v>16</v>
      </c>
      <c r="M882" s="5"/>
    </row>
    <row r="883" ht="14.25" customHeight="1">
      <c r="A883" s="5">
        <v>492.0</v>
      </c>
      <c r="B883" s="5">
        <v>0.0</v>
      </c>
      <c r="C883" s="5">
        <v>3.0</v>
      </c>
      <c r="D883" s="5" t="s">
        <v>1211</v>
      </c>
      <c r="E883" s="5" t="s">
        <v>18</v>
      </c>
      <c r="F883" s="5">
        <v>21.0</v>
      </c>
      <c r="G883" s="5">
        <v>0.0</v>
      </c>
      <c r="H883" s="5">
        <v>0.0</v>
      </c>
      <c r="I883" s="5" t="s">
        <v>1212</v>
      </c>
      <c r="J883" s="5">
        <v>7.25</v>
      </c>
      <c r="K883" s="5"/>
      <c r="L883" s="5" t="s">
        <v>16</v>
      </c>
      <c r="M883" s="5"/>
    </row>
    <row r="884" ht="14.25" customHeight="1">
      <c r="A884" s="5">
        <v>426.0</v>
      </c>
      <c r="B884" s="5">
        <v>0.0</v>
      </c>
      <c r="C884" s="5">
        <v>3.0</v>
      </c>
      <c r="D884" s="5" t="s">
        <v>1213</v>
      </c>
      <c r="E884" s="5" t="s">
        <v>18</v>
      </c>
      <c r="F884" s="5"/>
      <c r="G884" s="5">
        <v>0.0</v>
      </c>
      <c r="H884" s="5">
        <v>0.0</v>
      </c>
      <c r="I884" s="5" t="s">
        <v>1214</v>
      </c>
      <c r="J884" s="5">
        <v>7.25</v>
      </c>
      <c r="K884" s="5"/>
      <c r="L884" s="5" t="s">
        <v>16</v>
      </c>
      <c r="M884" s="5"/>
    </row>
    <row r="885" ht="14.25" customHeight="1">
      <c r="A885" s="5">
        <v>621.0</v>
      </c>
      <c r="B885" s="5">
        <v>0.0</v>
      </c>
      <c r="C885" s="5">
        <v>3.0</v>
      </c>
      <c r="D885" s="5" t="s">
        <v>1215</v>
      </c>
      <c r="E885" s="5" t="s">
        <v>18</v>
      </c>
      <c r="F885" s="5">
        <v>27.0</v>
      </c>
      <c r="G885" s="5">
        <v>1.0</v>
      </c>
      <c r="H885" s="5">
        <v>0.0</v>
      </c>
      <c r="I885" s="5">
        <v>2659.0</v>
      </c>
      <c r="J885" s="5">
        <v>14.4542</v>
      </c>
      <c r="K885" s="5"/>
      <c r="L885" s="5" t="s">
        <v>32</v>
      </c>
      <c r="M885" s="5"/>
    </row>
    <row r="886" ht="14.25" customHeight="1">
      <c r="A886" s="5">
        <v>831.0</v>
      </c>
      <c r="B886" s="5">
        <v>1.0</v>
      </c>
      <c r="C886" s="5">
        <v>3.0</v>
      </c>
      <c r="D886" s="5" t="s">
        <v>1216</v>
      </c>
      <c r="E886" s="5" t="s">
        <v>14</v>
      </c>
      <c r="F886" s="5">
        <v>15.0</v>
      </c>
      <c r="G886" s="5">
        <v>1.0</v>
      </c>
      <c r="H886" s="5">
        <v>0.0</v>
      </c>
      <c r="I886" s="5">
        <v>2659.0</v>
      </c>
      <c r="J886" s="5">
        <v>14.4542</v>
      </c>
      <c r="K886" s="5"/>
      <c r="L886" s="5" t="s">
        <v>32</v>
      </c>
      <c r="M886" s="5"/>
    </row>
    <row r="887" ht="14.25" customHeight="1">
      <c r="A887" s="5">
        <v>204.0</v>
      </c>
      <c r="B887" s="5">
        <v>0.0</v>
      </c>
      <c r="C887" s="5">
        <v>3.0</v>
      </c>
      <c r="D887" s="5" t="s">
        <v>1217</v>
      </c>
      <c r="E887" s="5" t="s">
        <v>18</v>
      </c>
      <c r="F887" s="5">
        <v>45.5</v>
      </c>
      <c r="G887" s="5">
        <v>0.0</v>
      </c>
      <c r="H887" s="5">
        <v>0.0</v>
      </c>
      <c r="I887" s="5">
        <v>2628.0</v>
      </c>
      <c r="J887" s="5">
        <v>7.225</v>
      </c>
      <c r="K887" s="5"/>
      <c r="L887" s="5" t="s">
        <v>32</v>
      </c>
      <c r="M887" s="5"/>
    </row>
    <row r="888" ht="14.25" customHeight="1">
      <c r="A888" s="5">
        <v>355.0</v>
      </c>
      <c r="B888" s="5">
        <v>0.0</v>
      </c>
      <c r="C888" s="5">
        <v>3.0</v>
      </c>
      <c r="D888" s="5" t="s">
        <v>1218</v>
      </c>
      <c r="E888" s="5" t="s">
        <v>18</v>
      </c>
      <c r="F888" s="5"/>
      <c r="G888" s="5">
        <v>0.0</v>
      </c>
      <c r="H888" s="5">
        <v>0.0</v>
      </c>
      <c r="I888" s="5">
        <v>2647.0</v>
      </c>
      <c r="J888" s="5">
        <v>7.225</v>
      </c>
      <c r="K888" s="5"/>
      <c r="L888" s="5" t="s">
        <v>32</v>
      </c>
      <c r="M888" s="5"/>
    </row>
    <row r="889" ht="14.25" customHeight="1">
      <c r="A889" s="5">
        <v>496.0</v>
      </c>
      <c r="B889" s="5">
        <v>0.0</v>
      </c>
      <c r="C889" s="5">
        <v>3.0</v>
      </c>
      <c r="D889" s="5" t="s">
        <v>1219</v>
      </c>
      <c r="E889" s="5" t="s">
        <v>18</v>
      </c>
      <c r="F889" s="5"/>
      <c r="G889" s="5">
        <v>0.0</v>
      </c>
      <c r="H889" s="5">
        <v>0.0</v>
      </c>
      <c r="I889" s="5">
        <v>2627.0</v>
      </c>
      <c r="J889" s="5">
        <v>14.4583</v>
      </c>
      <c r="K889" s="5"/>
      <c r="L889" s="5" t="s">
        <v>32</v>
      </c>
      <c r="M889" s="5"/>
    </row>
    <row r="890" ht="14.25" customHeight="1">
      <c r="A890" s="5">
        <v>112.0</v>
      </c>
      <c r="B890" s="5">
        <v>0.0</v>
      </c>
      <c r="C890" s="5">
        <v>3.0</v>
      </c>
      <c r="D890" s="5" t="s">
        <v>1220</v>
      </c>
      <c r="E890" s="5" t="s">
        <v>14</v>
      </c>
      <c r="F890" s="5">
        <v>14.5</v>
      </c>
      <c r="G890" s="5">
        <v>1.0</v>
      </c>
      <c r="H890" s="5">
        <v>0.0</v>
      </c>
      <c r="I890" s="5">
        <v>2665.0</v>
      </c>
      <c r="J890" s="5">
        <v>14.4542</v>
      </c>
      <c r="K890" s="5"/>
      <c r="L890" s="5" t="s">
        <v>32</v>
      </c>
      <c r="M890" s="5"/>
    </row>
    <row r="891" ht="14.25" customHeight="1">
      <c r="A891" s="5">
        <v>241.0</v>
      </c>
      <c r="B891" s="5">
        <v>0.0</v>
      </c>
      <c r="C891" s="5">
        <v>3.0</v>
      </c>
      <c r="D891" s="5" t="s">
        <v>1221</v>
      </c>
      <c r="E891" s="5" t="s">
        <v>14</v>
      </c>
      <c r="F891" s="5"/>
      <c r="G891" s="5">
        <v>1.0</v>
      </c>
      <c r="H891" s="5">
        <v>0.0</v>
      </c>
      <c r="I891" s="5">
        <v>2665.0</v>
      </c>
      <c r="J891" s="5">
        <v>14.4542</v>
      </c>
      <c r="K891" s="5"/>
      <c r="L891" s="5" t="s">
        <v>32</v>
      </c>
      <c r="M891" s="5"/>
    </row>
    <row r="892" ht="14.25" customHeight="1">
      <c r="A892" s="5">
        <v>423.0</v>
      </c>
      <c r="B892" s="5">
        <v>0.0</v>
      </c>
      <c r="C892" s="5">
        <v>3.0</v>
      </c>
      <c r="D892" s="5" t="s">
        <v>1222</v>
      </c>
      <c r="E892" s="5" t="s">
        <v>18</v>
      </c>
      <c r="F892" s="5">
        <v>29.0</v>
      </c>
      <c r="G892" s="5">
        <v>0.0</v>
      </c>
      <c r="H892" s="5">
        <v>0.0</v>
      </c>
      <c r="I892" s="5">
        <v>315082.0</v>
      </c>
      <c r="J892" s="5">
        <v>7.875</v>
      </c>
      <c r="K892" s="5"/>
      <c r="L892" s="5" t="s">
        <v>16</v>
      </c>
      <c r="M892" s="5"/>
    </row>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14"/>
    <col customWidth="1" min="2" max="2" width="18.86"/>
    <col customWidth="1" min="3" max="3" width="16.29"/>
    <col customWidth="1" min="4" max="4" width="17.71"/>
    <col customWidth="1" min="5" max="5" width="10.14"/>
    <col customWidth="1" min="6" max="6" width="13.14"/>
    <col customWidth="1" min="7" max="7" width="15.43"/>
    <col customWidth="1" min="8" max="9" width="14.0"/>
    <col customWidth="1" min="10" max="10" width="10.43"/>
    <col customWidth="1" min="11" max="11" width="10.14"/>
    <col customWidth="1" min="12" max="12" width="9.14"/>
    <col customWidth="1" min="13" max="13" width="24.29"/>
    <col customWidth="1" min="14" max="27" width="9.14"/>
  </cols>
  <sheetData>
    <row r="1" ht="13.5" customHeight="1">
      <c r="A1" s="12" t="s">
        <v>1223</v>
      </c>
      <c r="B1" s="12" t="s">
        <v>1224</v>
      </c>
      <c r="C1" s="12" t="s">
        <v>1225</v>
      </c>
      <c r="D1" s="12" t="s">
        <v>1226</v>
      </c>
      <c r="E1" s="12" t="s">
        <v>1227</v>
      </c>
      <c r="F1" s="12" t="s">
        <v>1228</v>
      </c>
      <c r="G1" s="12" t="s">
        <v>1229</v>
      </c>
      <c r="H1" s="13" t="s">
        <v>1230</v>
      </c>
      <c r="I1" s="12" t="s">
        <v>1231</v>
      </c>
      <c r="J1" s="12" t="s">
        <v>1232</v>
      </c>
      <c r="K1" s="12" t="s">
        <v>1233</v>
      </c>
      <c r="L1" s="14"/>
      <c r="M1" s="14"/>
      <c r="N1" s="14"/>
      <c r="O1" s="14"/>
      <c r="P1" s="14"/>
      <c r="Q1" s="14"/>
      <c r="R1" s="14"/>
      <c r="S1" s="14"/>
      <c r="T1" s="14"/>
      <c r="U1" s="14"/>
      <c r="V1" s="14"/>
      <c r="W1" s="14"/>
      <c r="X1" s="14"/>
      <c r="Y1" s="14"/>
      <c r="Z1" s="14"/>
      <c r="AA1" s="14"/>
    </row>
    <row r="2" ht="13.5" customHeight="1">
      <c r="A2" s="15" t="s">
        <v>1234</v>
      </c>
      <c r="B2" s="16" t="s">
        <v>1235</v>
      </c>
      <c r="C2" s="16" t="s">
        <v>1236</v>
      </c>
      <c r="D2" s="16" t="s">
        <v>1237</v>
      </c>
      <c r="E2" s="17" t="s">
        <v>1238</v>
      </c>
      <c r="F2" s="17" t="s">
        <v>1239</v>
      </c>
      <c r="G2" s="16" t="s">
        <v>1240</v>
      </c>
      <c r="H2" s="18" t="s">
        <v>1241</v>
      </c>
      <c r="I2" s="17" t="s">
        <v>1242</v>
      </c>
      <c r="J2" s="17" t="s">
        <v>1232</v>
      </c>
      <c r="K2" s="16" t="s">
        <v>1243</v>
      </c>
      <c r="L2" s="19"/>
      <c r="M2" s="19"/>
      <c r="N2" s="5"/>
      <c r="O2" s="19"/>
      <c r="P2" s="19"/>
      <c r="Q2" s="19"/>
      <c r="R2" s="19"/>
      <c r="S2" s="19"/>
      <c r="T2" s="19"/>
      <c r="U2" s="19"/>
      <c r="V2" s="19"/>
      <c r="W2" s="19"/>
      <c r="X2" s="19"/>
      <c r="Y2" s="19"/>
      <c r="Z2" s="19"/>
      <c r="AA2" s="19"/>
    </row>
    <row r="3" ht="13.5" customHeight="1">
      <c r="A3" s="15" t="s">
        <v>1244</v>
      </c>
      <c r="B3" s="16" t="s">
        <v>1245</v>
      </c>
      <c r="C3" s="16" t="s">
        <v>1246</v>
      </c>
      <c r="D3" s="16" t="s">
        <v>1247</v>
      </c>
      <c r="E3" s="17" t="s">
        <v>1227</v>
      </c>
      <c r="F3" s="17" t="s">
        <v>1248</v>
      </c>
      <c r="G3" s="17" t="s">
        <v>1249</v>
      </c>
      <c r="H3" s="20" t="s">
        <v>1250</v>
      </c>
      <c r="I3" s="17" t="s">
        <v>1251</v>
      </c>
      <c r="J3" s="17" t="s">
        <v>1252</v>
      </c>
      <c r="K3" s="21" t="s">
        <v>1253</v>
      </c>
      <c r="L3" s="19"/>
      <c r="M3" s="19"/>
      <c r="N3" s="19"/>
      <c r="O3" s="19"/>
      <c r="P3" s="19"/>
      <c r="Q3" s="19"/>
      <c r="R3" s="19"/>
      <c r="S3" s="19"/>
      <c r="T3" s="19"/>
      <c r="U3" s="19"/>
      <c r="V3" s="19"/>
      <c r="W3" s="19"/>
      <c r="X3" s="19"/>
      <c r="Y3" s="19"/>
      <c r="Z3" s="19"/>
      <c r="AA3" s="19"/>
    </row>
    <row r="4" ht="13.5" customHeight="1">
      <c r="A4" s="15" t="s">
        <v>1254</v>
      </c>
      <c r="B4" s="17" t="s">
        <v>1255</v>
      </c>
      <c r="C4" s="16" t="s">
        <v>1256</v>
      </c>
      <c r="D4" s="16" t="s">
        <v>1257</v>
      </c>
      <c r="E4" s="16" t="s">
        <v>1258</v>
      </c>
      <c r="F4" s="17" t="s">
        <v>1259</v>
      </c>
      <c r="G4" s="17" t="s">
        <v>1260</v>
      </c>
      <c r="H4" s="20" t="s">
        <v>1261</v>
      </c>
      <c r="I4" s="17" t="s">
        <v>1262</v>
      </c>
      <c r="J4" s="17" t="s">
        <v>1263</v>
      </c>
      <c r="K4" s="21" t="s">
        <v>1264</v>
      </c>
      <c r="L4" s="19"/>
      <c r="M4" s="19"/>
      <c r="N4" s="19"/>
      <c r="O4" s="19"/>
      <c r="P4" s="19"/>
      <c r="Q4" s="19"/>
      <c r="R4" s="19"/>
      <c r="S4" s="19"/>
      <c r="T4" s="19"/>
      <c r="U4" s="19"/>
      <c r="V4" s="19"/>
      <c r="W4" s="19"/>
      <c r="X4" s="19"/>
      <c r="Y4" s="19"/>
      <c r="Z4" s="19"/>
      <c r="AA4" s="19"/>
    </row>
    <row r="5" ht="13.5" customHeight="1">
      <c r="A5" s="15" t="s">
        <v>1265</v>
      </c>
      <c r="B5" s="16" t="s">
        <v>1266</v>
      </c>
      <c r="C5" s="17" t="s">
        <v>1267</v>
      </c>
      <c r="D5" s="16" t="s">
        <v>1268</v>
      </c>
      <c r="E5" s="16" t="s">
        <v>1269</v>
      </c>
      <c r="F5" s="17" t="s">
        <v>1270</v>
      </c>
      <c r="G5" s="17" t="s">
        <v>1271</v>
      </c>
      <c r="H5" s="20" t="s">
        <v>1272</v>
      </c>
      <c r="I5" s="17" t="s">
        <v>1273</v>
      </c>
      <c r="J5" s="22"/>
      <c r="K5" s="16" t="s">
        <v>1274</v>
      </c>
      <c r="L5" s="19"/>
      <c r="M5" s="19"/>
      <c r="N5" s="19"/>
      <c r="O5" s="19"/>
      <c r="P5" s="19"/>
      <c r="Q5" s="19"/>
      <c r="R5" s="19"/>
      <c r="S5" s="19"/>
      <c r="T5" s="19"/>
      <c r="U5" s="19"/>
      <c r="V5" s="19"/>
      <c r="W5" s="19"/>
      <c r="X5" s="19"/>
      <c r="Y5" s="19"/>
      <c r="Z5" s="19"/>
      <c r="AA5" s="19"/>
    </row>
    <row r="6" ht="13.5" customHeight="1">
      <c r="A6" s="15" t="s">
        <v>1275</v>
      </c>
      <c r="B6" s="16" t="s">
        <v>1276</v>
      </c>
      <c r="C6" s="17" t="s">
        <v>1277</v>
      </c>
      <c r="D6" s="22"/>
      <c r="E6" s="22"/>
      <c r="F6" s="16" t="s">
        <v>1278</v>
      </c>
      <c r="G6" s="17" t="s">
        <v>1279</v>
      </c>
      <c r="H6" s="20" t="s">
        <v>1280</v>
      </c>
      <c r="I6" s="17" t="s">
        <v>1281</v>
      </c>
      <c r="J6" s="22"/>
      <c r="K6" s="23"/>
      <c r="L6" s="19"/>
      <c r="M6" s="19"/>
      <c r="N6" s="19"/>
      <c r="O6" s="19"/>
      <c r="P6" s="19"/>
      <c r="Q6" s="19"/>
      <c r="R6" s="19"/>
      <c r="S6" s="19"/>
      <c r="T6" s="19"/>
      <c r="U6" s="19"/>
      <c r="V6" s="19"/>
      <c r="W6" s="19"/>
      <c r="X6" s="19"/>
      <c r="Y6" s="19"/>
      <c r="Z6" s="19"/>
      <c r="AA6" s="19"/>
    </row>
    <row r="7" ht="13.5" customHeight="1">
      <c r="A7" s="15" t="s">
        <v>1282</v>
      </c>
      <c r="B7" s="16" t="s">
        <v>1283</v>
      </c>
      <c r="C7" s="17" t="s">
        <v>1284</v>
      </c>
      <c r="D7" s="22"/>
      <c r="E7" s="22"/>
      <c r="F7" s="22"/>
      <c r="G7" s="17" t="s">
        <v>1285</v>
      </c>
      <c r="H7" s="20" t="s">
        <v>1286</v>
      </c>
      <c r="I7" s="17" t="s">
        <v>1287</v>
      </c>
      <c r="J7" s="22"/>
      <c r="K7" s="23"/>
      <c r="L7" s="19"/>
      <c r="M7" s="19"/>
      <c r="N7" s="19"/>
      <c r="O7" s="19"/>
      <c r="P7" s="19"/>
      <c r="Q7" s="19"/>
      <c r="R7" s="19"/>
      <c r="S7" s="19"/>
      <c r="T7" s="19"/>
      <c r="U7" s="19"/>
      <c r="V7" s="19"/>
      <c r="W7" s="19"/>
      <c r="X7" s="19"/>
      <c r="Y7" s="19"/>
      <c r="Z7" s="19"/>
      <c r="AA7" s="19"/>
    </row>
    <row r="8" ht="13.5" customHeight="1">
      <c r="A8" s="15" t="s">
        <v>1288</v>
      </c>
      <c r="B8" s="17" t="s">
        <v>1289</v>
      </c>
      <c r="C8" s="16" t="s">
        <v>1290</v>
      </c>
      <c r="D8" s="22"/>
      <c r="E8" s="22"/>
      <c r="F8" s="22"/>
      <c r="G8" s="17" t="s">
        <v>1291</v>
      </c>
      <c r="H8" s="20" t="s">
        <v>1292</v>
      </c>
      <c r="I8" s="17" t="s">
        <v>1293</v>
      </c>
      <c r="J8" s="22"/>
      <c r="K8" s="22"/>
      <c r="L8" s="19"/>
      <c r="M8" s="19"/>
      <c r="N8" s="19"/>
      <c r="O8" s="19"/>
      <c r="P8" s="19"/>
      <c r="Q8" s="19"/>
      <c r="R8" s="19"/>
      <c r="S8" s="19"/>
      <c r="T8" s="19"/>
      <c r="U8" s="19"/>
      <c r="V8" s="19"/>
      <c r="W8" s="19"/>
      <c r="X8" s="19"/>
      <c r="Y8" s="19"/>
      <c r="Z8" s="19"/>
      <c r="AA8" s="19"/>
    </row>
    <row r="9" ht="13.5" customHeight="1">
      <c r="A9" s="16" t="s">
        <v>1294</v>
      </c>
      <c r="B9" s="17" t="s">
        <v>1295</v>
      </c>
      <c r="C9" s="17" t="s">
        <v>1296</v>
      </c>
      <c r="D9" s="22"/>
      <c r="E9" s="22"/>
      <c r="F9" s="22"/>
      <c r="G9" s="17" t="s">
        <v>1297</v>
      </c>
      <c r="H9" s="20" t="s">
        <v>1298</v>
      </c>
      <c r="I9" s="16" t="s">
        <v>1261</v>
      </c>
      <c r="J9" s="22"/>
      <c r="K9" s="22"/>
      <c r="L9" s="19"/>
      <c r="M9" s="19"/>
      <c r="N9" s="19"/>
      <c r="O9" s="19"/>
      <c r="P9" s="19"/>
      <c r="Q9" s="19"/>
      <c r="R9" s="19"/>
      <c r="S9" s="19"/>
      <c r="T9" s="19"/>
      <c r="U9" s="19"/>
      <c r="V9" s="19"/>
      <c r="W9" s="19"/>
      <c r="X9" s="19"/>
      <c r="Y9" s="19"/>
      <c r="Z9" s="19"/>
      <c r="AA9" s="19"/>
    </row>
    <row r="10" ht="13.5" customHeight="1">
      <c r="A10" s="15" t="s">
        <v>1299</v>
      </c>
      <c r="B10" s="17" t="s">
        <v>1300</v>
      </c>
      <c r="C10" s="17" t="s">
        <v>1301</v>
      </c>
      <c r="D10" s="22"/>
      <c r="E10" s="22"/>
      <c r="F10" s="22"/>
      <c r="G10" s="17" t="s">
        <v>1302</v>
      </c>
      <c r="H10" s="20" t="s">
        <v>1303</v>
      </c>
      <c r="I10" s="17" t="s">
        <v>1304</v>
      </c>
      <c r="J10" s="22"/>
      <c r="K10" s="22"/>
      <c r="L10" s="19"/>
      <c r="M10" s="19"/>
      <c r="N10" s="19"/>
      <c r="O10" s="19"/>
      <c r="P10" s="19"/>
      <c r="Q10" s="19"/>
      <c r="R10" s="19"/>
      <c r="S10" s="19"/>
      <c r="T10" s="19"/>
      <c r="U10" s="19"/>
      <c r="V10" s="19"/>
      <c r="W10" s="19"/>
      <c r="X10" s="19"/>
      <c r="Y10" s="19"/>
      <c r="Z10" s="19"/>
      <c r="AA10" s="19"/>
    </row>
    <row r="11" ht="13.5" customHeight="1">
      <c r="A11" s="15" t="s">
        <v>1305</v>
      </c>
      <c r="B11" s="17" t="s">
        <v>1306</v>
      </c>
      <c r="C11" s="22"/>
      <c r="D11" s="22"/>
      <c r="E11" s="22"/>
      <c r="F11" s="22"/>
      <c r="G11" s="17" t="s">
        <v>1307</v>
      </c>
      <c r="H11" s="24" t="s">
        <v>1308</v>
      </c>
      <c r="I11" s="17" t="s">
        <v>1309</v>
      </c>
      <c r="J11" s="22"/>
      <c r="K11" s="22"/>
      <c r="L11" s="19"/>
      <c r="M11" s="19"/>
      <c r="N11" s="19"/>
      <c r="O11" s="19"/>
      <c r="P11" s="19"/>
      <c r="Q11" s="19"/>
      <c r="R11" s="19"/>
      <c r="S11" s="19"/>
      <c r="T11" s="19"/>
      <c r="U11" s="19"/>
      <c r="V11" s="19"/>
      <c r="W11" s="19"/>
      <c r="X11" s="19"/>
      <c r="Y11" s="19"/>
      <c r="Z11" s="19"/>
      <c r="AA11" s="19"/>
    </row>
    <row r="12" ht="13.5" customHeight="1">
      <c r="A12" s="15" t="s">
        <v>1310</v>
      </c>
      <c r="B12" s="17" t="s">
        <v>1311</v>
      </c>
      <c r="C12" s="22"/>
      <c r="D12" s="22"/>
      <c r="E12" s="22"/>
      <c r="F12" s="22"/>
      <c r="G12" s="17" t="s">
        <v>1312</v>
      </c>
      <c r="I12" s="17" t="s">
        <v>1313</v>
      </c>
      <c r="J12" s="22"/>
      <c r="K12" s="22"/>
      <c r="L12" s="19"/>
      <c r="M12" s="19"/>
      <c r="N12" s="19"/>
      <c r="O12" s="19"/>
      <c r="P12" s="19"/>
      <c r="Q12" s="19"/>
      <c r="R12" s="19"/>
      <c r="S12" s="19"/>
      <c r="T12" s="19"/>
      <c r="U12" s="19"/>
      <c r="V12" s="19"/>
      <c r="W12" s="19"/>
      <c r="X12" s="19"/>
      <c r="Y12" s="19"/>
      <c r="Z12" s="19"/>
      <c r="AA12" s="19"/>
    </row>
    <row r="13" ht="13.5" customHeight="1">
      <c r="A13" s="15" t="s">
        <v>1314</v>
      </c>
      <c r="B13" s="17" t="s">
        <v>1315</v>
      </c>
      <c r="C13" s="22"/>
      <c r="D13" s="22"/>
      <c r="E13" s="22"/>
      <c r="F13" s="22"/>
      <c r="G13" s="17" t="s">
        <v>1316</v>
      </c>
      <c r="H13" s="25"/>
      <c r="I13" s="17" t="s">
        <v>1317</v>
      </c>
      <c r="J13" s="22"/>
      <c r="K13" s="22"/>
      <c r="L13" s="19"/>
      <c r="M13" s="19"/>
      <c r="N13" s="19"/>
      <c r="O13" s="19"/>
      <c r="P13" s="19"/>
      <c r="Q13" s="19"/>
      <c r="R13" s="19"/>
      <c r="S13" s="19"/>
      <c r="T13" s="19"/>
      <c r="U13" s="19"/>
      <c r="V13" s="19"/>
      <c r="W13" s="19"/>
      <c r="X13" s="19"/>
      <c r="Y13" s="19"/>
      <c r="Z13" s="19"/>
      <c r="AA13" s="19"/>
    </row>
    <row r="14" ht="13.5" customHeight="1">
      <c r="A14" s="22"/>
      <c r="B14" s="17" t="s">
        <v>1318</v>
      </c>
      <c r="C14" s="22"/>
      <c r="D14" s="22"/>
      <c r="E14" s="22"/>
      <c r="F14" s="22"/>
      <c r="G14" s="17" t="s">
        <v>1319</v>
      </c>
      <c r="H14" s="25"/>
      <c r="I14" s="17" t="s">
        <v>1320</v>
      </c>
      <c r="J14" s="22"/>
      <c r="K14" s="22"/>
      <c r="L14" s="19"/>
      <c r="M14" s="19"/>
      <c r="N14" s="19"/>
      <c r="O14" s="19"/>
      <c r="P14" s="19"/>
      <c r="Q14" s="19"/>
      <c r="R14" s="19"/>
      <c r="S14" s="19"/>
      <c r="T14" s="19"/>
      <c r="U14" s="19"/>
      <c r="V14" s="19"/>
      <c r="W14" s="19"/>
      <c r="X14" s="19"/>
      <c r="Y14" s="19"/>
      <c r="Z14" s="19"/>
      <c r="AA14" s="19"/>
    </row>
    <row r="15" ht="13.5" customHeight="1">
      <c r="A15" s="22"/>
      <c r="B15" s="17" t="s">
        <v>1321</v>
      </c>
      <c r="C15" s="22"/>
      <c r="D15" s="22"/>
      <c r="E15" s="22"/>
      <c r="F15" s="22"/>
      <c r="G15" s="17" t="s">
        <v>1322</v>
      </c>
      <c r="H15" s="25"/>
      <c r="I15" s="17" t="s">
        <v>1323</v>
      </c>
      <c r="J15" s="22"/>
      <c r="K15" s="22"/>
      <c r="L15" s="19"/>
      <c r="M15" s="19"/>
      <c r="N15" s="19"/>
      <c r="O15" s="19"/>
      <c r="P15" s="19"/>
      <c r="Q15" s="19"/>
      <c r="R15" s="19"/>
      <c r="S15" s="19"/>
      <c r="T15" s="19"/>
      <c r="U15" s="19"/>
      <c r="V15" s="19"/>
      <c r="W15" s="19"/>
      <c r="X15" s="19"/>
      <c r="Y15" s="19"/>
      <c r="Z15" s="19"/>
      <c r="AA15" s="19"/>
    </row>
    <row r="16" ht="13.5" customHeight="1">
      <c r="A16" s="22"/>
      <c r="B16" s="16" t="s">
        <v>1324</v>
      </c>
      <c r="C16" s="22"/>
      <c r="D16" s="22"/>
      <c r="E16" s="22"/>
      <c r="F16" s="22"/>
      <c r="G16" s="17" t="s">
        <v>1325</v>
      </c>
      <c r="H16" s="25"/>
      <c r="I16" s="26"/>
      <c r="J16" s="22"/>
      <c r="K16" s="22"/>
      <c r="L16" s="19"/>
      <c r="M16" s="19"/>
      <c r="N16" s="19"/>
      <c r="O16" s="19"/>
      <c r="P16" s="19"/>
      <c r="Q16" s="19"/>
      <c r="R16" s="19"/>
      <c r="S16" s="19"/>
      <c r="T16" s="19"/>
      <c r="U16" s="19"/>
      <c r="V16" s="19"/>
      <c r="W16" s="19"/>
      <c r="X16" s="19"/>
      <c r="Y16" s="19"/>
      <c r="Z16" s="19"/>
      <c r="AA16" s="19"/>
    </row>
    <row r="17" ht="13.5" customHeight="1">
      <c r="A17" s="22"/>
      <c r="B17" s="17" t="s">
        <v>1326</v>
      </c>
      <c r="C17" s="22"/>
      <c r="D17" s="22"/>
      <c r="E17" s="22"/>
      <c r="F17" s="22"/>
      <c r="G17" s="17" t="s">
        <v>1327</v>
      </c>
      <c r="H17" s="25"/>
      <c r="I17" s="26"/>
      <c r="J17" s="22"/>
      <c r="K17" s="22"/>
      <c r="L17" s="19"/>
      <c r="M17" s="19"/>
      <c r="N17" s="19"/>
      <c r="O17" s="19"/>
      <c r="P17" s="19"/>
      <c r="Q17" s="19"/>
      <c r="R17" s="19"/>
      <c r="S17" s="19"/>
      <c r="T17" s="19"/>
      <c r="U17" s="19"/>
      <c r="V17" s="19"/>
      <c r="W17" s="19"/>
      <c r="X17" s="19"/>
      <c r="Y17" s="19"/>
      <c r="Z17" s="19"/>
      <c r="AA17" s="19"/>
    </row>
    <row r="18" ht="13.5" customHeight="1">
      <c r="A18" s="22"/>
      <c r="B18" s="16" t="s">
        <v>1328</v>
      </c>
      <c r="C18" s="22"/>
      <c r="D18" s="22"/>
      <c r="E18" s="22"/>
      <c r="F18" s="22"/>
      <c r="G18" s="22"/>
      <c r="H18" s="25"/>
      <c r="I18" s="26"/>
      <c r="J18" s="22"/>
      <c r="K18" s="22"/>
      <c r="L18" s="19"/>
      <c r="M18" s="19"/>
      <c r="N18" s="19"/>
      <c r="O18" s="19"/>
      <c r="P18" s="19"/>
      <c r="Q18" s="19"/>
      <c r="R18" s="19"/>
      <c r="S18" s="19"/>
      <c r="T18" s="19"/>
      <c r="U18" s="19"/>
      <c r="V18" s="19"/>
      <c r="W18" s="19"/>
      <c r="X18" s="19"/>
      <c r="Y18" s="19"/>
      <c r="Z18" s="19"/>
      <c r="AA18" s="19"/>
    </row>
    <row r="19" ht="13.5" customHeight="1">
      <c r="A19" s="22"/>
      <c r="B19" s="17" t="s">
        <v>1329</v>
      </c>
      <c r="C19" s="22"/>
      <c r="D19" s="22"/>
      <c r="E19" s="22"/>
      <c r="F19" s="22"/>
      <c r="G19" s="22"/>
      <c r="H19" s="25"/>
      <c r="I19" s="26"/>
      <c r="J19" s="22"/>
      <c r="K19" s="22"/>
      <c r="L19" s="19"/>
      <c r="M19" s="19"/>
      <c r="N19" s="19"/>
      <c r="O19" s="19"/>
      <c r="P19" s="19"/>
      <c r="Q19" s="19"/>
      <c r="R19" s="19"/>
      <c r="S19" s="19"/>
      <c r="T19" s="19"/>
      <c r="U19" s="19"/>
      <c r="V19" s="19"/>
      <c r="W19" s="19"/>
      <c r="X19" s="19"/>
      <c r="Y19" s="19"/>
      <c r="Z19" s="19"/>
      <c r="AA19" s="19"/>
    </row>
    <row r="20" ht="13.5" customHeight="1">
      <c r="A20" s="22"/>
      <c r="B20" s="17" t="s">
        <v>1330</v>
      </c>
      <c r="C20" s="22"/>
      <c r="D20" s="22"/>
      <c r="E20" s="22"/>
      <c r="F20" s="22"/>
      <c r="G20" s="22"/>
      <c r="H20" s="25"/>
      <c r="I20" s="26"/>
      <c r="J20" s="22"/>
      <c r="K20" s="22"/>
      <c r="L20" s="19"/>
      <c r="M20" s="19"/>
      <c r="N20" s="19"/>
      <c r="O20" s="19"/>
      <c r="P20" s="19"/>
      <c r="Q20" s="19"/>
      <c r="R20" s="19"/>
      <c r="S20" s="19"/>
      <c r="T20" s="19"/>
      <c r="U20" s="19"/>
      <c r="V20" s="19"/>
      <c r="W20" s="19"/>
      <c r="X20" s="19"/>
      <c r="Y20" s="19"/>
      <c r="Z20" s="19"/>
      <c r="AA20" s="19"/>
    </row>
    <row r="21" ht="13.5" customHeight="1">
      <c r="A21" s="22"/>
      <c r="B21" s="16" t="s">
        <v>1331</v>
      </c>
      <c r="C21" s="22"/>
      <c r="D21" s="22"/>
      <c r="E21" s="22"/>
      <c r="F21" s="22"/>
      <c r="G21" s="22"/>
      <c r="H21" s="25"/>
      <c r="I21" s="26"/>
      <c r="J21" s="22"/>
      <c r="K21" s="22"/>
      <c r="L21" s="19"/>
      <c r="M21" s="19"/>
      <c r="N21" s="19"/>
      <c r="O21" s="19"/>
      <c r="P21" s="19"/>
      <c r="Q21" s="19"/>
      <c r="R21" s="19"/>
      <c r="S21" s="19"/>
      <c r="T21" s="19"/>
      <c r="U21" s="19"/>
      <c r="V21" s="19"/>
      <c r="W21" s="19"/>
      <c r="X21" s="19"/>
      <c r="Y21" s="19"/>
      <c r="Z21" s="19"/>
      <c r="AA21" s="19"/>
    </row>
    <row r="22" ht="13.5" customHeight="1">
      <c r="A22" s="22"/>
      <c r="B22" s="16" t="s">
        <v>1332</v>
      </c>
      <c r="C22" s="22"/>
      <c r="D22" s="22"/>
      <c r="E22" s="22"/>
      <c r="F22" s="22"/>
      <c r="G22" s="22"/>
      <c r="H22" s="25"/>
      <c r="I22" s="26"/>
      <c r="J22" s="22"/>
      <c r="K22" s="22"/>
      <c r="L22" s="19"/>
      <c r="M22" s="19"/>
      <c r="N22" s="19"/>
      <c r="O22" s="19"/>
      <c r="P22" s="19"/>
      <c r="Q22" s="19"/>
      <c r="R22" s="19"/>
      <c r="S22" s="19"/>
      <c r="T22" s="19"/>
      <c r="U22" s="19"/>
      <c r="V22" s="19"/>
      <c r="W22" s="19"/>
      <c r="X22" s="19"/>
      <c r="Y22" s="19"/>
      <c r="Z22" s="19"/>
      <c r="AA22" s="19"/>
    </row>
    <row r="23" ht="13.5" customHeight="1">
      <c r="A23" s="22"/>
      <c r="B23" s="17" t="s">
        <v>1333</v>
      </c>
      <c r="C23" s="22"/>
      <c r="D23" s="22"/>
      <c r="E23" s="22"/>
      <c r="F23" s="22"/>
      <c r="G23" s="22"/>
      <c r="H23" s="25"/>
      <c r="I23" s="26"/>
      <c r="J23" s="22"/>
      <c r="K23" s="22"/>
      <c r="L23" s="19"/>
      <c r="M23" s="19"/>
      <c r="N23" s="19"/>
      <c r="O23" s="19"/>
      <c r="P23" s="19"/>
      <c r="Q23" s="19"/>
      <c r="R23" s="19"/>
      <c r="S23" s="19"/>
      <c r="T23" s="19"/>
      <c r="U23" s="19"/>
      <c r="V23" s="19"/>
      <c r="W23" s="19"/>
      <c r="X23" s="19"/>
      <c r="Y23" s="19"/>
      <c r="Z23" s="19"/>
      <c r="AA23" s="19"/>
    </row>
    <row r="24" ht="13.5" customHeight="1">
      <c r="A24" s="22"/>
      <c r="B24" s="17" t="s">
        <v>1334</v>
      </c>
      <c r="C24" s="22"/>
      <c r="D24" s="22"/>
      <c r="E24" s="22"/>
      <c r="F24" s="22"/>
      <c r="G24" s="22"/>
      <c r="H24" s="27"/>
      <c r="I24" s="22"/>
      <c r="J24" s="22"/>
      <c r="K24" s="22"/>
      <c r="L24" s="19"/>
      <c r="M24" s="19"/>
      <c r="N24" s="19"/>
      <c r="O24" s="19"/>
      <c r="P24" s="19"/>
      <c r="Q24" s="19"/>
      <c r="R24" s="19"/>
      <c r="S24" s="19"/>
      <c r="T24" s="19"/>
      <c r="U24" s="19"/>
      <c r="V24" s="19"/>
      <c r="W24" s="19"/>
      <c r="X24" s="19"/>
      <c r="Y24" s="19"/>
      <c r="Z24" s="19"/>
      <c r="AA24" s="19"/>
    </row>
    <row r="25" ht="13.5" customHeight="1">
      <c r="A25" s="22"/>
      <c r="B25" s="22"/>
      <c r="C25" s="22"/>
      <c r="D25" s="22"/>
      <c r="E25" s="22"/>
      <c r="F25" s="22"/>
      <c r="G25" s="22"/>
      <c r="H25" s="22"/>
      <c r="I25" s="22"/>
      <c r="J25" s="22"/>
      <c r="K25" s="22"/>
      <c r="L25" s="19"/>
      <c r="M25" s="19"/>
      <c r="N25" s="19"/>
      <c r="O25" s="19"/>
      <c r="P25" s="19"/>
      <c r="Q25" s="19"/>
      <c r="R25" s="19"/>
      <c r="S25" s="19"/>
      <c r="T25" s="19"/>
      <c r="U25" s="19"/>
      <c r="V25" s="19"/>
      <c r="W25" s="19"/>
      <c r="X25" s="19"/>
      <c r="Y25" s="19"/>
      <c r="Z25" s="19"/>
      <c r="AA25" s="19"/>
    </row>
    <row r="26" ht="13.5" customHeight="1">
      <c r="A26" s="22"/>
      <c r="B26" s="22"/>
      <c r="C26" s="22"/>
      <c r="D26" s="22"/>
      <c r="E26" s="22"/>
      <c r="F26" s="22"/>
      <c r="G26" s="22"/>
      <c r="H26" s="22"/>
      <c r="I26" s="22"/>
      <c r="J26" s="22"/>
      <c r="K26" s="22"/>
      <c r="L26" s="19"/>
      <c r="M26" s="19"/>
      <c r="N26" s="19"/>
      <c r="O26" s="19"/>
      <c r="P26" s="19"/>
      <c r="Q26" s="19"/>
      <c r="R26" s="19"/>
      <c r="S26" s="19"/>
      <c r="T26" s="19"/>
      <c r="U26" s="19"/>
      <c r="V26" s="19"/>
      <c r="W26" s="19"/>
      <c r="X26" s="19"/>
      <c r="Y26" s="19"/>
      <c r="Z26" s="19"/>
      <c r="AA26" s="19"/>
    </row>
    <row r="27" ht="13.5" customHeight="1">
      <c r="A27" s="22"/>
      <c r="B27" s="22"/>
      <c r="C27" s="22"/>
      <c r="D27" s="22"/>
      <c r="E27" s="22"/>
      <c r="F27" s="22"/>
      <c r="G27" s="22"/>
      <c r="H27" s="22"/>
      <c r="I27" s="22"/>
      <c r="J27" s="22"/>
      <c r="K27" s="22"/>
      <c r="L27" s="19"/>
      <c r="M27" s="19"/>
      <c r="N27" s="19"/>
      <c r="O27" s="19"/>
      <c r="P27" s="19"/>
      <c r="Q27" s="19"/>
      <c r="R27" s="19"/>
      <c r="S27" s="19"/>
      <c r="T27" s="19"/>
      <c r="U27" s="19"/>
      <c r="V27" s="19"/>
      <c r="W27" s="19"/>
      <c r="X27" s="19"/>
      <c r="Y27" s="19"/>
      <c r="Z27" s="19"/>
      <c r="AA27" s="19"/>
    </row>
    <row r="28" ht="13.5" customHeight="1">
      <c r="A28" s="22"/>
      <c r="B28" s="22"/>
      <c r="C28" s="22"/>
      <c r="D28" s="22"/>
      <c r="E28" s="22"/>
      <c r="F28" s="22"/>
      <c r="G28" s="22"/>
      <c r="H28" s="22"/>
      <c r="I28" s="22"/>
      <c r="J28" s="22"/>
      <c r="K28" s="22"/>
      <c r="L28" s="19"/>
      <c r="M28" s="19"/>
      <c r="N28" s="19"/>
      <c r="O28" s="19"/>
      <c r="P28" s="19"/>
      <c r="Q28" s="19"/>
      <c r="R28" s="19"/>
      <c r="S28" s="19"/>
      <c r="T28" s="19"/>
      <c r="U28" s="19"/>
      <c r="V28" s="19"/>
      <c r="W28" s="19"/>
      <c r="X28" s="19"/>
      <c r="Y28" s="19"/>
      <c r="Z28" s="19"/>
      <c r="AA28" s="19"/>
    </row>
    <row r="29" ht="13.5" customHeight="1">
      <c r="A29" s="22"/>
      <c r="B29" s="22"/>
      <c r="C29" s="22"/>
      <c r="D29" s="22"/>
      <c r="E29" s="22"/>
      <c r="F29" s="22"/>
      <c r="G29" s="22"/>
      <c r="H29" s="22"/>
      <c r="I29" s="22"/>
      <c r="J29" s="22"/>
      <c r="K29" s="22"/>
      <c r="L29" s="19"/>
      <c r="M29" s="19"/>
      <c r="N29" s="19"/>
      <c r="O29" s="19"/>
      <c r="P29" s="19"/>
      <c r="Q29" s="19"/>
      <c r="R29" s="19"/>
      <c r="S29" s="19"/>
      <c r="T29" s="19"/>
      <c r="U29" s="19"/>
      <c r="V29" s="19"/>
      <c r="W29" s="19"/>
      <c r="X29" s="19"/>
      <c r="Y29" s="19"/>
      <c r="Z29" s="19"/>
      <c r="AA29" s="19"/>
    </row>
    <row r="30" ht="13.5" customHeight="1">
      <c r="H30" s="19"/>
      <c r="I30" s="19"/>
      <c r="L30" s="19"/>
      <c r="M30" s="19"/>
      <c r="N30" s="19"/>
      <c r="O30" s="19"/>
      <c r="P30" s="19"/>
      <c r="Q30" s="19"/>
      <c r="R30" s="19"/>
      <c r="S30" s="19"/>
      <c r="T30" s="19"/>
      <c r="U30" s="19"/>
      <c r="V30" s="19"/>
      <c r="W30" s="19"/>
      <c r="X30" s="19"/>
      <c r="Y30" s="19"/>
      <c r="Z30" s="19"/>
      <c r="AA30" s="19"/>
    </row>
    <row r="31" ht="13.5" customHeight="1">
      <c r="A31" s="19"/>
      <c r="B31" s="19"/>
      <c r="C31" s="19"/>
      <c r="D31" s="19"/>
      <c r="E31" s="28" t="s">
        <v>1335</v>
      </c>
      <c r="G31" s="19"/>
      <c r="H31" s="19"/>
      <c r="I31" s="19"/>
      <c r="J31" s="19"/>
      <c r="K31" s="19"/>
      <c r="L31" s="19"/>
      <c r="M31" s="19"/>
      <c r="N31" s="19"/>
      <c r="O31" s="19"/>
      <c r="P31" s="19"/>
      <c r="Q31" s="19"/>
      <c r="R31" s="19"/>
      <c r="S31" s="19"/>
      <c r="T31" s="19"/>
      <c r="U31" s="19"/>
      <c r="V31" s="19"/>
      <c r="W31" s="19"/>
      <c r="X31" s="19"/>
      <c r="Y31" s="19"/>
      <c r="Z31" s="19"/>
      <c r="AA31" s="19"/>
    </row>
    <row r="32"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ht="13.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ht="13.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ht="13.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ht="13.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ht="13.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ht="13.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ht="13.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ht="13.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ht="13.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ht="13.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ht="13.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ht="13.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ht="13.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ht="13.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ht="13.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ht="13.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ht="13.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ht="13.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ht="13.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ht="13.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ht="13.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ht="13.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3.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3.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E31:F31"/>
  </mergeCells>
  <hyperlinks>
    <hyperlink display="ISBLANK" location="'IS FUNCTIONS'!B2" ref="A2"/>
    <hyperlink display="SUM" location="MATHEMATICAL!B2" ref="B2"/>
    <hyperlink display="AVERAGEIF" location="CONDITIONAL!B2" ref="C2"/>
    <hyperlink display="FIND" location="'FIND &amp; SEARCH'!B2" ref="D2"/>
    <hyperlink display="MATCH" location="LOOKUP!B2" ref="E2"/>
    <hyperlink display="ADDRESS" location="REFERENCE!B2" ref="F2"/>
    <hyperlink display="DATE" location="'DATE &amp; TIME'!B2" ref="G2"/>
    <hyperlink display="TRIM" location="MISC.!B36" ref="H2"/>
    <hyperlink display="AREAS" location="MISC.!B2" ref="I2"/>
    <hyperlink display="RANK" location="RANK!B2" ref="J2"/>
    <hyperlink display="AND" location="LOGICAL!B2" ref="K2"/>
    <hyperlink display="ISERR" location="'IS FUNCTIONS'!B16" ref="A3"/>
    <hyperlink display="AVERAGE" location="MATHEMATICAL!B17" ref="B3"/>
    <hyperlink display="SUMIF" location="CONDITIONAL!B32" ref="C3"/>
    <hyperlink display="SEARCH" location="'FIND &amp; SEARCH'!B29" ref="D3"/>
    <hyperlink display="LOOKUP" location="LOOKUP!B18" ref="E3"/>
    <hyperlink display="CHOOSE" location="REFERENCE!B17" ref="F3"/>
    <hyperlink display="DATEVALUE" location="'DATE &amp; TIME'!B13" ref="G3"/>
    <hyperlink display="LEN" location="MISC.!B46" ref="H3"/>
    <hyperlink display="CHAR" location="MISC.!B10" ref="I3"/>
    <hyperlink display="RANK.AVG" location="RANK!B23" ref="J3"/>
    <hyperlink display="NOT" location="LOGICAL!B35" ref="K3"/>
    <hyperlink display="ISERROR" location="'IS FUNCTIONS'!B31" ref="A4"/>
    <hyperlink display="AVERAGEA" location="MATHEMATICAL!B36" ref="B4"/>
    <hyperlink display="COUNTIF" location="CONDITIONAL!B62" ref="C4"/>
    <hyperlink display="SUBSTITUTE" location="'FIND &amp; SEARCH'!B59" ref="D4"/>
    <hyperlink display="HLOOKUP" location="LOOKUP!B38" ref="E4"/>
    <hyperlink display="INDEX" location="REFERENCE!B36" ref="F4"/>
    <hyperlink display="TIME" location="'DATE &amp; TIME'!B22" ref="G4"/>
    <hyperlink display="ROW" location="MISC.!B60" ref="H4"/>
    <hyperlink display="CODE" location="MISC.!B17" ref="I4"/>
    <hyperlink display="RANK.EQ" location="RANK!B38" ref="J4"/>
    <hyperlink display="OR" location="LOGICAL!B18" ref="K4"/>
    <hyperlink display="ISEVEN" location="'IS FUNCTIONS'!B46" ref="A5"/>
    <hyperlink display="COUNT" location="MATHEMATICAL!B56" ref="B5"/>
    <hyperlink display="AVERAGEIFS" location="CONDITIONAL!B92" ref="C5"/>
    <hyperlink display="REPLACE" location="'FIND &amp; SEARCH'!B70" ref="D5"/>
    <hyperlink display="VLOOKUP" location="LOOKUP!B55" ref="E5"/>
    <hyperlink display="INDIRECT" location="REFERENCE!B85" ref="F5"/>
    <hyperlink display="TIMEVALUE" location="'DATE &amp; TIME'!B37" ref="G5"/>
    <hyperlink display="LEFT" location="MISC.!B107" ref="H5"/>
    <hyperlink display="CLEAN" location="MISC.!B27" ref="I5"/>
    <hyperlink display="XOR" location="LOGICAL!B43" ref="K5"/>
    <hyperlink display="ISODD" location="'IS FUNCTIONS'!B57" ref="A6"/>
    <hyperlink display="COUNTA" location="MATHEMATICAL!B74" ref="B6"/>
    <hyperlink display="SUMIFS" location="CONDITIONAL!B115" ref="C6"/>
    <hyperlink display="OFFSET" location="REFERENCE!B97" ref="F6"/>
    <hyperlink display="NOW" location="'DATE &amp; TIME'!B51" ref="G6"/>
    <hyperlink display="RIGHT" location="MISC.!B109" ref="H6"/>
    <hyperlink display="TYPE" location="MISC.!B232" ref="I6"/>
    <hyperlink display="ISFORMULA" location="'IS FUNCTIONS'!B68" ref="A7"/>
    <hyperlink display="MEDIAN" location="MATHEMATICAL!B92" ref="B7"/>
    <hyperlink display="COUNTIFS" location="CONDITIONAL!B138" ref="C7"/>
    <hyperlink display="TODAY" location="'DATE &amp; TIME'!B67" ref="G7"/>
    <hyperlink display="MID" location="MISC.!B111" ref="H7"/>
    <hyperlink display="VALUE" location="MISC.!B251" ref="I7"/>
    <hyperlink display="ISLOGICAL" location="'IS FUNCTIONS'!B80" ref="A8"/>
    <hyperlink display="SUMPRODUCT" location="MATHEMATICAL!B110" ref="B8"/>
    <hyperlink display="IF" location="CONDITIONAL!B159" ref="C8"/>
    <hyperlink display="YEAR" location="'DATE &amp; TIME'!B75" ref="G8"/>
    <hyperlink display="LOWER" location="MISC.!B144" ref="H8"/>
    <hyperlink display="COLUMN" location="MISC.!B58" ref="I8"/>
    <hyperlink display="ISNA" location="'IS FUNCTIONS'!B91" ref="A9"/>
    <hyperlink display="SUMSQ" location="MATHEMATICAL!B129" ref="B9"/>
    <hyperlink display="IFERROR" location="CONDITIONAL!B169" ref="C9"/>
    <hyperlink display="PROPER" location="MISC.!B146" ref="H9"/>
    <hyperlink display="ROW" location="MISC.!B60" ref="I9"/>
    <hyperlink display="ISNUMBER" location="'IS FUNCTIONS'!B102" ref="A10"/>
    <hyperlink display="COUNTBLANK" location="MATHEMATICAL!B143" ref="B10"/>
    <hyperlink display="IFNA" location="CONDITIONAL!B180" ref="C10"/>
    <hyperlink display="UPPER" location="MISC.!B148" ref="H10"/>
    <hyperlink display="EXACT" location="MISC.!B69" ref="I10"/>
    <hyperlink display="ISREF" location="'IS FUNCTIONS'!B114" ref="A11"/>
    <hyperlink display="EVEN" location="MATHEMATICAL!B158" ref="B11"/>
    <hyperlink display="FORMULATEXT" location="MISC.!B80" ref="I11"/>
    <hyperlink display="ISTEXT" location="'IS FUNCTIONS'!B126" ref="A12"/>
    <hyperlink display="ODD" location="MATHEMATICAL!B176" ref="B12"/>
    <hyperlink display="REPT" location="MISC.!B158" ref="I12"/>
    <hyperlink display="ISNONTEXT" location="'IS FUNCTIONS'!B137" ref="A13"/>
    <hyperlink display="INT" location="MATHEMATICAL!B192" ref="B13"/>
    <hyperlink display="SHEET" location="MISC.!B173" ref="I13"/>
    <hyperlink display="LARGE" location="MATHEMATICAL!B201" ref="B14"/>
    <hyperlink display="WEEKDAY" location="'DATE &amp; TIME'!B95" ref="G14"/>
    <hyperlink display="SHEETS" location="MISC.!B197" ref="I14"/>
    <hyperlink display="SMALL" location="MATHEMATICAL!B217" ref="B15"/>
    <hyperlink display="DAYS" location="'DATE &amp; TIME'!B118" ref="G15"/>
    <hyperlink display="TRANSPOSE" location="MISC.!B214" ref="I15"/>
    <hyperlink display="MAX" location="MATHEMATICAL!B232" ref="B16"/>
    <hyperlink display="NETWORKDAYS" location="'DATE &amp; TIME'!B134" ref="G16"/>
    <hyperlink display="MAXA" location="MATHEMATICAL!B235" ref="B17"/>
    <hyperlink display="WORKDAY" location="'DATE &amp; TIME'!B149" ref="G17"/>
    <hyperlink display="MIN" location="MATHEMATICAL!B267" ref="B18"/>
    <hyperlink display="MINA" location="MATHEMATICAL!B270" ref="B19"/>
    <hyperlink display="MOD" location="MATHEMATICAL!B301" ref="B20"/>
    <hyperlink display="RAND" location="MATHEMATICAL!B312" ref="B21"/>
    <hyperlink display="RANDBETWEEN" location="MATHEMATICAL!B315" ref="B22"/>
    <hyperlink display="SQRT" location="MATHEMATICAL!B327" ref="B23"/>
    <hyperlink display="SUBTOTAL" location="MATHEMATICAL!B337" ref="B24"/>
    <hyperlink r:id="rId1" ref="E31"/>
  </hyperlinks>
  <printOptions/>
  <pageMargins bottom="0.75" footer="0.0" header="0.0" left="0.7" right="0.7" top="0.75"/>
  <pageSetup paperSize="9"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74.43"/>
    <col customWidth="1" min="3" max="26" width="9.14"/>
  </cols>
  <sheetData>
    <row r="1" ht="13.5" customHeight="1">
      <c r="A1" s="19"/>
      <c r="B1" s="19"/>
      <c r="C1" s="19"/>
      <c r="D1" s="19"/>
      <c r="E1" s="19"/>
      <c r="F1" s="19"/>
      <c r="G1" s="19"/>
      <c r="H1" s="19"/>
      <c r="I1" s="19"/>
      <c r="J1" s="19"/>
      <c r="K1" s="19"/>
      <c r="L1" s="19"/>
      <c r="M1" s="19"/>
      <c r="N1" s="19"/>
      <c r="O1" s="19"/>
      <c r="P1" s="19"/>
      <c r="Q1" s="19"/>
      <c r="R1" s="19"/>
      <c r="S1" s="19"/>
      <c r="T1" s="19"/>
      <c r="U1" s="19"/>
      <c r="V1" s="19"/>
      <c r="W1" s="19"/>
      <c r="X1" s="19"/>
      <c r="Y1" s="19"/>
      <c r="Z1" s="19"/>
    </row>
    <row r="2" ht="13.5" customHeight="1">
      <c r="A2" s="19"/>
      <c r="B2" s="29" t="s">
        <v>1336</v>
      </c>
      <c r="C2" s="19"/>
      <c r="D2" s="19"/>
      <c r="E2" s="19"/>
      <c r="F2" s="19"/>
      <c r="G2" s="19"/>
      <c r="H2" s="19"/>
      <c r="I2" s="19"/>
      <c r="J2" s="19"/>
      <c r="K2" s="19"/>
      <c r="L2" s="19"/>
      <c r="M2" s="19"/>
      <c r="N2" s="19"/>
      <c r="O2" s="19"/>
      <c r="P2" s="19"/>
      <c r="Q2" s="19"/>
      <c r="R2" s="19"/>
      <c r="S2" s="19"/>
      <c r="T2" s="19"/>
      <c r="U2" s="19"/>
      <c r="V2" s="19"/>
      <c r="W2" s="19"/>
      <c r="X2" s="19"/>
      <c r="Y2" s="19"/>
      <c r="Z2" s="19"/>
    </row>
    <row r="3"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row>
    <row r="4" ht="13.5" customHeight="1">
      <c r="A4" s="19"/>
      <c r="B4" s="28" t="s">
        <v>1335</v>
      </c>
      <c r="D4" s="19"/>
      <c r="E4" s="19"/>
      <c r="F4" s="19"/>
      <c r="G4" s="19"/>
      <c r="H4" s="19"/>
      <c r="I4" s="19"/>
      <c r="J4" s="19"/>
      <c r="K4" s="19"/>
      <c r="L4" s="19"/>
      <c r="M4" s="19"/>
      <c r="N4" s="19"/>
      <c r="O4" s="19"/>
      <c r="P4" s="19"/>
      <c r="Q4" s="19"/>
      <c r="R4" s="19"/>
      <c r="S4" s="19"/>
      <c r="T4" s="19"/>
      <c r="U4" s="19"/>
      <c r="V4" s="19"/>
      <c r="W4" s="19"/>
      <c r="X4" s="19"/>
      <c r="Y4" s="19"/>
      <c r="Z4" s="19"/>
    </row>
    <row r="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row>
    <row r="6"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row>
    <row r="7"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row>
    <row r="8"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row>
    <row r="9"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3.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3.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3.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3.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3.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3.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3.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3.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3.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3.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3.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3.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3.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3.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3.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3.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3.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3.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3.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3.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3.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3.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3.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3.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4:C4"/>
  </mergeCells>
  <hyperlinks>
    <hyperlink r:id="rId1" ref="B4"/>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0.71"/>
    <col customWidth="1" min="3" max="3" width="23.71"/>
    <col customWidth="1" min="4" max="4" width="11.71"/>
    <col customWidth="1" min="5" max="5" width="88.43"/>
    <col customWidth="1" min="6" max="6" width="9.14"/>
    <col customWidth="1" min="7" max="7" width="11.86"/>
    <col customWidth="1" min="8" max="26" width="9.14"/>
  </cols>
  <sheetData>
    <row r="1" ht="13.5" customHeight="1">
      <c r="A1" s="19"/>
      <c r="B1" s="19"/>
      <c r="C1" s="19"/>
      <c r="D1" s="19"/>
      <c r="E1" s="30" t="s">
        <v>1335</v>
      </c>
      <c r="F1" s="19"/>
      <c r="G1" s="19"/>
      <c r="H1" s="19"/>
      <c r="I1" s="19"/>
      <c r="J1" s="19"/>
      <c r="K1" s="19"/>
      <c r="L1" s="19"/>
      <c r="M1" s="19"/>
      <c r="N1" s="19"/>
      <c r="O1" s="19"/>
      <c r="P1" s="19"/>
      <c r="Q1" s="19"/>
      <c r="R1" s="19"/>
      <c r="S1" s="19"/>
      <c r="T1" s="19"/>
      <c r="U1" s="19"/>
      <c r="V1" s="19"/>
      <c r="W1" s="19"/>
      <c r="X1" s="19"/>
      <c r="Y1" s="19"/>
      <c r="Z1" s="19"/>
    </row>
    <row r="2" ht="13.5" customHeight="1">
      <c r="A2" s="19"/>
      <c r="B2" s="31" t="s">
        <v>1337</v>
      </c>
      <c r="C2" s="32"/>
      <c r="D2" s="32"/>
      <c r="E2" s="33"/>
      <c r="F2" s="19"/>
      <c r="G2" s="30"/>
      <c r="H2" s="19"/>
      <c r="I2" s="19"/>
      <c r="J2" s="19"/>
      <c r="K2" s="19"/>
      <c r="L2" s="19"/>
      <c r="M2" s="19"/>
      <c r="N2" s="19"/>
      <c r="O2" s="19"/>
      <c r="P2" s="19"/>
      <c r="Q2" s="19"/>
      <c r="R2" s="19"/>
      <c r="S2" s="19"/>
      <c r="T2" s="19"/>
      <c r="U2" s="19"/>
      <c r="V2" s="19"/>
      <c r="W2" s="19"/>
      <c r="X2" s="19"/>
      <c r="Y2" s="19"/>
      <c r="Z2" s="19"/>
    </row>
    <row r="3" ht="13.5" customHeight="1">
      <c r="A3" s="19"/>
      <c r="B3" s="34" t="s">
        <v>1338</v>
      </c>
      <c r="C3" s="35"/>
      <c r="D3" s="35"/>
      <c r="E3" s="36"/>
      <c r="F3" s="19"/>
      <c r="G3" s="19"/>
      <c r="H3" s="19"/>
      <c r="I3" s="19"/>
      <c r="J3" s="19"/>
      <c r="K3" s="19"/>
      <c r="L3" s="19"/>
      <c r="M3" s="19"/>
      <c r="N3" s="19"/>
      <c r="O3" s="19"/>
      <c r="P3" s="19"/>
      <c r="Q3" s="19"/>
      <c r="R3" s="19"/>
      <c r="S3" s="19"/>
      <c r="T3" s="19"/>
      <c r="U3" s="19"/>
      <c r="V3" s="19"/>
      <c r="W3" s="19"/>
      <c r="X3" s="19"/>
      <c r="Y3" s="19"/>
      <c r="Z3" s="19"/>
    </row>
    <row r="4" ht="13.5" customHeight="1">
      <c r="A4" s="19"/>
      <c r="B4" s="37" t="s">
        <v>1339</v>
      </c>
      <c r="C4" s="38"/>
      <c r="D4" s="38"/>
      <c r="E4" s="39"/>
      <c r="F4" s="19"/>
      <c r="G4" s="19"/>
      <c r="H4" s="19"/>
      <c r="I4" s="19"/>
      <c r="J4" s="19"/>
      <c r="K4" s="19"/>
      <c r="L4" s="19"/>
      <c r="M4" s="19"/>
      <c r="N4" s="19"/>
      <c r="O4" s="19"/>
      <c r="P4" s="19"/>
      <c r="Q4" s="19"/>
      <c r="R4" s="19"/>
      <c r="S4" s="19"/>
      <c r="T4" s="19"/>
      <c r="U4" s="19"/>
      <c r="V4" s="19"/>
      <c r="W4" s="19"/>
      <c r="X4" s="19"/>
      <c r="Y4" s="19"/>
      <c r="Z4" s="19"/>
    </row>
    <row r="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row>
    <row r="6" ht="13.5" customHeight="1">
      <c r="A6" s="19"/>
      <c r="B6" s="40" t="s">
        <v>1340</v>
      </c>
      <c r="C6" s="40" t="s">
        <v>1341</v>
      </c>
      <c r="D6" s="40" t="s">
        <v>1342</v>
      </c>
      <c r="E6" s="40" t="s">
        <v>1343</v>
      </c>
      <c r="F6" s="19"/>
      <c r="G6" s="19"/>
      <c r="H6" s="19"/>
      <c r="I6" s="19"/>
      <c r="J6" s="19"/>
      <c r="K6" s="19"/>
      <c r="L6" s="19"/>
      <c r="M6" s="19"/>
      <c r="N6" s="19"/>
      <c r="O6" s="19"/>
      <c r="P6" s="19"/>
      <c r="Q6" s="19"/>
      <c r="R6" s="19"/>
      <c r="S6" s="19"/>
      <c r="T6" s="19"/>
      <c r="U6" s="19"/>
      <c r="V6" s="19"/>
      <c r="W6" s="19"/>
      <c r="X6" s="19"/>
      <c r="Y6" s="19"/>
      <c r="Z6" s="19"/>
    </row>
    <row r="7" ht="13.5" customHeight="1">
      <c r="A7" s="19"/>
      <c r="B7" s="22" t="s">
        <v>1344</v>
      </c>
      <c r="C7" s="22" t="str">
        <f t="shared" ref="C7:C12" si="1">_xludf.FORMULATEXT(D7)</f>
        <v>#NAME?</v>
      </c>
      <c r="D7" s="22" t="b">
        <f t="shared" ref="D7:D12" si="2">ISBLANK(B7)</f>
        <v>0</v>
      </c>
      <c r="E7" s="22" t="s">
        <v>1345</v>
      </c>
      <c r="F7" s="19"/>
      <c r="G7" s="19"/>
      <c r="H7" s="19"/>
      <c r="I7" s="19"/>
      <c r="J7" s="19"/>
      <c r="K7" s="19"/>
      <c r="L7" s="19"/>
      <c r="M7" s="19"/>
      <c r="N7" s="19"/>
      <c r="O7" s="19"/>
      <c r="P7" s="19"/>
      <c r="Q7" s="19"/>
      <c r="R7" s="19"/>
      <c r="S7" s="19"/>
      <c r="T7" s="19"/>
      <c r="U7" s="19"/>
      <c r="V7" s="19"/>
      <c r="W7" s="19"/>
      <c r="X7" s="19"/>
      <c r="Y7" s="19"/>
      <c r="Z7" s="19"/>
    </row>
    <row r="8" ht="13.5" customHeight="1">
      <c r="A8" s="19"/>
      <c r="B8" s="22" t="b">
        <v>1</v>
      </c>
      <c r="C8" s="22" t="str">
        <f t="shared" si="1"/>
        <v>#NAME?</v>
      </c>
      <c r="D8" s="22" t="b">
        <f t="shared" si="2"/>
        <v>0</v>
      </c>
      <c r="E8" s="22" t="s">
        <v>1346</v>
      </c>
      <c r="F8" s="19"/>
      <c r="G8" s="19"/>
      <c r="H8" s="19"/>
      <c r="I8" s="19"/>
      <c r="J8" s="19"/>
      <c r="K8" s="19"/>
      <c r="L8" s="19"/>
      <c r="M8" s="19"/>
      <c r="N8" s="19"/>
      <c r="O8" s="19"/>
      <c r="P8" s="19"/>
      <c r="Q8" s="19"/>
      <c r="R8" s="19"/>
      <c r="S8" s="19"/>
      <c r="T8" s="19"/>
      <c r="U8" s="19"/>
      <c r="V8" s="19"/>
      <c r="W8" s="19"/>
      <c r="X8" s="19"/>
      <c r="Y8" s="19"/>
      <c r="Z8" s="19"/>
    </row>
    <row r="9" ht="13.5" customHeight="1">
      <c r="A9" s="19"/>
      <c r="B9" s="22" t="b">
        <v>0</v>
      </c>
      <c r="C9" s="22" t="str">
        <f t="shared" si="1"/>
        <v>#NAME?</v>
      </c>
      <c r="D9" s="22" t="b">
        <f t="shared" si="2"/>
        <v>0</v>
      </c>
      <c r="E9" s="22" t="s">
        <v>1347</v>
      </c>
      <c r="F9" s="19"/>
      <c r="G9" s="19"/>
      <c r="H9" s="19"/>
      <c r="I9" s="19"/>
      <c r="J9" s="19"/>
      <c r="K9" s="19"/>
      <c r="L9" s="19"/>
      <c r="M9" s="19"/>
      <c r="N9" s="19"/>
      <c r="O9" s="19"/>
      <c r="P9" s="19"/>
      <c r="Q9" s="19"/>
      <c r="R9" s="19"/>
      <c r="S9" s="19"/>
      <c r="T9" s="19"/>
      <c r="U9" s="19"/>
      <c r="V9" s="19"/>
      <c r="W9" s="19"/>
      <c r="X9" s="19"/>
      <c r="Y9" s="19"/>
      <c r="Z9" s="19"/>
    </row>
    <row r="10" ht="13.5" customHeight="1">
      <c r="A10" s="19"/>
      <c r="B10" s="22"/>
      <c r="C10" s="22" t="str">
        <f t="shared" si="1"/>
        <v>#NAME?</v>
      </c>
      <c r="D10" s="22" t="b">
        <f t="shared" si="2"/>
        <v>1</v>
      </c>
      <c r="E10" s="22" t="s">
        <v>1348</v>
      </c>
      <c r="F10" s="19"/>
      <c r="G10" s="19"/>
      <c r="H10" s="19"/>
      <c r="I10" s="19"/>
      <c r="J10" s="19"/>
      <c r="K10" s="19"/>
      <c r="L10" s="19"/>
      <c r="M10" s="19"/>
      <c r="N10" s="19"/>
      <c r="O10" s="19"/>
      <c r="P10" s="19"/>
      <c r="Q10" s="19"/>
      <c r="R10" s="19"/>
      <c r="S10" s="19"/>
      <c r="T10" s="19"/>
      <c r="U10" s="19"/>
      <c r="V10" s="19"/>
      <c r="W10" s="19"/>
      <c r="X10" s="19"/>
      <c r="Y10" s="19"/>
      <c r="Z10" s="19"/>
    </row>
    <row r="11" ht="13.5" customHeight="1">
      <c r="A11" s="19"/>
      <c r="B11" s="22" t="s">
        <v>1349</v>
      </c>
      <c r="C11" s="22" t="str">
        <f t="shared" si="1"/>
        <v>#NAME?</v>
      </c>
      <c r="D11" s="22" t="b">
        <f t="shared" si="2"/>
        <v>0</v>
      </c>
      <c r="E11" s="22" t="s">
        <v>1350</v>
      </c>
      <c r="F11" s="19"/>
      <c r="G11" s="19"/>
      <c r="H11" s="19"/>
      <c r="I11" s="19"/>
      <c r="J11" s="19"/>
      <c r="K11" s="19"/>
      <c r="L11" s="19"/>
      <c r="M11" s="19"/>
      <c r="N11" s="19"/>
      <c r="O11" s="19"/>
      <c r="P11" s="19"/>
      <c r="Q11" s="19"/>
      <c r="R11" s="19"/>
      <c r="S11" s="19"/>
      <c r="T11" s="19"/>
      <c r="U11" s="19"/>
      <c r="V11" s="19"/>
      <c r="W11" s="19"/>
      <c r="X11" s="19"/>
      <c r="Y11" s="19"/>
      <c r="Z11" s="19"/>
    </row>
    <row r="12" ht="13.5" customHeight="1">
      <c r="A12" s="19"/>
      <c r="B12" s="22" t="s">
        <v>1351</v>
      </c>
      <c r="C12" s="22" t="str">
        <f t="shared" si="1"/>
        <v>#NAME?</v>
      </c>
      <c r="D12" s="22" t="b">
        <f t="shared" si="2"/>
        <v>0</v>
      </c>
      <c r="E12" s="22" t="s">
        <v>1352</v>
      </c>
      <c r="F12" s="19"/>
      <c r="G12" s="19"/>
      <c r="H12" s="19"/>
      <c r="I12" s="19"/>
      <c r="J12" s="19"/>
      <c r="K12" s="19"/>
      <c r="L12" s="19"/>
      <c r="M12" s="19"/>
      <c r="N12" s="19"/>
      <c r="O12" s="19"/>
      <c r="P12" s="19"/>
      <c r="Q12" s="19"/>
      <c r="R12" s="19"/>
      <c r="S12" s="19"/>
      <c r="T12" s="19"/>
      <c r="U12" s="19"/>
      <c r="V12" s="19"/>
      <c r="W12" s="19"/>
      <c r="X12" s="19"/>
      <c r="Y12" s="19"/>
      <c r="Z12" s="19"/>
    </row>
    <row r="13"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3.5" customHeight="1">
      <c r="A14" s="19"/>
      <c r="B14" s="41" t="s">
        <v>1353</v>
      </c>
      <c r="C14" s="19"/>
      <c r="D14" s="41"/>
      <c r="E14" s="19"/>
      <c r="F14" s="19"/>
      <c r="G14" s="19"/>
      <c r="H14" s="19"/>
      <c r="I14" s="19"/>
      <c r="J14" s="19"/>
      <c r="K14" s="19"/>
      <c r="L14" s="19"/>
      <c r="M14" s="19"/>
      <c r="N14" s="19"/>
      <c r="O14" s="19"/>
      <c r="P14" s="19"/>
      <c r="Q14" s="19"/>
      <c r="R14" s="19"/>
      <c r="S14" s="19"/>
      <c r="T14" s="19"/>
      <c r="U14" s="19"/>
      <c r="V14" s="19"/>
      <c r="W14" s="19"/>
      <c r="X14" s="19"/>
      <c r="Y14" s="19"/>
      <c r="Z14" s="19"/>
    </row>
    <row r="1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3.5" customHeight="1">
      <c r="A16" s="19"/>
      <c r="B16" s="31" t="s">
        <v>1354</v>
      </c>
      <c r="C16" s="32"/>
      <c r="D16" s="32"/>
      <c r="E16" s="33"/>
      <c r="F16" s="42"/>
      <c r="G16" s="19"/>
      <c r="H16" s="19"/>
      <c r="I16" s="19"/>
      <c r="J16" s="19"/>
      <c r="K16" s="19"/>
      <c r="L16" s="19"/>
      <c r="M16" s="19"/>
      <c r="N16" s="19"/>
      <c r="O16" s="19"/>
      <c r="P16" s="19"/>
      <c r="Q16" s="19"/>
      <c r="R16" s="19"/>
      <c r="S16" s="19"/>
      <c r="T16" s="19"/>
      <c r="U16" s="19"/>
      <c r="V16" s="19"/>
      <c r="W16" s="19"/>
      <c r="X16" s="19"/>
      <c r="Y16" s="19"/>
      <c r="Z16" s="19"/>
    </row>
    <row r="17" ht="13.5" customHeight="1">
      <c r="A17" s="19"/>
      <c r="B17" s="43" t="s">
        <v>1355</v>
      </c>
      <c r="C17" s="44"/>
      <c r="D17" s="44"/>
      <c r="E17" s="45"/>
      <c r="F17" s="35"/>
      <c r="G17" s="35"/>
      <c r="H17" s="19"/>
      <c r="I17" s="19"/>
      <c r="J17" s="19"/>
      <c r="K17" s="19"/>
      <c r="L17" s="19"/>
      <c r="M17" s="19"/>
      <c r="N17" s="19"/>
      <c r="O17" s="19"/>
      <c r="P17" s="19"/>
      <c r="Q17" s="19"/>
      <c r="R17" s="19"/>
      <c r="S17" s="19"/>
      <c r="T17" s="19"/>
      <c r="U17" s="19"/>
      <c r="V17" s="19"/>
      <c r="W17" s="19"/>
      <c r="X17" s="19"/>
      <c r="Y17" s="19"/>
      <c r="Z17" s="19"/>
    </row>
    <row r="18"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3.5" customHeight="1">
      <c r="A19" s="19"/>
      <c r="B19" s="40" t="s">
        <v>1340</v>
      </c>
      <c r="C19" s="40" t="s">
        <v>1341</v>
      </c>
      <c r="D19" s="40" t="s">
        <v>1342</v>
      </c>
      <c r="E19" s="40" t="s">
        <v>1343</v>
      </c>
      <c r="F19" s="19"/>
      <c r="G19" s="19"/>
      <c r="H19" s="19"/>
      <c r="I19" s="19"/>
      <c r="J19" s="19"/>
      <c r="K19" s="19"/>
      <c r="L19" s="19"/>
      <c r="M19" s="19"/>
      <c r="N19" s="19"/>
      <c r="O19" s="19"/>
      <c r="P19" s="19"/>
      <c r="Q19" s="19"/>
      <c r="R19" s="19"/>
      <c r="S19" s="19"/>
      <c r="T19" s="19"/>
      <c r="U19" s="19"/>
      <c r="V19" s="19"/>
      <c r="W19" s="19"/>
      <c r="X19" s="19"/>
      <c r="Y19" s="19"/>
      <c r="Z19" s="19"/>
    </row>
    <row r="20" ht="13.5" customHeight="1">
      <c r="A20" s="19"/>
      <c r="B20" s="22" t="e">
        <v>#VALUE!</v>
      </c>
      <c r="C20" s="22" t="str">
        <f t="shared" ref="C20:C27" si="3">_xludf.FORMULATEXT(D20)</f>
        <v>#NAME?</v>
      </c>
      <c r="D20" s="22" t="b">
        <f t="shared" ref="D20:D27" si="4">ISERR(B20)</f>
        <v>1</v>
      </c>
      <c r="E20" s="22" t="s">
        <v>1356</v>
      </c>
      <c r="F20" s="19"/>
      <c r="G20" s="19"/>
      <c r="H20" s="19"/>
      <c r="I20" s="19"/>
      <c r="J20" s="19"/>
      <c r="K20" s="19"/>
      <c r="L20" s="19"/>
      <c r="M20" s="19"/>
      <c r="N20" s="19"/>
      <c r="O20" s="19"/>
      <c r="P20" s="19"/>
      <c r="Q20" s="19"/>
      <c r="R20" s="19"/>
      <c r="S20" s="19"/>
      <c r="T20" s="19"/>
      <c r="U20" s="19"/>
      <c r="V20" s="19"/>
      <c r="W20" s="19"/>
      <c r="X20" s="19"/>
      <c r="Y20" s="19"/>
      <c r="Z20" s="19"/>
    </row>
    <row r="21" ht="13.5" customHeight="1">
      <c r="A21" s="19"/>
      <c r="B21" s="22" t="e">
        <v>#REF!</v>
      </c>
      <c r="C21" s="22" t="str">
        <f t="shared" si="3"/>
        <v>#NAME?</v>
      </c>
      <c r="D21" s="22" t="b">
        <f t="shared" si="4"/>
        <v>1</v>
      </c>
      <c r="E21" s="22" t="s">
        <v>1357</v>
      </c>
      <c r="F21" s="19"/>
      <c r="G21" s="19"/>
      <c r="H21" s="19"/>
      <c r="I21" s="19"/>
      <c r="J21" s="19"/>
      <c r="K21" s="19"/>
      <c r="L21" s="19"/>
      <c r="M21" s="19"/>
      <c r="N21" s="19"/>
      <c r="O21" s="19"/>
      <c r="P21" s="19"/>
      <c r="Q21" s="19"/>
      <c r="R21" s="19"/>
      <c r="S21" s="19"/>
      <c r="T21" s="19"/>
      <c r="U21" s="19"/>
      <c r="V21" s="19"/>
      <c r="W21" s="19"/>
      <c r="X21" s="19"/>
      <c r="Y21" s="19"/>
      <c r="Z21" s="19"/>
    </row>
    <row r="22" ht="13.5" customHeight="1">
      <c r="A22" s="19"/>
      <c r="B22" s="22" t="e">
        <v>#DIV/0!</v>
      </c>
      <c r="C22" s="22" t="str">
        <f t="shared" si="3"/>
        <v>#NAME?</v>
      </c>
      <c r="D22" s="22" t="b">
        <f t="shared" si="4"/>
        <v>1</v>
      </c>
      <c r="E22" s="22" t="s">
        <v>1358</v>
      </c>
      <c r="F22" s="19"/>
      <c r="G22" s="19"/>
      <c r="H22" s="19"/>
      <c r="I22" s="19"/>
      <c r="J22" s="19"/>
      <c r="K22" s="19"/>
      <c r="L22" s="19"/>
      <c r="M22" s="19"/>
      <c r="N22" s="19"/>
      <c r="O22" s="19"/>
      <c r="P22" s="19"/>
      <c r="Q22" s="19"/>
      <c r="R22" s="19"/>
      <c r="S22" s="19"/>
      <c r="T22" s="19"/>
      <c r="U22" s="19"/>
      <c r="V22" s="19"/>
      <c r="W22" s="19"/>
      <c r="X22" s="19"/>
      <c r="Y22" s="19"/>
      <c r="Z22" s="19"/>
    </row>
    <row r="23" ht="13.5" customHeight="1">
      <c r="A23" s="19"/>
      <c r="B23" s="22" t="e">
        <v>#NUM!</v>
      </c>
      <c r="C23" s="22" t="str">
        <f t="shared" si="3"/>
        <v>#NAME?</v>
      </c>
      <c r="D23" s="22" t="b">
        <f t="shared" si="4"/>
        <v>1</v>
      </c>
      <c r="E23" s="22" t="s">
        <v>1359</v>
      </c>
      <c r="F23" s="19"/>
      <c r="G23" s="19"/>
      <c r="H23" s="19"/>
      <c r="I23" s="19"/>
      <c r="J23" s="19"/>
      <c r="K23" s="19"/>
      <c r="L23" s="19"/>
      <c r="M23" s="19"/>
      <c r="N23" s="19"/>
      <c r="O23" s="19"/>
      <c r="P23" s="19"/>
      <c r="Q23" s="19"/>
      <c r="R23" s="19"/>
      <c r="S23" s="19"/>
      <c r="T23" s="19"/>
      <c r="U23" s="19"/>
      <c r="V23" s="19"/>
      <c r="W23" s="19"/>
      <c r="X23" s="19"/>
      <c r="Y23" s="19"/>
      <c r="Z23" s="19"/>
    </row>
    <row r="24" ht="13.5" customHeight="1">
      <c r="A24" s="19"/>
      <c r="B24" s="22" t="e">
        <v>#NAME?</v>
      </c>
      <c r="C24" s="22" t="str">
        <f t="shared" si="3"/>
        <v>#NAME?</v>
      </c>
      <c r="D24" s="22" t="b">
        <f t="shared" si="4"/>
        <v>1</v>
      </c>
      <c r="E24" s="22" t="s">
        <v>1360</v>
      </c>
      <c r="F24" s="19"/>
      <c r="G24" s="19"/>
      <c r="H24" s="19"/>
      <c r="I24" s="19"/>
      <c r="J24" s="19"/>
      <c r="K24" s="19"/>
      <c r="L24" s="19"/>
      <c r="M24" s="19"/>
      <c r="N24" s="19"/>
      <c r="O24" s="19"/>
      <c r="P24" s="19"/>
      <c r="Q24" s="19"/>
      <c r="R24" s="19"/>
      <c r="S24" s="19"/>
      <c r="T24" s="19"/>
      <c r="U24" s="19"/>
      <c r="V24" s="19"/>
      <c r="W24" s="19"/>
      <c r="X24" s="19"/>
      <c r="Y24" s="19"/>
      <c r="Z24" s="19"/>
    </row>
    <row r="25" ht="13.5" customHeight="1">
      <c r="A25" s="19"/>
      <c r="B25" s="22" t="e">
        <v>#NULL!</v>
      </c>
      <c r="C25" s="22" t="str">
        <f t="shared" si="3"/>
        <v>#NAME?</v>
      </c>
      <c r="D25" s="22" t="b">
        <f t="shared" si="4"/>
        <v>1</v>
      </c>
      <c r="E25" s="22" t="s">
        <v>1361</v>
      </c>
      <c r="F25" s="19"/>
      <c r="G25" s="19"/>
      <c r="H25" s="19"/>
      <c r="I25" s="19"/>
      <c r="J25" s="19"/>
      <c r="K25" s="19"/>
      <c r="L25" s="19"/>
      <c r="M25" s="19"/>
      <c r="N25" s="19"/>
      <c r="O25" s="19"/>
      <c r="P25" s="19"/>
      <c r="Q25" s="19"/>
      <c r="R25" s="19"/>
      <c r="S25" s="19"/>
      <c r="T25" s="19"/>
      <c r="U25" s="19"/>
      <c r="V25" s="19"/>
      <c r="W25" s="19"/>
      <c r="X25" s="19"/>
      <c r="Y25" s="19"/>
      <c r="Z25" s="19"/>
    </row>
    <row r="26" ht="13.5" customHeight="1">
      <c r="A26" s="19"/>
      <c r="B26" s="22" t="e">
        <v>#N/A</v>
      </c>
      <c r="C26" s="22" t="str">
        <f t="shared" si="3"/>
        <v>#NAME?</v>
      </c>
      <c r="D26" s="22" t="b">
        <f t="shared" si="4"/>
        <v>0</v>
      </c>
      <c r="E26" s="22" t="s">
        <v>1362</v>
      </c>
      <c r="F26" s="19"/>
      <c r="G26" s="19"/>
      <c r="H26" s="19"/>
      <c r="I26" s="19"/>
      <c r="J26" s="19"/>
      <c r="K26" s="19"/>
      <c r="L26" s="19"/>
      <c r="M26" s="19"/>
      <c r="N26" s="19"/>
      <c r="O26" s="19"/>
      <c r="P26" s="19"/>
      <c r="Q26" s="19"/>
      <c r="R26" s="19"/>
      <c r="S26" s="19"/>
      <c r="T26" s="19"/>
      <c r="U26" s="19"/>
      <c r="V26" s="19"/>
      <c r="W26" s="19"/>
      <c r="X26" s="19"/>
      <c r="Y26" s="19"/>
      <c r="Z26" s="19"/>
    </row>
    <row r="27" ht="13.5" customHeight="1">
      <c r="A27" s="19"/>
      <c r="B27" s="22" t="s">
        <v>1363</v>
      </c>
      <c r="C27" s="22" t="str">
        <f t="shared" si="3"/>
        <v>#NAME?</v>
      </c>
      <c r="D27" s="22" t="b">
        <f t="shared" si="4"/>
        <v>0</v>
      </c>
      <c r="E27" s="22" t="s">
        <v>1364</v>
      </c>
      <c r="F27" s="19"/>
      <c r="G27" s="19"/>
      <c r="H27" s="19"/>
      <c r="I27" s="19"/>
      <c r="J27" s="19"/>
      <c r="K27" s="19"/>
      <c r="L27" s="19"/>
      <c r="M27" s="19"/>
      <c r="N27" s="19"/>
      <c r="O27" s="19"/>
      <c r="P27" s="19"/>
      <c r="Q27" s="19"/>
      <c r="R27" s="19"/>
      <c r="S27" s="19"/>
      <c r="T27" s="19"/>
      <c r="U27" s="19"/>
      <c r="V27" s="19"/>
      <c r="W27" s="19"/>
      <c r="X27" s="19"/>
      <c r="Y27" s="19"/>
      <c r="Z27" s="19"/>
    </row>
    <row r="28"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3.5" customHeight="1">
      <c r="A29" s="19"/>
      <c r="B29" s="41" t="s">
        <v>1353</v>
      </c>
      <c r="C29" s="19"/>
      <c r="D29" s="41"/>
      <c r="E29" s="19"/>
      <c r="F29" s="19"/>
      <c r="G29" s="19"/>
      <c r="H29" s="19"/>
      <c r="I29" s="19"/>
      <c r="J29" s="19"/>
      <c r="K29" s="19"/>
      <c r="L29" s="19"/>
      <c r="M29" s="19"/>
      <c r="N29" s="19"/>
      <c r="O29" s="19"/>
      <c r="P29" s="19"/>
      <c r="Q29" s="19"/>
      <c r="R29" s="19"/>
      <c r="S29" s="19"/>
      <c r="T29" s="19"/>
      <c r="U29" s="19"/>
      <c r="V29" s="19"/>
      <c r="W29" s="19"/>
      <c r="X29" s="19"/>
      <c r="Y29" s="19"/>
      <c r="Z29" s="19"/>
    </row>
    <row r="30"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3.5" customHeight="1">
      <c r="A31" s="19"/>
      <c r="B31" s="31" t="s">
        <v>1365</v>
      </c>
      <c r="C31" s="32"/>
      <c r="D31" s="32"/>
      <c r="E31" s="33"/>
      <c r="F31" s="19"/>
      <c r="G31" s="19"/>
      <c r="H31" s="19"/>
      <c r="I31" s="19"/>
      <c r="J31" s="19"/>
      <c r="K31" s="19"/>
      <c r="L31" s="19"/>
      <c r="M31" s="19"/>
      <c r="N31" s="19"/>
      <c r="O31" s="19"/>
      <c r="P31" s="19"/>
      <c r="Q31" s="19"/>
      <c r="R31" s="19"/>
      <c r="S31" s="19"/>
      <c r="T31" s="19"/>
      <c r="U31" s="19"/>
      <c r="V31" s="19"/>
      <c r="W31" s="19"/>
      <c r="X31" s="19"/>
      <c r="Y31" s="19"/>
      <c r="Z31" s="19"/>
    </row>
    <row r="32" ht="13.5" customHeight="1">
      <c r="A32" s="19"/>
      <c r="B32" s="43" t="s">
        <v>1366</v>
      </c>
      <c r="C32" s="44"/>
      <c r="D32" s="44"/>
      <c r="E32" s="45"/>
      <c r="F32" s="19"/>
      <c r="G32" s="19"/>
      <c r="H32" s="19"/>
      <c r="I32" s="19"/>
      <c r="J32" s="19"/>
      <c r="K32" s="19"/>
      <c r="L32" s="19"/>
      <c r="M32" s="19"/>
      <c r="N32" s="19"/>
      <c r="O32" s="19"/>
      <c r="P32" s="19"/>
      <c r="Q32" s="19"/>
      <c r="R32" s="19"/>
      <c r="S32" s="19"/>
      <c r="T32" s="19"/>
      <c r="U32" s="19"/>
      <c r="V32" s="19"/>
      <c r="W32" s="19"/>
      <c r="X32" s="19"/>
      <c r="Y32" s="19"/>
      <c r="Z32" s="19"/>
    </row>
    <row r="33"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3.5" customHeight="1">
      <c r="A34" s="19"/>
      <c r="B34" s="40" t="s">
        <v>1340</v>
      </c>
      <c r="C34" s="40" t="s">
        <v>1341</v>
      </c>
      <c r="D34" s="40" t="s">
        <v>1342</v>
      </c>
      <c r="E34" s="40" t="s">
        <v>1343</v>
      </c>
      <c r="F34" s="19"/>
      <c r="G34" s="19"/>
      <c r="H34" s="19"/>
      <c r="I34" s="19"/>
      <c r="J34" s="19"/>
      <c r="K34" s="19"/>
      <c r="L34" s="19"/>
      <c r="M34" s="19"/>
      <c r="N34" s="19"/>
      <c r="O34" s="19"/>
      <c r="P34" s="19"/>
      <c r="Q34" s="19"/>
      <c r="R34" s="19"/>
      <c r="S34" s="19"/>
      <c r="T34" s="19"/>
      <c r="U34" s="19"/>
      <c r="V34" s="19"/>
      <c r="W34" s="19"/>
      <c r="X34" s="19"/>
      <c r="Y34" s="19"/>
      <c r="Z34" s="19"/>
    </row>
    <row r="35" ht="13.5" customHeight="1">
      <c r="A35" s="19"/>
      <c r="B35" s="22" t="e">
        <v>#VALUE!</v>
      </c>
      <c r="C35" s="22" t="str">
        <f t="shared" ref="C35:C42" si="5">_xludf.FORMULATEXT(D35)</f>
        <v>#NAME?</v>
      </c>
      <c r="D35" s="22" t="b">
        <f t="shared" ref="D35:D42" si="6">ISERROR(B35)</f>
        <v>1</v>
      </c>
      <c r="E35" s="22" t="s">
        <v>1367</v>
      </c>
      <c r="F35" s="19"/>
      <c r="G35" s="19"/>
      <c r="H35" s="19"/>
      <c r="I35" s="19"/>
      <c r="J35" s="19"/>
      <c r="K35" s="19"/>
      <c r="L35" s="19"/>
      <c r="M35" s="19"/>
      <c r="N35" s="19"/>
      <c r="O35" s="19"/>
      <c r="P35" s="19"/>
      <c r="Q35" s="19"/>
      <c r="R35" s="19"/>
      <c r="S35" s="19"/>
      <c r="T35" s="19"/>
      <c r="U35" s="19"/>
      <c r="V35" s="19"/>
      <c r="W35" s="19"/>
      <c r="X35" s="19"/>
      <c r="Y35" s="19"/>
      <c r="Z35" s="19"/>
    </row>
    <row r="36" ht="13.5" customHeight="1">
      <c r="A36" s="19"/>
      <c r="B36" s="22" t="e">
        <v>#REF!</v>
      </c>
      <c r="C36" s="22" t="str">
        <f t="shared" si="5"/>
        <v>#NAME?</v>
      </c>
      <c r="D36" s="22" t="b">
        <f t="shared" si="6"/>
        <v>1</v>
      </c>
      <c r="E36" s="22" t="s">
        <v>1368</v>
      </c>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22" t="e">
        <v>#DIV/0!</v>
      </c>
      <c r="C37" s="22" t="str">
        <f t="shared" si="5"/>
        <v>#NAME?</v>
      </c>
      <c r="D37" s="22" t="b">
        <f t="shared" si="6"/>
        <v>1</v>
      </c>
      <c r="E37" s="22" t="s">
        <v>1369</v>
      </c>
      <c r="F37" s="19"/>
      <c r="G37" s="19"/>
      <c r="H37" s="19"/>
      <c r="I37" s="19"/>
      <c r="J37" s="19"/>
      <c r="K37" s="19"/>
      <c r="L37" s="19"/>
      <c r="M37" s="19"/>
      <c r="N37" s="19"/>
      <c r="O37" s="19"/>
      <c r="P37" s="19"/>
      <c r="Q37" s="19"/>
      <c r="R37" s="19"/>
      <c r="S37" s="19"/>
      <c r="T37" s="19"/>
      <c r="U37" s="19"/>
      <c r="V37" s="19"/>
      <c r="W37" s="19"/>
      <c r="X37" s="19"/>
      <c r="Y37" s="19"/>
      <c r="Z37" s="19"/>
    </row>
    <row r="38" ht="13.5" customHeight="1">
      <c r="A38" s="19"/>
      <c r="B38" s="22" t="e">
        <v>#NUM!</v>
      </c>
      <c r="C38" s="22" t="str">
        <f t="shared" si="5"/>
        <v>#NAME?</v>
      </c>
      <c r="D38" s="22" t="b">
        <f t="shared" si="6"/>
        <v>1</v>
      </c>
      <c r="E38" s="22" t="s">
        <v>1370</v>
      </c>
      <c r="F38" s="19"/>
      <c r="G38" s="19"/>
      <c r="H38" s="19"/>
      <c r="I38" s="19"/>
      <c r="J38" s="19"/>
      <c r="K38" s="19"/>
      <c r="L38" s="19"/>
      <c r="M38" s="19"/>
      <c r="N38" s="19"/>
      <c r="O38" s="19"/>
      <c r="P38" s="19"/>
      <c r="Q38" s="19"/>
      <c r="R38" s="19"/>
      <c r="S38" s="19"/>
      <c r="T38" s="19"/>
      <c r="U38" s="19"/>
      <c r="V38" s="19"/>
      <c r="W38" s="19"/>
      <c r="X38" s="19"/>
      <c r="Y38" s="19"/>
      <c r="Z38" s="19"/>
    </row>
    <row r="39" ht="13.5" customHeight="1">
      <c r="A39" s="19"/>
      <c r="B39" s="22" t="e">
        <v>#NAME?</v>
      </c>
      <c r="C39" s="22" t="str">
        <f t="shared" si="5"/>
        <v>#NAME?</v>
      </c>
      <c r="D39" s="22" t="b">
        <f t="shared" si="6"/>
        <v>1</v>
      </c>
      <c r="E39" s="22" t="s">
        <v>1371</v>
      </c>
      <c r="F39" s="19"/>
      <c r="G39" s="19"/>
      <c r="H39" s="19"/>
      <c r="I39" s="19"/>
      <c r="J39" s="19"/>
      <c r="K39" s="19"/>
      <c r="L39" s="19"/>
      <c r="M39" s="19"/>
      <c r="N39" s="19"/>
      <c r="O39" s="19"/>
      <c r="P39" s="19"/>
      <c r="Q39" s="19"/>
      <c r="R39" s="19"/>
      <c r="S39" s="19"/>
      <c r="T39" s="19"/>
      <c r="U39" s="19"/>
      <c r="V39" s="19"/>
      <c r="W39" s="19"/>
      <c r="X39" s="19"/>
      <c r="Y39" s="19"/>
      <c r="Z39" s="19"/>
    </row>
    <row r="40" ht="13.5" customHeight="1">
      <c r="A40" s="19"/>
      <c r="B40" s="22" t="e">
        <v>#NULL!</v>
      </c>
      <c r="C40" s="22" t="str">
        <f t="shared" si="5"/>
        <v>#NAME?</v>
      </c>
      <c r="D40" s="22" t="b">
        <f t="shared" si="6"/>
        <v>1</v>
      </c>
      <c r="E40" s="22" t="s">
        <v>1372</v>
      </c>
      <c r="F40" s="19"/>
      <c r="G40" s="19"/>
      <c r="H40" s="19"/>
      <c r="I40" s="19"/>
      <c r="J40" s="19"/>
      <c r="K40" s="19"/>
      <c r="L40" s="19"/>
      <c r="M40" s="19"/>
      <c r="N40" s="19"/>
      <c r="O40" s="19"/>
      <c r="P40" s="19"/>
      <c r="Q40" s="19"/>
      <c r="R40" s="19"/>
      <c r="S40" s="19"/>
      <c r="T40" s="19"/>
      <c r="U40" s="19"/>
      <c r="V40" s="19"/>
      <c r="W40" s="19"/>
      <c r="X40" s="19"/>
      <c r="Y40" s="19"/>
      <c r="Z40" s="19"/>
    </row>
    <row r="41" ht="13.5" customHeight="1">
      <c r="A41" s="19"/>
      <c r="B41" s="22" t="e">
        <v>#N/A</v>
      </c>
      <c r="C41" s="22" t="str">
        <f t="shared" si="5"/>
        <v>#NAME?</v>
      </c>
      <c r="D41" s="22" t="b">
        <f t="shared" si="6"/>
        <v>1</v>
      </c>
      <c r="E41" s="22" t="s">
        <v>1373</v>
      </c>
      <c r="F41" s="19"/>
      <c r="G41" s="19"/>
      <c r="H41" s="19"/>
      <c r="I41" s="19"/>
      <c r="J41" s="19"/>
      <c r="K41" s="19"/>
      <c r="L41" s="19"/>
      <c r="M41" s="19"/>
      <c r="N41" s="19"/>
      <c r="O41" s="19"/>
      <c r="P41" s="19"/>
      <c r="Q41" s="19"/>
      <c r="R41" s="19"/>
      <c r="S41" s="19"/>
      <c r="T41" s="19"/>
      <c r="U41" s="19"/>
      <c r="V41" s="19"/>
      <c r="W41" s="19"/>
      <c r="X41" s="19"/>
      <c r="Y41" s="19"/>
      <c r="Z41" s="19"/>
    </row>
    <row r="42" ht="13.5" customHeight="1">
      <c r="A42" s="19"/>
      <c r="B42" s="22" t="s">
        <v>1363</v>
      </c>
      <c r="C42" s="22" t="str">
        <f t="shared" si="5"/>
        <v>#NAME?</v>
      </c>
      <c r="D42" s="22" t="b">
        <f t="shared" si="6"/>
        <v>0</v>
      </c>
      <c r="E42" s="22" t="s">
        <v>1374</v>
      </c>
      <c r="F42" s="19"/>
      <c r="G42" s="19"/>
      <c r="H42" s="19"/>
      <c r="I42" s="19"/>
      <c r="J42" s="19"/>
      <c r="K42" s="19"/>
      <c r="L42" s="19"/>
      <c r="M42" s="19"/>
      <c r="N42" s="19"/>
      <c r="O42" s="19"/>
      <c r="P42" s="19"/>
      <c r="Q42" s="19"/>
      <c r="R42" s="19"/>
      <c r="S42" s="19"/>
      <c r="T42" s="19"/>
      <c r="U42" s="19"/>
      <c r="V42" s="19"/>
      <c r="W42" s="19"/>
      <c r="X42" s="19"/>
      <c r="Y42" s="19"/>
      <c r="Z42" s="19"/>
    </row>
    <row r="43" ht="13.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3.5" customHeight="1">
      <c r="A44" s="19"/>
      <c r="B44" s="41" t="s">
        <v>1353</v>
      </c>
      <c r="C44" s="19"/>
      <c r="D44" s="41"/>
      <c r="E44" s="19"/>
      <c r="F44" s="19"/>
      <c r="G44" s="19"/>
      <c r="H44" s="19"/>
      <c r="I44" s="19"/>
      <c r="J44" s="19"/>
      <c r="K44" s="19"/>
      <c r="L44" s="19"/>
      <c r="M44" s="19"/>
      <c r="N44" s="19"/>
      <c r="O44" s="19"/>
      <c r="P44" s="19"/>
      <c r="Q44" s="19"/>
      <c r="R44" s="19"/>
      <c r="S44" s="19"/>
      <c r="T44" s="19"/>
      <c r="U44" s="19"/>
      <c r="V44" s="19"/>
      <c r="W44" s="19"/>
      <c r="X44" s="19"/>
      <c r="Y44" s="19"/>
      <c r="Z44" s="19"/>
    </row>
    <row r="45"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3.5" customHeight="1">
      <c r="A46" s="19"/>
      <c r="B46" s="31" t="s">
        <v>1375</v>
      </c>
      <c r="C46" s="32"/>
      <c r="D46" s="32"/>
      <c r="E46" s="33"/>
      <c r="F46" s="19"/>
      <c r="G46" s="19"/>
      <c r="H46" s="19"/>
      <c r="I46" s="19"/>
      <c r="J46" s="19"/>
      <c r="K46" s="19"/>
      <c r="L46" s="19"/>
      <c r="M46" s="19"/>
      <c r="N46" s="19"/>
      <c r="O46" s="19"/>
      <c r="P46" s="19"/>
      <c r="Q46" s="19"/>
      <c r="R46" s="19"/>
      <c r="S46" s="19"/>
      <c r="T46" s="19"/>
      <c r="U46" s="19"/>
      <c r="V46" s="19"/>
      <c r="W46" s="19"/>
      <c r="X46" s="19"/>
      <c r="Y46" s="19"/>
      <c r="Z46" s="19"/>
    </row>
    <row r="47" ht="13.5" customHeight="1">
      <c r="A47" s="19"/>
      <c r="B47" s="43" t="s">
        <v>1376</v>
      </c>
      <c r="C47" s="44"/>
      <c r="D47" s="44"/>
      <c r="E47" s="45"/>
      <c r="F47" s="19"/>
      <c r="G47" s="19"/>
      <c r="H47" s="19"/>
      <c r="I47" s="19"/>
      <c r="J47" s="19"/>
      <c r="K47" s="19"/>
      <c r="L47" s="19"/>
      <c r="M47" s="19"/>
      <c r="N47" s="19"/>
      <c r="O47" s="19"/>
      <c r="P47" s="19"/>
      <c r="Q47" s="19"/>
      <c r="R47" s="19"/>
      <c r="S47" s="19"/>
      <c r="T47" s="19"/>
      <c r="U47" s="19"/>
      <c r="V47" s="19"/>
      <c r="W47" s="19"/>
      <c r="X47" s="19"/>
      <c r="Y47" s="19"/>
      <c r="Z47" s="19"/>
    </row>
    <row r="48"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3.5" customHeight="1">
      <c r="A49" s="19"/>
      <c r="B49" s="40" t="s">
        <v>1340</v>
      </c>
      <c r="C49" s="40" t="s">
        <v>1341</v>
      </c>
      <c r="D49" s="40" t="s">
        <v>1342</v>
      </c>
      <c r="E49" s="40" t="s">
        <v>1343</v>
      </c>
      <c r="F49" s="19"/>
      <c r="G49" s="19"/>
      <c r="H49" s="19"/>
      <c r="I49" s="19"/>
      <c r="J49" s="19"/>
      <c r="K49" s="19"/>
      <c r="L49" s="19"/>
      <c r="M49" s="19"/>
      <c r="N49" s="19"/>
      <c r="O49" s="19"/>
      <c r="P49" s="19"/>
      <c r="Q49" s="19"/>
      <c r="R49" s="19"/>
      <c r="S49" s="19"/>
      <c r="T49" s="19"/>
      <c r="U49" s="19"/>
      <c r="V49" s="19"/>
      <c r="W49" s="19"/>
      <c r="X49" s="19"/>
      <c r="Y49" s="19"/>
      <c r="Z49" s="19"/>
    </row>
    <row r="50" ht="13.5" customHeight="1">
      <c r="A50" s="19"/>
      <c r="B50" s="22">
        <v>5.0</v>
      </c>
      <c r="C50" s="22" t="str">
        <f t="shared" ref="C50:C53" si="7">_xludf.FORMULATEXT(D50)</f>
        <v>#NAME?</v>
      </c>
      <c r="D50" s="22" t="b">
        <f t="shared" ref="D50:D53" si="8">ISEVEN(B50)</f>
        <v>0</v>
      </c>
      <c r="E50" s="22" t="s">
        <v>1377</v>
      </c>
      <c r="F50" s="19"/>
      <c r="G50" s="19"/>
      <c r="H50" s="19"/>
      <c r="I50" s="19"/>
      <c r="J50" s="19"/>
      <c r="K50" s="19"/>
      <c r="L50" s="19"/>
      <c r="M50" s="19"/>
      <c r="N50" s="19"/>
      <c r="O50" s="19"/>
      <c r="P50" s="19"/>
      <c r="Q50" s="19"/>
      <c r="R50" s="19"/>
      <c r="S50" s="19"/>
      <c r="T50" s="19"/>
      <c r="U50" s="19"/>
      <c r="V50" s="19"/>
      <c r="W50" s="19"/>
      <c r="X50" s="19"/>
      <c r="Y50" s="19"/>
      <c r="Z50" s="19"/>
    </row>
    <row r="51" ht="13.5" customHeight="1">
      <c r="A51" s="19"/>
      <c r="B51" s="22">
        <v>10.0</v>
      </c>
      <c r="C51" s="22" t="str">
        <f t="shared" si="7"/>
        <v>#NAME?</v>
      </c>
      <c r="D51" s="22" t="b">
        <f t="shared" si="8"/>
        <v>1</v>
      </c>
      <c r="E51" s="22" t="s">
        <v>1378</v>
      </c>
      <c r="F51" s="19"/>
      <c r="G51" s="19"/>
      <c r="H51" s="19"/>
      <c r="I51" s="19"/>
      <c r="J51" s="19"/>
      <c r="K51" s="19"/>
      <c r="L51" s="19"/>
      <c r="M51" s="19"/>
      <c r="N51" s="19"/>
      <c r="O51" s="19"/>
      <c r="P51" s="19"/>
      <c r="Q51" s="19"/>
      <c r="R51" s="19"/>
      <c r="S51" s="19"/>
      <c r="T51" s="19"/>
      <c r="U51" s="19"/>
      <c r="V51" s="19"/>
      <c r="W51" s="19"/>
      <c r="X51" s="19"/>
      <c r="Y51" s="19"/>
      <c r="Z51" s="19"/>
    </row>
    <row r="52" ht="13.5" customHeight="1">
      <c r="A52" s="19"/>
      <c r="B52" s="22" t="s">
        <v>1379</v>
      </c>
      <c r="C52" s="22" t="str">
        <f t="shared" si="7"/>
        <v>#NAME?</v>
      </c>
      <c r="D52" s="22" t="str">
        <f t="shared" si="8"/>
        <v>#VALUE!</v>
      </c>
      <c r="E52" s="22" t="s">
        <v>1380</v>
      </c>
      <c r="F52" s="19"/>
      <c r="G52" s="19"/>
      <c r="H52" s="19"/>
      <c r="I52" s="19"/>
      <c r="J52" s="19"/>
      <c r="K52" s="19"/>
      <c r="L52" s="19"/>
      <c r="M52" s="19"/>
      <c r="N52" s="19"/>
      <c r="O52" s="19"/>
      <c r="P52" s="19"/>
      <c r="Q52" s="19"/>
      <c r="R52" s="19"/>
      <c r="S52" s="19"/>
      <c r="T52" s="19"/>
      <c r="U52" s="19"/>
      <c r="V52" s="19"/>
      <c r="W52" s="19"/>
      <c r="X52" s="19"/>
      <c r="Y52" s="19"/>
      <c r="Z52" s="19"/>
    </row>
    <row r="53" ht="13.5" customHeight="1">
      <c r="A53" s="19"/>
      <c r="B53" s="22" t="s">
        <v>1381</v>
      </c>
      <c r="C53" s="22" t="str">
        <f t="shared" si="7"/>
        <v>#NAME?</v>
      </c>
      <c r="D53" s="22" t="str">
        <f t="shared" si="8"/>
        <v>#VALUE!</v>
      </c>
      <c r="E53" s="22" t="s">
        <v>1380</v>
      </c>
      <c r="F53" s="19"/>
      <c r="G53" s="19"/>
      <c r="H53" s="19"/>
      <c r="I53" s="19"/>
      <c r="J53" s="19"/>
      <c r="K53" s="19"/>
      <c r="L53" s="19"/>
      <c r="M53" s="19"/>
      <c r="N53" s="19"/>
      <c r="O53" s="19"/>
      <c r="P53" s="19"/>
      <c r="Q53" s="19"/>
      <c r="R53" s="19"/>
      <c r="S53" s="19"/>
      <c r="T53" s="19"/>
      <c r="U53" s="19"/>
      <c r="V53" s="19"/>
      <c r="W53" s="19"/>
      <c r="X53" s="19"/>
      <c r="Y53" s="19"/>
      <c r="Z53" s="19"/>
    </row>
    <row r="54" ht="13.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3.5" customHeight="1">
      <c r="A55" s="19"/>
      <c r="B55" s="41" t="s">
        <v>1353</v>
      </c>
      <c r="C55" s="19"/>
      <c r="D55" s="41"/>
      <c r="E55" s="19"/>
      <c r="F55" s="19"/>
      <c r="G55" s="19"/>
      <c r="H55" s="19"/>
      <c r="I55" s="19"/>
      <c r="J55" s="19"/>
      <c r="K55" s="19"/>
      <c r="L55" s="19"/>
      <c r="M55" s="19"/>
      <c r="N55" s="19"/>
      <c r="O55" s="19"/>
      <c r="P55" s="19"/>
      <c r="Q55" s="19"/>
      <c r="R55" s="19"/>
      <c r="S55" s="19"/>
      <c r="T55" s="19"/>
      <c r="U55" s="19"/>
      <c r="V55" s="19"/>
      <c r="W55" s="19"/>
      <c r="X55" s="19"/>
      <c r="Y55" s="19"/>
      <c r="Z55" s="19"/>
    </row>
    <row r="56" ht="13.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3.5" customHeight="1">
      <c r="A57" s="19"/>
      <c r="B57" s="31" t="s">
        <v>1382</v>
      </c>
      <c r="C57" s="32"/>
      <c r="D57" s="32"/>
      <c r="E57" s="33"/>
      <c r="F57" s="19"/>
      <c r="G57" s="19"/>
      <c r="H57" s="19"/>
      <c r="I57" s="19"/>
      <c r="J57" s="19"/>
      <c r="K57" s="19"/>
      <c r="L57" s="19"/>
      <c r="M57" s="19"/>
      <c r="N57" s="19"/>
      <c r="O57" s="19"/>
      <c r="P57" s="19"/>
      <c r="Q57" s="19"/>
      <c r="R57" s="19"/>
      <c r="S57" s="19"/>
      <c r="T57" s="19"/>
      <c r="U57" s="19"/>
      <c r="V57" s="19"/>
      <c r="W57" s="19"/>
      <c r="X57" s="19"/>
      <c r="Y57" s="19"/>
      <c r="Z57" s="19"/>
    </row>
    <row r="58" ht="13.5" customHeight="1">
      <c r="A58" s="19"/>
      <c r="B58" s="43" t="s">
        <v>1383</v>
      </c>
      <c r="C58" s="44"/>
      <c r="D58" s="44"/>
      <c r="E58" s="45"/>
      <c r="F58" s="19"/>
      <c r="G58" s="19"/>
      <c r="H58" s="19"/>
      <c r="I58" s="19"/>
      <c r="J58" s="19"/>
      <c r="K58" s="19"/>
      <c r="L58" s="19"/>
      <c r="M58" s="19"/>
      <c r="N58" s="19"/>
      <c r="O58" s="19"/>
      <c r="P58" s="19"/>
      <c r="Q58" s="19"/>
      <c r="R58" s="19"/>
      <c r="S58" s="19"/>
      <c r="T58" s="19"/>
      <c r="U58" s="19"/>
      <c r="V58" s="19"/>
      <c r="W58" s="19"/>
      <c r="X58" s="19"/>
      <c r="Y58" s="19"/>
      <c r="Z58" s="19"/>
    </row>
    <row r="59"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3.5" customHeight="1">
      <c r="A60" s="19"/>
      <c r="B60" s="40" t="s">
        <v>1340</v>
      </c>
      <c r="C60" s="40" t="s">
        <v>1341</v>
      </c>
      <c r="D60" s="40" t="s">
        <v>1342</v>
      </c>
      <c r="E60" s="40" t="s">
        <v>1343</v>
      </c>
      <c r="F60" s="19"/>
      <c r="G60" s="19"/>
      <c r="H60" s="19"/>
      <c r="I60" s="19"/>
      <c r="J60" s="19"/>
      <c r="K60" s="19"/>
      <c r="L60" s="19"/>
      <c r="M60" s="19"/>
      <c r="N60" s="19"/>
      <c r="O60" s="19"/>
      <c r="P60" s="19"/>
      <c r="Q60" s="19"/>
      <c r="R60" s="19"/>
      <c r="S60" s="19"/>
      <c r="T60" s="19"/>
      <c r="U60" s="19"/>
      <c r="V60" s="19"/>
      <c r="W60" s="19"/>
      <c r="X60" s="19"/>
      <c r="Y60" s="19"/>
      <c r="Z60" s="19"/>
    </row>
    <row r="61" ht="13.5" customHeight="1">
      <c r="A61" s="19"/>
      <c r="B61" s="22">
        <v>5.0</v>
      </c>
      <c r="C61" s="22" t="str">
        <f t="shared" ref="C61:C64" si="9">_xludf.FORMULATEXT(D61)</f>
        <v>#NAME?</v>
      </c>
      <c r="D61" s="22" t="b">
        <f t="shared" ref="D61:D64" si="10">ISODD(B61)</f>
        <v>1</v>
      </c>
      <c r="E61" s="22" t="s">
        <v>1384</v>
      </c>
      <c r="F61" s="19"/>
      <c r="G61" s="19"/>
      <c r="H61" s="19"/>
      <c r="I61" s="19"/>
      <c r="J61" s="19"/>
      <c r="K61" s="19"/>
      <c r="L61" s="19"/>
      <c r="M61" s="19"/>
      <c r="N61" s="19"/>
      <c r="O61" s="19"/>
      <c r="P61" s="19"/>
      <c r="Q61" s="19"/>
      <c r="R61" s="19"/>
      <c r="S61" s="19"/>
      <c r="T61" s="19"/>
      <c r="U61" s="19"/>
      <c r="V61" s="19"/>
      <c r="W61" s="19"/>
      <c r="X61" s="19"/>
      <c r="Y61" s="19"/>
      <c r="Z61" s="19"/>
    </row>
    <row r="62" ht="13.5" customHeight="1">
      <c r="A62" s="19"/>
      <c r="B62" s="22">
        <v>10.0</v>
      </c>
      <c r="C62" s="22" t="str">
        <f t="shared" si="9"/>
        <v>#NAME?</v>
      </c>
      <c r="D62" s="22" t="b">
        <f t="shared" si="10"/>
        <v>0</v>
      </c>
      <c r="E62" s="22" t="s">
        <v>1385</v>
      </c>
      <c r="F62" s="19"/>
      <c r="G62" s="19"/>
      <c r="H62" s="19"/>
      <c r="I62" s="19"/>
      <c r="J62" s="19"/>
      <c r="K62" s="19"/>
      <c r="L62" s="19"/>
      <c r="M62" s="19"/>
      <c r="N62" s="19"/>
      <c r="O62" s="19"/>
      <c r="P62" s="19"/>
      <c r="Q62" s="19"/>
      <c r="R62" s="19"/>
      <c r="S62" s="19"/>
      <c r="T62" s="19"/>
      <c r="U62" s="19"/>
      <c r="V62" s="19"/>
      <c r="W62" s="19"/>
      <c r="X62" s="19"/>
      <c r="Y62" s="19"/>
      <c r="Z62" s="19"/>
    </row>
    <row r="63" ht="13.5" customHeight="1">
      <c r="A63" s="19"/>
      <c r="B63" s="22" t="s">
        <v>1379</v>
      </c>
      <c r="C63" s="22" t="str">
        <f t="shared" si="9"/>
        <v>#NAME?</v>
      </c>
      <c r="D63" s="22" t="str">
        <f t="shared" si="10"/>
        <v>#VALUE!</v>
      </c>
      <c r="E63" s="22" t="s">
        <v>1380</v>
      </c>
      <c r="F63" s="19"/>
      <c r="G63" s="19"/>
      <c r="H63" s="19"/>
      <c r="I63" s="19"/>
      <c r="J63" s="19"/>
      <c r="K63" s="19"/>
      <c r="L63" s="19"/>
      <c r="M63" s="19"/>
      <c r="N63" s="19"/>
      <c r="O63" s="19"/>
      <c r="P63" s="19"/>
      <c r="Q63" s="19"/>
      <c r="R63" s="19"/>
      <c r="S63" s="19"/>
      <c r="T63" s="19"/>
      <c r="U63" s="19"/>
      <c r="V63" s="19"/>
      <c r="W63" s="19"/>
      <c r="X63" s="19"/>
      <c r="Y63" s="19"/>
      <c r="Z63" s="19"/>
    </row>
    <row r="64" ht="13.5" customHeight="1">
      <c r="A64" s="19"/>
      <c r="B64" s="22" t="s">
        <v>1381</v>
      </c>
      <c r="C64" s="22" t="str">
        <f t="shared" si="9"/>
        <v>#NAME?</v>
      </c>
      <c r="D64" s="22" t="str">
        <f t="shared" si="10"/>
        <v>#VALUE!</v>
      </c>
      <c r="E64" s="22" t="s">
        <v>1380</v>
      </c>
      <c r="F64" s="19"/>
      <c r="G64" s="19"/>
      <c r="H64" s="19"/>
      <c r="I64" s="19"/>
      <c r="J64" s="19"/>
      <c r="K64" s="19"/>
      <c r="L64" s="19"/>
      <c r="M64" s="19"/>
      <c r="N64" s="19"/>
      <c r="O64" s="19"/>
      <c r="P64" s="19"/>
      <c r="Q64" s="19"/>
      <c r="R64" s="19"/>
      <c r="S64" s="19"/>
      <c r="T64" s="19"/>
      <c r="U64" s="19"/>
      <c r="V64" s="19"/>
      <c r="W64" s="19"/>
      <c r="X64" s="19"/>
      <c r="Y64" s="19"/>
      <c r="Z64" s="19"/>
    </row>
    <row r="65" ht="13.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3.5" customHeight="1">
      <c r="A66" s="19"/>
      <c r="B66" s="41" t="s">
        <v>1353</v>
      </c>
      <c r="C66" s="19"/>
      <c r="D66" s="41"/>
      <c r="E66" s="19"/>
      <c r="F66" s="19"/>
      <c r="G66" s="19"/>
      <c r="H66" s="19"/>
      <c r="I66" s="19"/>
      <c r="J66" s="19"/>
      <c r="K66" s="19"/>
      <c r="L66" s="19"/>
      <c r="M66" s="19"/>
      <c r="N66" s="19"/>
      <c r="O66" s="19"/>
      <c r="P66" s="19"/>
      <c r="Q66" s="19"/>
      <c r="R66" s="19"/>
      <c r="S66" s="19"/>
      <c r="T66" s="19"/>
      <c r="U66" s="19"/>
      <c r="V66" s="19"/>
      <c r="W66" s="19"/>
      <c r="X66" s="19"/>
      <c r="Y66" s="19"/>
      <c r="Z66" s="19"/>
    </row>
    <row r="67"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3.5" customHeight="1">
      <c r="A68" s="19"/>
      <c r="B68" s="31" t="s">
        <v>1386</v>
      </c>
      <c r="C68" s="32"/>
      <c r="D68" s="32"/>
      <c r="E68" s="33"/>
      <c r="F68" s="19"/>
      <c r="G68" s="19"/>
      <c r="H68" s="19"/>
      <c r="I68" s="19"/>
      <c r="J68" s="19"/>
      <c r="K68" s="19"/>
      <c r="L68" s="19"/>
      <c r="M68" s="19"/>
      <c r="N68" s="19"/>
      <c r="O68" s="19"/>
      <c r="P68" s="19"/>
      <c r="Q68" s="19"/>
      <c r="R68" s="19"/>
      <c r="S68" s="19"/>
      <c r="T68" s="19"/>
      <c r="U68" s="19"/>
      <c r="V68" s="19"/>
      <c r="W68" s="19"/>
      <c r="X68" s="19"/>
      <c r="Y68" s="19"/>
      <c r="Z68" s="19"/>
    </row>
    <row r="69" ht="13.5" customHeight="1">
      <c r="A69" s="19"/>
      <c r="B69" s="43" t="s">
        <v>1387</v>
      </c>
      <c r="C69" s="44"/>
      <c r="D69" s="44"/>
      <c r="E69" s="45"/>
      <c r="F69" s="19"/>
      <c r="G69" s="19"/>
      <c r="H69" s="19"/>
      <c r="I69" s="19"/>
      <c r="J69" s="19"/>
      <c r="K69" s="19"/>
      <c r="L69" s="19"/>
      <c r="M69" s="19"/>
      <c r="N69" s="19"/>
      <c r="O69" s="19"/>
      <c r="P69" s="19"/>
      <c r="Q69" s="19"/>
      <c r="R69" s="19"/>
      <c r="S69" s="19"/>
      <c r="T69" s="19"/>
      <c r="U69" s="19"/>
      <c r="V69" s="19"/>
      <c r="W69" s="19"/>
      <c r="X69" s="19"/>
      <c r="Y69" s="19"/>
      <c r="Z69" s="19"/>
    </row>
    <row r="70"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3.5" customHeight="1">
      <c r="A71" s="19"/>
      <c r="B71" s="40" t="s">
        <v>1340</v>
      </c>
      <c r="C71" s="40" t="s">
        <v>1341</v>
      </c>
      <c r="D71" s="40" t="s">
        <v>1342</v>
      </c>
      <c r="E71" s="40" t="s">
        <v>1343</v>
      </c>
      <c r="F71" s="19"/>
      <c r="G71" s="19"/>
      <c r="H71" s="19"/>
      <c r="I71" s="19"/>
      <c r="J71" s="19"/>
      <c r="K71" s="19"/>
      <c r="L71" s="19"/>
      <c r="M71" s="19"/>
      <c r="N71" s="19"/>
      <c r="O71" s="19"/>
      <c r="P71" s="19"/>
      <c r="Q71" s="19"/>
      <c r="R71" s="19"/>
      <c r="S71" s="19"/>
      <c r="T71" s="19"/>
      <c r="U71" s="19"/>
      <c r="V71" s="19"/>
      <c r="W71" s="19"/>
      <c r="X71" s="19"/>
      <c r="Y71" s="19"/>
      <c r="Z71" s="19"/>
    </row>
    <row r="72" ht="13.5" customHeight="1">
      <c r="A72" s="19"/>
      <c r="B72" s="46">
        <f>TODAY()</f>
        <v>45489</v>
      </c>
      <c r="C72" s="22" t="str">
        <f t="shared" ref="C72:C76" si="11">_xludf.FORMULATEXT(D72)</f>
        <v>#NAME?</v>
      </c>
      <c r="D72" s="22" t="b">
        <f t="shared" ref="D72:D76" si="12">_xlfn.ISFORMULA(B72)</f>
        <v>1</v>
      </c>
      <c r="E72" s="22" t="s">
        <v>1388</v>
      </c>
      <c r="F72" s="19"/>
      <c r="G72" s="19"/>
      <c r="H72" s="19"/>
      <c r="I72" s="19"/>
      <c r="J72" s="19"/>
      <c r="K72" s="19"/>
      <c r="L72" s="19"/>
      <c r="M72" s="19"/>
      <c r="N72" s="19"/>
      <c r="O72" s="19"/>
      <c r="P72" s="19"/>
      <c r="Q72" s="19"/>
      <c r="R72" s="19"/>
      <c r="S72" s="19"/>
      <c r="T72" s="19"/>
      <c r="U72" s="19"/>
      <c r="V72" s="19"/>
      <c r="W72" s="19"/>
      <c r="X72" s="19"/>
      <c r="Y72" s="19"/>
      <c r="Z72" s="19"/>
    </row>
    <row r="73" ht="13.5" customHeight="1">
      <c r="A73" s="19"/>
      <c r="B73" s="46">
        <v>42308.0</v>
      </c>
      <c r="C73" s="22" t="str">
        <f t="shared" si="11"/>
        <v>#NAME?</v>
      </c>
      <c r="D73" s="22" t="b">
        <f t="shared" si="12"/>
        <v>0</v>
      </c>
      <c r="E73" s="22" t="s">
        <v>1389</v>
      </c>
      <c r="F73" s="19"/>
      <c r="G73" s="19"/>
      <c r="H73" s="19"/>
      <c r="I73" s="19"/>
      <c r="J73" s="19"/>
      <c r="K73" s="19"/>
      <c r="L73" s="19"/>
      <c r="M73" s="19"/>
      <c r="N73" s="19"/>
      <c r="O73" s="19"/>
      <c r="P73" s="19"/>
      <c r="Q73" s="19"/>
      <c r="R73" s="19"/>
      <c r="S73" s="19"/>
      <c r="T73" s="19"/>
      <c r="U73" s="19"/>
      <c r="V73" s="19"/>
      <c r="W73" s="19"/>
      <c r="X73" s="19"/>
      <c r="Y73" s="19"/>
      <c r="Z73" s="19"/>
    </row>
    <row r="74" ht="13.5" customHeight="1">
      <c r="A74" s="19"/>
      <c r="B74" s="47">
        <f>NOW()</f>
        <v>45489.13359</v>
      </c>
      <c r="C74" s="22" t="str">
        <f t="shared" si="11"/>
        <v>#NAME?</v>
      </c>
      <c r="D74" s="22" t="b">
        <f t="shared" si="12"/>
        <v>1</v>
      </c>
      <c r="E74" s="22" t="s">
        <v>1390</v>
      </c>
      <c r="F74" s="19"/>
      <c r="G74" s="19"/>
      <c r="H74" s="19"/>
      <c r="I74" s="19"/>
      <c r="J74" s="19"/>
      <c r="K74" s="19"/>
      <c r="L74" s="19"/>
      <c r="M74" s="19"/>
      <c r="N74" s="19"/>
      <c r="O74" s="19"/>
      <c r="P74" s="19"/>
      <c r="Q74" s="19"/>
      <c r="R74" s="19"/>
      <c r="S74" s="19"/>
      <c r="T74" s="19"/>
      <c r="U74" s="19"/>
      <c r="V74" s="19"/>
      <c r="W74" s="19"/>
      <c r="X74" s="19"/>
      <c r="Y74" s="19"/>
      <c r="Z74" s="19"/>
    </row>
    <row r="75" ht="13.5" customHeight="1">
      <c r="A75" s="19"/>
      <c r="B75" s="22" t="s">
        <v>1391</v>
      </c>
      <c r="C75" s="22" t="str">
        <f t="shared" si="11"/>
        <v>#NAME?</v>
      </c>
      <c r="D75" s="22" t="b">
        <f t="shared" si="12"/>
        <v>0</v>
      </c>
      <c r="E75" s="22" t="s">
        <v>1392</v>
      </c>
      <c r="F75" s="19"/>
      <c r="G75" s="19"/>
      <c r="H75" s="19"/>
      <c r="I75" s="19"/>
      <c r="J75" s="19"/>
      <c r="K75" s="19"/>
      <c r="L75" s="19"/>
      <c r="M75" s="19"/>
      <c r="N75" s="19"/>
      <c r="O75" s="19"/>
      <c r="P75" s="19"/>
      <c r="Q75" s="19"/>
      <c r="R75" s="19"/>
      <c r="S75" s="19"/>
      <c r="T75" s="19"/>
      <c r="U75" s="19"/>
      <c r="V75" s="19"/>
      <c r="W75" s="19"/>
      <c r="X75" s="19"/>
      <c r="Y75" s="19"/>
      <c r="Z75" s="19"/>
    </row>
    <row r="76" ht="13.5" customHeight="1">
      <c r="A76" s="19"/>
      <c r="B76" s="22" t="s">
        <v>1393</v>
      </c>
      <c r="C76" s="22" t="str">
        <f t="shared" si="11"/>
        <v>#NAME?</v>
      </c>
      <c r="D76" s="22" t="b">
        <f t="shared" si="12"/>
        <v>0</v>
      </c>
      <c r="E76" s="22" t="s">
        <v>1394</v>
      </c>
      <c r="F76" s="19"/>
      <c r="G76" s="19"/>
      <c r="H76" s="19"/>
      <c r="I76" s="19"/>
      <c r="J76" s="19"/>
      <c r="K76" s="19"/>
      <c r="L76" s="19"/>
      <c r="M76" s="19"/>
      <c r="N76" s="19"/>
      <c r="O76" s="19"/>
      <c r="P76" s="19"/>
      <c r="Q76" s="19"/>
      <c r="R76" s="19"/>
      <c r="S76" s="19"/>
      <c r="T76" s="19"/>
      <c r="U76" s="19"/>
      <c r="V76" s="19"/>
      <c r="W76" s="19"/>
      <c r="X76" s="19"/>
      <c r="Y76" s="19"/>
      <c r="Z76" s="19"/>
    </row>
    <row r="77"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3.5" customHeight="1">
      <c r="A78" s="19"/>
      <c r="B78" s="41" t="s">
        <v>1353</v>
      </c>
      <c r="C78" s="19"/>
      <c r="D78" s="41"/>
      <c r="E78" s="19"/>
      <c r="F78" s="19"/>
      <c r="G78" s="19"/>
      <c r="H78" s="19"/>
      <c r="I78" s="19"/>
      <c r="J78" s="19"/>
      <c r="K78" s="19"/>
      <c r="L78" s="19"/>
      <c r="M78" s="19"/>
      <c r="N78" s="19"/>
      <c r="O78" s="19"/>
      <c r="P78" s="19"/>
      <c r="Q78" s="19"/>
      <c r="R78" s="19"/>
      <c r="S78" s="19"/>
      <c r="T78" s="19"/>
      <c r="U78" s="19"/>
      <c r="V78" s="19"/>
      <c r="W78" s="19"/>
      <c r="X78" s="19"/>
      <c r="Y78" s="19"/>
      <c r="Z78" s="19"/>
    </row>
    <row r="79"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3.5" customHeight="1">
      <c r="A80" s="19"/>
      <c r="B80" s="31" t="s">
        <v>1395</v>
      </c>
      <c r="C80" s="32"/>
      <c r="D80" s="32"/>
      <c r="E80" s="33"/>
      <c r="F80" s="19"/>
      <c r="G80" s="19"/>
      <c r="H80" s="19"/>
      <c r="I80" s="19"/>
      <c r="J80" s="19"/>
      <c r="K80" s="19"/>
      <c r="L80" s="19"/>
      <c r="M80" s="19"/>
      <c r="N80" s="19"/>
      <c r="O80" s="19"/>
      <c r="P80" s="19"/>
      <c r="Q80" s="19"/>
      <c r="R80" s="19"/>
      <c r="S80" s="19"/>
      <c r="T80" s="19"/>
      <c r="U80" s="19"/>
      <c r="V80" s="19"/>
      <c r="W80" s="19"/>
      <c r="X80" s="19"/>
      <c r="Y80" s="19"/>
      <c r="Z80" s="19"/>
    </row>
    <row r="81" ht="13.5" customHeight="1">
      <c r="A81" s="19"/>
      <c r="B81" s="43" t="s">
        <v>1396</v>
      </c>
      <c r="C81" s="44"/>
      <c r="D81" s="44"/>
      <c r="E81" s="45"/>
      <c r="F81" s="19"/>
      <c r="G81" s="19"/>
      <c r="H81" s="19"/>
      <c r="I81" s="19"/>
      <c r="J81" s="19"/>
      <c r="K81" s="19"/>
      <c r="L81" s="19"/>
      <c r="M81" s="19"/>
      <c r="N81" s="19"/>
      <c r="O81" s="19"/>
      <c r="P81" s="19"/>
      <c r="Q81" s="19"/>
      <c r="R81" s="19"/>
      <c r="S81" s="19"/>
      <c r="T81" s="19"/>
      <c r="U81" s="19"/>
      <c r="V81" s="19"/>
      <c r="W81" s="19"/>
      <c r="X81" s="19"/>
      <c r="Y81" s="19"/>
      <c r="Z81" s="19"/>
    </row>
    <row r="82"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3.5" customHeight="1">
      <c r="A83" s="19"/>
      <c r="B83" s="40" t="s">
        <v>1340</v>
      </c>
      <c r="C83" s="40" t="s">
        <v>1341</v>
      </c>
      <c r="D83" s="40" t="s">
        <v>1342</v>
      </c>
      <c r="E83" s="40" t="s">
        <v>1343</v>
      </c>
      <c r="F83" s="19"/>
      <c r="G83" s="19"/>
      <c r="H83" s="19"/>
      <c r="I83" s="19"/>
      <c r="J83" s="19"/>
      <c r="K83" s="19"/>
      <c r="L83" s="19"/>
      <c r="M83" s="19"/>
      <c r="N83" s="19"/>
      <c r="O83" s="19"/>
      <c r="P83" s="19"/>
      <c r="Q83" s="19"/>
      <c r="R83" s="19"/>
      <c r="S83" s="19"/>
      <c r="T83" s="19"/>
      <c r="U83" s="19"/>
      <c r="V83" s="19"/>
      <c r="W83" s="19"/>
      <c r="X83" s="19"/>
      <c r="Y83" s="19"/>
      <c r="Z83" s="19"/>
    </row>
    <row r="84" ht="13.5" customHeight="1">
      <c r="A84" s="19"/>
      <c r="B84" s="46" t="b">
        <v>1</v>
      </c>
      <c r="C84" s="22" t="str">
        <f t="shared" ref="C84:C86" si="13">_xludf.FORMULATEXT(D84)</f>
        <v>#NAME?</v>
      </c>
      <c r="D84" s="22" t="b">
        <f t="shared" ref="D84:D86" si="14">ISLOGICAL(B84)</f>
        <v>1</v>
      </c>
      <c r="E84" s="22" t="s">
        <v>1397</v>
      </c>
      <c r="F84" s="19"/>
      <c r="G84" s="19"/>
      <c r="H84" s="19"/>
      <c r="I84" s="19"/>
      <c r="J84" s="19"/>
      <c r="K84" s="19"/>
      <c r="L84" s="19"/>
      <c r="M84" s="19"/>
      <c r="N84" s="19"/>
      <c r="O84" s="19"/>
      <c r="P84" s="19"/>
      <c r="Q84" s="19"/>
      <c r="R84" s="19"/>
      <c r="S84" s="19"/>
      <c r="T84" s="19"/>
      <c r="U84" s="19"/>
      <c r="V84" s="19"/>
      <c r="W84" s="19"/>
      <c r="X84" s="19"/>
      <c r="Y84" s="19"/>
      <c r="Z84" s="19"/>
    </row>
    <row r="85" ht="13.5" customHeight="1">
      <c r="A85" s="19"/>
      <c r="B85" s="46" t="b">
        <v>0</v>
      </c>
      <c r="C85" s="22" t="str">
        <f t="shared" si="13"/>
        <v>#NAME?</v>
      </c>
      <c r="D85" s="22" t="b">
        <f t="shared" si="14"/>
        <v>1</v>
      </c>
      <c r="E85" s="22" t="s">
        <v>1398</v>
      </c>
      <c r="F85" s="19"/>
      <c r="G85" s="19"/>
      <c r="H85" s="19"/>
      <c r="I85" s="19"/>
      <c r="J85" s="19"/>
      <c r="K85" s="19"/>
      <c r="L85" s="19"/>
      <c r="M85" s="19"/>
      <c r="N85" s="19"/>
      <c r="O85" s="19"/>
      <c r="P85" s="19"/>
      <c r="Q85" s="19"/>
      <c r="R85" s="19"/>
      <c r="S85" s="19"/>
      <c r="T85" s="19"/>
      <c r="U85" s="19"/>
      <c r="V85" s="19"/>
      <c r="W85" s="19"/>
      <c r="X85" s="19"/>
      <c r="Y85" s="19"/>
      <c r="Z85" s="19"/>
    </row>
    <row r="86" ht="13.5" customHeight="1">
      <c r="A86" s="19"/>
      <c r="B86" s="47" t="s">
        <v>1399</v>
      </c>
      <c r="C86" s="22" t="str">
        <f t="shared" si="13"/>
        <v>#NAME?</v>
      </c>
      <c r="D86" s="22" t="b">
        <f t="shared" si="14"/>
        <v>0</v>
      </c>
      <c r="E86" s="22" t="s">
        <v>1400</v>
      </c>
      <c r="F86" s="19"/>
      <c r="G86" s="19"/>
      <c r="H86" s="19"/>
      <c r="I86" s="19"/>
      <c r="J86" s="19"/>
      <c r="K86" s="19"/>
      <c r="L86" s="19"/>
      <c r="M86" s="19"/>
      <c r="N86" s="19"/>
      <c r="O86" s="19"/>
      <c r="P86" s="19"/>
      <c r="Q86" s="19"/>
      <c r="R86" s="19"/>
      <c r="S86" s="19"/>
      <c r="T86" s="19"/>
      <c r="U86" s="19"/>
      <c r="V86" s="19"/>
      <c r="W86" s="19"/>
      <c r="X86" s="19"/>
      <c r="Y86" s="19"/>
      <c r="Z86" s="19"/>
    </row>
    <row r="87" ht="13.5" customHeight="1">
      <c r="A87" s="19"/>
      <c r="B87" s="22"/>
      <c r="C87" s="22" t="s">
        <v>1401</v>
      </c>
      <c r="D87" s="22"/>
      <c r="E87" s="22" t="s">
        <v>1402</v>
      </c>
      <c r="F87" s="19"/>
      <c r="G87" s="19"/>
      <c r="H87" s="19"/>
      <c r="I87" s="19"/>
      <c r="J87" s="19"/>
      <c r="K87" s="19"/>
      <c r="L87" s="19"/>
      <c r="M87" s="19"/>
      <c r="N87" s="19"/>
      <c r="O87" s="19"/>
      <c r="P87" s="19"/>
      <c r="Q87" s="19"/>
      <c r="R87" s="19"/>
      <c r="S87" s="19"/>
      <c r="T87" s="19"/>
      <c r="U87" s="19"/>
      <c r="V87" s="19"/>
      <c r="W87" s="19"/>
      <c r="X87" s="19"/>
      <c r="Y87" s="19"/>
      <c r="Z87" s="19"/>
    </row>
    <row r="88"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3.5" customHeight="1">
      <c r="A89" s="19"/>
      <c r="B89" s="41" t="s">
        <v>1353</v>
      </c>
      <c r="C89" s="19"/>
      <c r="D89" s="41"/>
      <c r="E89" s="19"/>
      <c r="F89" s="19"/>
      <c r="G89" s="19"/>
      <c r="H89" s="19"/>
      <c r="I89" s="19"/>
      <c r="J89" s="19"/>
      <c r="K89" s="19"/>
      <c r="L89" s="19"/>
      <c r="M89" s="19"/>
      <c r="N89" s="19"/>
      <c r="O89" s="19"/>
      <c r="P89" s="19"/>
      <c r="Q89" s="19"/>
      <c r="R89" s="19"/>
      <c r="S89" s="19"/>
      <c r="T89" s="19"/>
      <c r="U89" s="19"/>
      <c r="V89" s="19"/>
      <c r="W89" s="19"/>
      <c r="X89" s="19"/>
      <c r="Y89" s="19"/>
      <c r="Z89" s="19"/>
    </row>
    <row r="90"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31" t="s">
        <v>1403</v>
      </c>
      <c r="C91" s="32"/>
      <c r="D91" s="32"/>
      <c r="E91" s="33"/>
      <c r="F91" s="19"/>
      <c r="G91" s="19"/>
      <c r="H91" s="19"/>
      <c r="I91" s="19"/>
      <c r="J91" s="19"/>
      <c r="K91" s="19"/>
      <c r="L91" s="19"/>
      <c r="M91" s="19"/>
      <c r="N91" s="19"/>
      <c r="O91" s="19"/>
      <c r="P91" s="19"/>
      <c r="Q91" s="19"/>
      <c r="R91" s="19"/>
      <c r="S91" s="19"/>
      <c r="T91" s="19"/>
      <c r="U91" s="19"/>
      <c r="V91" s="19"/>
      <c r="W91" s="19"/>
      <c r="X91" s="19"/>
      <c r="Y91" s="19"/>
      <c r="Z91" s="19"/>
    </row>
    <row r="92" ht="13.5" customHeight="1">
      <c r="A92" s="19"/>
      <c r="B92" s="43" t="s">
        <v>1404</v>
      </c>
      <c r="C92" s="44"/>
      <c r="D92" s="44"/>
      <c r="E92" s="45"/>
      <c r="F92" s="19"/>
      <c r="G92" s="19"/>
      <c r="H92" s="19"/>
      <c r="I92" s="19"/>
      <c r="J92" s="19"/>
      <c r="K92" s="19"/>
      <c r="L92" s="19"/>
      <c r="M92" s="19"/>
      <c r="N92" s="19"/>
      <c r="O92" s="19"/>
      <c r="P92" s="19"/>
      <c r="Q92" s="19"/>
      <c r="R92" s="19"/>
      <c r="S92" s="19"/>
      <c r="T92" s="19"/>
      <c r="U92" s="19"/>
      <c r="V92" s="19"/>
      <c r="W92" s="19"/>
      <c r="X92" s="19"/>
      <c r="Y92" s="19"/>
      <c r="Z92" s="19"/>
    </row>
    <row r="93"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3.5" customHeight="1">
      <c r="A94" s="19"/>
      <c r="B94" s="40" t="s">
        <v>1340</v>
      </c>
      <c r="C94" s="40" t="s">
        <v>1341</v>
      </c>
      <c r="D94" s="40" t="s">
        <v>1342</v>
      </c>
      <c r="E94" s="40" t="s">
        <v>1343</v>
      </c>
      <c r="F94" s="19"/>
      <c r="G94" s="19"/>
      <c r="H94" s="19"/>
      <c r="I94" s="19"/>
      <c r="J94" s="19"/>
      <c r="K94" s="19"/>
      <c r="L94" s="19"/>
      <c r="M94" s="19"/>
      <c r="N94" s="19"/>
      <c r="O94" s="19"/>
      <c r="P94" s="19"/>
      <c r="Q94" s="19"/>
      <c r="R94" s="19"/>
      <c r="S94" s="19"/>
      <c r="T94" s="19"/>
      <c r="U94" s="19"/>
      <c r="V94" s="19"/>
      <c r="W94" s="19"/>
      <c r="X94" s="19"/>
      <c r="Y94" s="19"/>
      <c r="Z94" s="19"/>
    </row>
    <row r="95" ht="13.5" customHeight="1">
      <c r="A95" s="19"/>
      <c r="B95" s="46" t="e">
        <v>#VALUE!</v>
      </c>
      <c r="C95" s="22" t="str">
        <f t="shared" ref="C95:C98" si="15">_xludf.FORMULATEXT(D95)</f>
        <v>#NAME?</v>
      </c>
      <c r="D95" s="22" t="b">
        <f t="shared" ref="D95:D98" si="16">ISNA(B95)</f>
        <v>0</v>
      </c>
      <c r="E95" s="22" t="s">
        <v>1405</v>
      </c>
      <c r="F95" s="19"/>
      <c r="G95" s="19"/>
      <c r="H95" s="19"/>
      <c r="I95" s="19"/>
      <c r="J95" s="19"/>
      <c r="K95" s="19"/>
      <c r="L95" s="19"/>
      <c r="M95" s="19"/>
      <c r="N95" s="19"/>
      <c r="O95" s="19"/>
      <c r="P95" s="19"/>
      <c r="Q95" s="19"/>
      <c r="R95" s="19"/>
      <c r="S95" s="19"/>
      <c r="T95" s="19"/>
      <c r="U95" s="19"/>
      <c r="V95" s="19"/>
      <c r="W95" s="19"/>
      <c r="X95" s="19"/>
      <c r="Y95" s="19"/>
      <c r="Z95" s="19"/>
    </row>
    <row r="96" ht="13.5" customHeight="1">
      <c r="A96" s="19"/>
      <c r="B96" s="46" t="e">
        <v>#REF!</v>
      </c>
      <c r="C96" s="22" t="str">
        <f t="shared" si="15"/>
        <v>#NAME?</v>
      </c>
      <c r="D96" s="22" t="b">
        <f t="shared" si="16"/>
        <v>0</v>
      </c>
      <c r="E96" s="22" t="s">
        <v>1406</v>
      </c>
      <c r="F96" s="19"/>
      <c r="G96" s="19"/>
      <c r="H96" s="19"/>
      <c r="I96" s="19"/>
      <c r="J96" s="19"/>
      <c r="K96" s="19"/>
      <c r="L96" s="19"/>
      <c r="M96" s="19"/>
      <c r="N96" s="19"/>
      <c r="O96" s="19"/>
      <c r="P96" s="19"/>
      <c r="Q96" s="19"/>
      <c r="R96" s="19"/>
      <c r="S96" s="19"/>
      <c r="T96" s="19"/>
      <c r="U96" s="19"/>
      <c r="V96" s="19"/>
      <c r="W96" s="19"/>
      <c r="X96" s="19"/>
      <c r="Y96" s="19"/>
      <c r="Z96" s="19"/>
    </row>
    <row r="97" ht="13.5" customHeight="1">
      <c r="A97" s="19"/>
      <c r="B97" s="47" t="e">
        <v>#NAME?</v>
      </c>
      <c r="C97" s="22" t="str">
        <f t="shared" si="15"/>
        <v>#NAME?</v>
      </c>
      <c r="D97" s="22" t="b">
        <f t="shared" si="16"/>
        <v>0</v>
      </c>
      <c r="E97" s="22" t="s">
        <v>1407</v>
      </c>
      <c r="F97" s="19"/>
      <c r="G97" s="19"/>
      <c r="H97" s="19"/>
      <c r="I97" s="19"/>
      <c r="J97" s="19"/>
      <c r="K97" s="19"/>
      <c r="L97" s="19"/>
      <c r="M97" s="19"/>
      <c r="N97" s="19"/>
      <c r="O97" s="19"/>
      <c r="P97" s="19"/>
      <c r="Q97" s="19"/>
      <c r="R97" s="19"/>
      <c r="S97" s="19"/>
      <c r="T97" s="19"/>
      <c r="U97" s="19"/>
      <c r="V97" s="19"/>
      <c r="W97" s="19"/>
      <c r="X97" s="19"/>
      <c r="Y97" s="19"/>
      <c r="Z97" s="19"/>
    </row>
    <row r="98" ht="13.5" customHeight="1">
      <c r="A98" s="19"/>
      <c r="B98" s="22" t="e">
        <v>#N/A</v>
      </c>
      <c r="C98" s="22" t="str">
        <f t="shared" si="15"/>
        <v>#NAME?</v>
      </c>
      <c r="D98" s="22" t="b">
        <f t="shared" si="16"/>
        <v>1</v>
      </c>
      <c r="E98" s="22" t="s">
        <v>1408</v>
      </c>
      <c r="F98" s="19"/>
      <c r="G98" s="19"/>
      <c r="H98" s="19"/>
      <c r="I98" s="19"/>
      <c r="J98" s="19"/>
      <c r="K98" s="19"/>
      <c r="L98" s="19"/>
      <c r="M98" s="19"/>
      <c r="N98" s="19"/>
      <c r="O98" s="19"/>
      <c r="P98" s="19"/>
      <c r="Q98" s="19"/>
      <c r="R98" s="19"/>
      <c r="S98" s="19"/>
      <c r="T98" s="19"/>
      <c r="U98" s="19"/>
      <c r="V98" s="19"/>
      <c r="W98" s="19"/>
      <c r="X98" s="19"/>
      <c r="Y98" s="19"/>
      <c r="Z98" s="19"/>
    </row>
    <row r="99"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3.5" customHeight="1">
      <c r="A100" s="19"/>
      <c r="B100" s="41" t="s">
        <v>1353</v>
      </c>
      <c r="C100" s="19"/>
      <c r="D100" s="41"/>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3.5" customHeight="1">
      <c r="A102" s="19"/>
      <c r="B102" s="31" t="s">
        <v>1409</v>
      </c>
      <c r="C102" s="32"/>
      <c r="D102" s="32"/>
      <c r="E102" s="33"/>
      <c r="F102" s="19"/>
      <c r="G102" s="19"/>
      <c r="H102" s="19"/>
      <c r="I102" s="19"/>
      <c r="J102" s="19"/>
      <c r="K102" s="19"/>
      <c r="L102" s="19"/>
      <c r="M102" s="19"/>
      <c r="N102" s="19"/>
      <c r="O102" s="19"/>
      <c r="P102" s="19"/>
      <c r="Q102" s="19"/>
      <c r="R102" s="19"/>
      <c r="S102" s="19"/>
      <c r="T102" s="19"/>
      <c r="U102" s="19"/>
      <c r="V102" s="19"/>
      <c r="W102" s="19"/>
      <c r="X102" s="19"/>
      <c r="Y102" s="19"/>
      <c r="Z102" s="19"/>
    </row>
    <row r="103" ht="13.5" customHeight="1">
      <c r="A103" s="19"/>
      <c r="B103" s="43" t="s">
        <v>1410</v>
      </c>
      <c r="C103" s="44"/>
      <c r="D103" s="44"/>
      <c r="E103" s="45"/>
      <c r="F103" s="19"/>
      <c r="G103" s="19"/>
      <c r="H103" s="19"/>
      <c r="I103" s="19"/>
      <c r="J103" s="19"/>
      <c r="K103" s="19"/>
      <c r="L103" s="19"/>
      <c r="M103" s="19"/>
      <c r="N103" s="19"/>
      <c r="O103" s="19"/>
      <c r="P103" s="19"/>
      <c r="Q103" s="19"/>
      <c r="R103" s="19"/>
      <c r="S103" s="19"/>
      <c r="T103" s="19"/>
      <c r="U103" s="19"/>
      <c r="V103" s="19"/>
      <c r="W103" s="19"/>
      <c r="X103" s="19"/>
      <c r="Y103" s="19"/>
      <c r="Z103" s="19"/>
    </row>
    <row r="104"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3.5" customHeight="1">
      <c r="A105" s="19"/>
      <c r="B105" s="40" t="s">
        <v>1340</v>
      </c>
      <c r="C105" s="40" t="s">
        <v>1341</v>
      </c>
      <c r="D105" s="40" t="s">
        <v>1342</v>
      </c>
      <c r="E105" s="40" t="s">
        <v>1343</v>
      </c>
      <c r="F105" s="19"/>
      <c r="G105" s="19"/>
      <c r="H105" s="19"/>
      <c r="I105" s="19"/>
      <c r="J105" s="19"/>
      <c r="K105" s="19"/>
      <c r="L105" s="19"/>
      <c r="M105" s="19"/>
      <c r="N105" s="19"/>
      <c r="O105" s="19"/>
      <c r="P105" s="19"/>
      <c r="Q105" s="19"/>
      <c r="R105" s="19"/>
      <c r="S105" s="19"/>
      <c r="T105" s="19"/>
      <c r="U105" s="19"/>
      <c r="V105" s="19"/>
      <c r="W105" s="19"/>
      <c r="X105" s="19"/>
      <c r="Y105" s="19"/>
      <c r="Z105" s="19"/>
    </row>
    <row r="106" ht="13.5" customHeight="1">
      <c r="A106" s="19"/>
      <c r="B106" s="46" t="s">
        <v>1411</v>
      </c>
      <c r="C106" s="22" t="str">
        <f t="shared" ref="C106:C110" si="17">_xludf.FORMULATEXT(D106)</f>
        <v>#NAME?</v>
      </c>
      <c r="D106" s="22" t="b">
        <f t="shared" ref="D106:D110" si="18">ISNUMBER(B106)</f>
        <v>0</v>
      </c>
      <c r="E106" s="22" t="s">
        <v>1412</v>
      </c>
      <c r="F106" s="19"/>
      <c r="G106" s="19"/>
      <c r="H106" s="19"/>
      <c r="I106" s="19"/>
      <c r="J106" s="19"/>
      <c r="K106" s="19"/>
      <c r="L106" s="19"/>
      <c r="M106" s="19"/>
      <c r="N106" s="19"/>
      <c r="O106" s="19"/>
      <c r="P106" s="19"/>
      <c r="Q106" s="19"/>
      <c r="R106" s="19"/>
      <c r="S106" s="19"/>
      <c r="T106" s="19"/>
      <c r="U106" s="19"/>
      <c r="V106" s="19"/>
      <c r="W106" s="19"/>
      <c r="X106" s="19"/>
      <c r="Y106" s="19"/>
      <c r="Z106" s="19"/>
    </row>
    <row r="107" ht="13.5" customHeight="1">
      <c r="A107" s="19"/>
      <c r="B107" s="22">
        <v>15.0</v>
      </c>
      <c r="C107" s="22" t="str">
        <f t="shared" si="17"/>
        <v>#NAME?</v>
      </c>
      <c r="D107" s="22" t="b">
        <f t="shared" si="18"/>
        <v>1</v>
      </c>
      <c r="E107" s="22" t="s">
        <v>1413</v>
      </c>
      <c r="F107" s="19"/>
      <c r="G107" s="19"/>
      <c r="H107" s="19"/>
      <c r="I107" s="19"/>
      <c r="J107" s="19"/>
      <c r="K107" s="19"/>
      <c r="L107" s="19"/>
      <c r="M107" s="19"/>
      <c r="N107" s="19"/>
      <c r="O107" s="19"/>
      <c r="P107" s="19"/>
      <c r="Q107" s="19"/>
      <c r="R107" s="19"/>
      <c r="S107" s="19"/>
      <c r="T107" s="19"/>
      <c r="U107" s="19"/>
      <c r="V107" s="19"/>
      <c r="W107" s="19"/>
      <c r="X107" s="19"/>
      <c r="Y107" s="19"/>
      <c r="Z107" s="19"/>
    </row>
    <row r="108" ht="13.5" customHeight="1">
      <c r="A108" s="19"/>
      <c r="B108" s="47" t="e">
        <v>#VALUE!</v>
      </c>
      <c r="C108" s="22" t="str">
        <f t="shared" si="17"/>
        <v>#NAME?</v>
      </c>
      <c r="D108" s="22" t="b">
        <f t="shared" si="18"/>
        <v>0</v>
      </c>
      <c r="E108" s="22" t="s">
        <v>1414</v>
      </c>
      <c r="F108" s="19"/>
      <c r="G108" s="19"/>
      <c r="H108" s="19"/>
      <c r="I108" s="19"/>
      <c r="J108" s="19"/>
      <c r="K108" s="19"/>
      <c r="L108" s="19"/>
      <c r="M108" s="19"/>
      <c r="N108" s="19"/>
      <c r="O108" s="19"/>
      <c r="P108" s="19"/>
      <c r="Q108" s="19"/>
      <c r="R108" s="19"/>
      <c r="S108" s="19"/>
      <c r="T108" s="19"/>
      <c r="U108" s="19"/>
      <c r="V108" s="19"/>
      <c r="W108" s="19"/>
      <c r="X108" s="19"/>
      <c r="Y108" s="19"/>
      <c r="Z108" s="19"/>
    </row>
    <row r="109" ht="13.5" customHeight="1">
      <c r="A109" s="19"/>
      <c r="B109" s="22">
        <v>89.0</v>
      </c>
      <c r="C109" s="22" t="str">
        <f t="shared" si="17"/>
        <v>#NAME?</v>
      </c>
      <c r="D109" s="22" t="b">
        <f t="shared" si="18"/>
        <v>1</v>
      </c>
      <c r="E109" s="22" t="s">
        <v>1415</v>
      </c>
      <c r="F109" s="19"/>
      <c r="G109" s="19"/>
      <c r="H109" s="19"/>
      <c r="I109" s="19"/>
      <c r="J109" s="19"/>
      <c r="K109" s="19"/>
      <c r="L109" s="19"/>
      <c r="M109" s="19"/>
      <c r="N109" s="19"/>
      <c r="O109" s="19"/>
      <c r="P109" s="19"/>
      <c r="Q109" s="19"/>
      <c r="R109" s="19"/>
      <c r="S109" s="19"/>
      <c r="T109" s="19"/>
      <c r="U109" s="19"/>
      <c r="V109" s="19"/>
      <c r="W109" s="19"/>
      <c r="X109" s="19"/>
      <c r="Y109" s="19"/>
      <c r="Z109" s="19"/>
    </row>
    <row r="110" ht="13.5" customHeight="1">
      <c r="A110" s="19"/>
      <c r="B110" s="46">
        <f>TODAY()</f>
        <v>45489</v>
      </c>
      <c r="C110" s="22" t="str">
        <f t="shared" si="17"/>
        <v>#NAME?</v>
      </c>
      <c r="D110" s="22" t="b">
        <f t="shared" si="18"/>
        <v>1</v>
      </c>
      <c r="E110" s="22" t="s">
        <v>1416</v>
      </c>
      <c r="F110" s="19"/>
      <c r="G110" s="19"/>
      <c r="H110" s="19"/>
      <c r="I110" s="19"/>
      <c r="J110" s="19"/>
      <c r="K110" s="19"/>
      <c r="L110" s="19"/>
      <c r="M110" s="19"/>
      <c r="N110" s="19"/>
      <c r="O110" s="19"/>
      <c r="P110" s="19"/>
      <c r="Q110" s="19"/>
      <c r="R110" s="19"/>
      <c r="S110" s="19"/>
      <c r="T110" s="19"/>
      <c r="U110" s="19"/>
      <c r="V110" s="19"/>
      <c r="W110" s="19"/>
      <c r="X110" s="19"/>
      <c r="Y110" s="19"/>
      <c r="Z110" s="19"/>
    </row>
    <row r="111"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3.5" customHeight="1">
      <c r="A112" s="19"/>
      <c r="B112" s="41" t="s">
        <v>1353</v>
      </c>
      <c r="C112" s="19"/>
      <c r="D112" s="41"/>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3.5" customHeight="1">
      <c r="A114" s="19"/>
      <c r="B114" s="31" t="s">
        <v>1417</v>
      </c>
      <c r="C114" s="32"/>
      <c r="D114" s="32"/>
      <c r="E114" s="33"/>
      <c r="F114" s="19"/>
      <c r="G114" s="19"/>
      <c r="H114" s="19"/>
      <c r="I114" s="19"/>
      <c r="J114" s="19"/>
      <c r="K114" s="19"/>
      <c r="L114" s="19"/>
      <c r="M114" s="19"/>
      <c r="N114" s="19"/>
      <c r="O114" s="19"/>
      <c r="P114" s="19"/>
      <c r="Q114" s="19"/>
      <c r="R114" s="19"/>
      <c r="S114" s="19"/>
      <c r="T114" s="19"/>
      <c r="U114" s="19"/>
      <c r="V114" s="19"/>
      <c r="W114" s="19"/>
      <c r="X114" s="19"/>
      <c r="Y114" s="19"/>
      <c r="Z114" s="19"/>
    </row>
    <row r="115" ht="13.5" customHeight="1">
      <c r="A115" s="19"/>
      <c r="B115" s="43" t="s">
        <v>1418</v>
      </c>
      <c r="C115" s="44"/>
      <c r="D115" s="44"/>
      <c r="E115" s="45"/>
      <c r="F115" s="19"/>
      <c r="G115" s="19"/>
      <c r="H115" s="19"/>
      <c r="I115" s="19"/>
      <c r="J115" s="19"/>
      <c r="K115" s="19"/>
      <c r="L115" s="19"/>
      <c r="M115" s="19"/>
      <c r="N115" s="19"/>
      <c r="O115" s="19"/>
      <c r="P115" s="19"/>
      <c r="Q115" s="19"/>
      <c r="R115" s="19"/>
      <c r="S115" s="19"/>
      <c r="T115" s="19"/>
      <c r="U115" s="19"/>
      <c r="V115" s="19"/>
      <c r="W115" s="19"/>
      <c r="X115" s="19"/>
      <c r="Y115" s="19"/>
      <c r="Z115" s="19"/>
    </row>
    <row r="11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3.5" customHeight="1">
      <c r="A117" s="19"/>
      <c r="B117" s="40" t="s">
        <v>1340</v>
      </c>
      <c r="C117" s="40" t="s">
        <v>1341</v>
      </c>
      <c r="D117" s="40" t="s">
        <v>1342</v>
      </c>
      <c r="E117" s="40" t="s">
        <v>1343</v>
      </c>
      <c r="F117" s="19"/>
      <c r="G117" s="19"/>
      <c r="H117" s="19"/>
      <c r="I117" s="19"/>
      <c r="J117" s="19"/>
      <c r="K117" s="19"/>
      <c r="L117" s="19"/>
      <c r="M117" s="19"/>
      <c r="N117" s="19"/>
      <c r="O117" s="19"/>
      <c r="P117" s="19"/>
      <c r="Q117" s="19"/>
      <c r="R117" s="19"/>
      <c r="S117" s="19"/>
      <c r="T117" s="19"/>
      <c r="U117" s="19"/>
      <c r="V117" s="19"/>
      <c r="W117" s="19"/>
      <c r="X117" s="19"/>
      <c r="Y117" s="19"/>
      <c r="Z117" s="19"/>
    </row>
    <row r="118" ht="13.5" customHeight="1">
      <c r="A118" s="19"/>
      <c r="B118" s="46"/>
      <c r="C118" s="22" t="s">
        <v>1419</v>
      </c>
      <c r="D118" s="22" t="b">
        <f t="shared" ref="D118:D120" si="19">ISREF(B118)</f>
        <v>1</v>
      </c>
      <c r="E118" s="22" t="s">
        <v>1420</v>
      </c>
      <c r="F118" s="19"/>
      <c r="G118" s="19"/>
      <c r="H118" s="19"/>
      <c r="I118" s="19"/>
      <c r="J118" s="19"/>
      <c r="K118" s="19"/>
      <c r="L118" s="19"/>
      <c r="M118" s="19"/>
      <c r="N118" s="19"/>
      <c r="O118" s="19"/>
      <c r="P118" s="19"/>
      <c r="Q118" s="19"/>
      <c r="R118" s="19"/>
      <c r="S118" s="19"/>
      <c r="T118" s="19"/>
      <c r="U118" s="19"/>
      <c r="V118" s="19"/>
      <c r="W118" s="19"/>
      <c r="X118" s="19"/>
      <c r="Y118" s="19"/>
      <c r="Z118" s="19"/>
    </row>
    <row r="119" ht="13.5" customHeight="1">
      <c r="A119" s="19"/>
      <c r="B119" s="22"/>
      <c r="C119" s="22" t="s">
        <v>1421</v>
      </c>
      <c r="D119" s="22" t="b">
        <f t="shared" si="19"/>
        <v>1</v>
      </c>
      <c r="E119" s="22" t="s">
        <v>1422</v>
      </c>
      <c r="F119" s="19"/>
      <c r="G119" s="19"/>
      <c r="H119" s="19"/>
      <c r="I119" s="19"/>
      <c r="J119" s="19"/>
      <c r="K119" s="19"/>
      <c r="L119" s="19"/>
      <c r="M119" s="19"/>
      <c r="N119" s="19"/>
      <c r="O119" s="19"/>
      <c r="P119" s="19"/>
      <c r="Q119" s="19"/>
      <c r="R119" s="19"/>
      <c r="S119" s="19"/>
      <c r="T119" s="19"/>
      <c r="U119" s="19"/>
      <c r="V119" s="19"/>
      <c r="W119" s="19"/>
      <c r="X119" s="19"/>
      <c r="Y119" s="19"/>
      <c r="Z119" s="19"/>
    </row>
    <row r="120" ht="13.5" customHeight="1">
      <c r="A120" s="19"/>
      <c r="B120" s="47"/>
      <c r="C120" s="22" t="s">
        <v>1423</v>
      </c>
      <c r="D120" s="22" t="b">
        <f t="shared" si="19"/>
        <v>1</v>
      </c>
      <c r="E120" s="22" t="s">
        <v>1424</v>
      </c>
      <c r="F120" s="19"/>
      <c r="G120" s="19"/>
      <c r="H120" s="19"/>
      <c r="I120" s="19"/>
      <c r="J120" s="19"/>
      <c r="K120" s="19"/>
      <c r="L120" s="19"/>
      <c r="M120" s="19"/>
      <c r="N120" s="19"/>
      <c r="O120" s="19"/>
      <c r="P120" s="19"/>
      <c r="Q120" s="19"/>
      <c r="R120" s="19"/>
      <c r="S120" s="19"/>
      <c r="T120" s="19"/>
      <c r="U120" s="19"/>
      <c r="V120" s="19"/>
      <c r="W120" s="19"/>
      <c r="X120" s="19"/>
      <c r="Y120" s="19"/>
      <c r="Z120" s="19"/>
    </row>
    <row r="121" ht="13.5" customHeight="1">
      <c r="A121" s="19"/>
      <c r="B121" s="22"/>
      <c r="C121" s="22" t="s">
        <v>1425</v>
      </c>
      <c r="D121" s="22" t="b">
        <v>0</v>
      </c>
      <c r="E121" s="22" t="s">
        <v>1426</v>
      </c>
      <c r="F121" s="19"/>
      <c r="G121" s="19"/>
      <c r="H121" s="19"/>
      <c r="I121" s="19"/>
      <c r="J121" s="19"/>
      <c r="K121" s="19"/>
      <c r="L121" s="19"/>
      <c r="M121" s="19"/>
      <c r="N121" s="19"/>
      <c r="O121" s="19"/>
      <c r="P121" s="19"/>
      <c r="Q121" s="19"/>
      <c r="R121" s="19"/>
      <c r="S121" s="19"/>
      <c r="T121" s="19"/>
      <c r="U121" s="19"/>
      <c r="V121" s="19"/>
      <c r="W121" s="19"/>
      <c r="X121" s="19"/>
      <c r="Y121" s="19"/>
      <c r="Z121" s="19"/>
    </row>
    <row r="122" ht="13.5" customHeight="1">
      <c r="A122" s="19"/>
      <c r="B122" s="46"/>
      <c r="C122" s="22" t="s">
        <v>1427</v>
      </c>
      <c r="D122" s="22" t="b">
        <v>1</v>
      </c>
      <c r="E122" s="22" t="s">
        <v>1428</v>
      </c>
      <c r="F122" s="19"/>
      <c r="G122" s="19"/>
      <c r="H122" s="19"/>
      <c r="I122" s="19"/>
      <c r="J122" s="19"/>
      <c r="K122" s="19"/>
      <c r="L122" s="19"/>
      <c r="M122" s="19"/>
      <c r="N122" s="19"/>
      <c r="O122" s="19"/>
      <c r="P122" s="19"/>
      <c r="Q122" s="19"/>
      <c r="R122" s="19"/>
      <c r="S122" s="19"/>
      <c r="T122" s="19"/>
      <c r="U122" s="19"/>
      <c r="V122" s="19"/>
      <c r="W122" s="19"/>
      <c r="X122" s="19"/>
      <c r="Y122" s="19"/>
      <c r="Z122" s="19"/>
    </row>
    <row r="123"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3.5" customHeight="1">
      <c r="A124" s="19"/>
      <c r="B124" s="41" t="s">
        <v>1353</v>
      </c>
      <c r="C124" s="19"/>
      <c r="D124" s="41"/>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3.5" customHeight="1">
      <c r="A126" s="19"/>
      <c r="B126" s="31" t="s">
        <v>1429</v>
      </c>
      <c r="C126" s="32"/>
      <c r="D126" s="32"/>
      <c r="E126" s="33"/>
      <c r="F126" s="19"/>
      <c r="G126" s="19"/>
      <c r="H126" s="19"/>
      <c r="I126" s="19"/>
      <c r="J126" s="19"/>
      <c r="K126" s="19"/>
      <c r="L126" s="19"/>
      <c r="M126" s="19"/>
      <c r="N126" s="19"/>
      <c r="O126" s="19"/>
      <c r="P126" s="19"/>
      <c r="Q126" s="19"/>
      <c r="R126" s="19"/>
      <c r="S126" s="19"/>
      <c r="T126" s="19"/>
      <c r="U126" s="19"/>
      <c r="V126" s="19"/>
      <c r="W126" s="19"/>
      <c r="X126" s="19"/>
      <c r="Y126" s="19"/>
      <c r="Z126" s="19"/>
    </row>
    <row r="127" ht="13.5" customHeight="1">
      <c r="A127" s="19"/>
      <c r="B127" s="43" t="s">
        <v>1430</v>
      </c>
      <c r="C127" s="44"/>
      <c r="D127" s="44"/>
      <c r="E127" s="45"/>
      <c r="F127" s="19"/>
      <c r="G127" s="19"/>
      <c r="H127" s="19"/>
      <c r="I127" s="19"/>
      <c r="J127" s="19"/>
      <c r="K127" s="19"/>
      <c r="L127" s="19"/>
      <c r="M127" s="19"/>
      <c r="N127" s="19"/>
      <c r="O127" s="19"/>
      <c r="P127" s="19"/>
      <c r="Q127" s="19"/>
      <c r="R127" s="19"/>
      <c r="S127" s="19"/>
      <c r="T127" s="19"/>
      <c r="U127" s="19"/>
      <c r="V127" s="19"/>
      <c r="W127" s="19"/>
      <c r="X127" s="19"/>
      <c r="Y127" s="19"/>
      <c r="Z127" s="19"/>
    </row>
    <row r="128"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3.5" customHeight="1">
      <c r="A129" s="19"/>
      <c r="B129" s="40" t="s">
        <v>1340</v>
      </c>
      <c r="C129" s="40" t="s">
        <v>1341</v>
      </c>
      <c r="D129" s="40" t="s">
        <v>1342</v>
      </c>
      <c r="E129" s="40" t="s">
        <v>1343</v>
      </c>
      <c r="F129" s="19"/>
      <c r="G129" s="19"/>
      <c r="H129" s="19"/>
      <c r="I129" s="19"/>
      <c r="J129" s="19"/>
      <c r="K129" s="19"/>
      <c r="L129" s="19"/>
      <c r="M129" s="19"/>
      <c r="N129" s="19"/>
      <c r="O129" s="19"/>
      <c r="P129" s="19"/>
      <c r="Q129" s="19"/>
      <c r="R129" s="19"/>
      <c r="S129" s="19"/>
      <c r="T129" s="19"/>
      <c r="U129" s="19"/>
      <c r="V129" s="19"/>
      <c r="W129" s="19"/>
      <c r="X129" s="19"/>
      <c r="Y129" s="19"/>
      <c r="Z129" s="19"/>
    </row>
    <row r="130" ht="13.5" customHeight="1">
      <c r="A130" s="19"/>
      <c r="B130" s="46" t="s">
        <v>1381</v>
      </c>
      <c r="C130" s="22" t="str">
        <f t="shared" ref="C130:C133" si="20">_xludf.FORMULATEXT(D130)</f>
        <v>#NAME?</v>
      </c>
      <c r="D130" s="22" t="b">
        <f t="shared" ref="D130:D133" si="21">ISTEXT(B130)</f>
        <v>1</v>
      </c>
      <c r="E130" s="22" t="s">
        <v>1431</v>
      </c>
      <c r="F130" s="19"/>
      <c r="G130" s="19"/>
      <c r="H130" s="19"/>
      <c r="I130" s="19"/>
      <c r="J130" s="19"/>
      <c r="K130" s="19"/>
      <c r="L130" s="19"/>
      <c r="M130" s="19"/>
      <c r="N130" s="19"/>
      <c r="O130" s="19"/>
      <c r="P130" s="19"/>
      <c r="Q130" s="19"/>
      <c r="R130" s="19"/>
      <c r="S130" s="19"/>
      <c r="T130" s="19"/>
      <c r="U130" s="19"/>
      <c r="V130" s="19"/>
      <c r="W130" s="19"/>
      <c r="X130" s="19"/>
      <c r="Y130" s="19"/>
      <c r="Z130" s="19"/>
    </row>
    <row r="131" ht="13.5" customHeight="1">
      <c r="A131" s="19"/>
      <c r="B131" s="22" t="s">
        <v>1432</v>
      </c>
      <c r="C131" s="22" t="str">
        <f t="shared" si="20"/>
        <v>#NAME?</v>
      </c>
      <c r="D131" s="22" t="b">
        <f t="shared" si="21"/>
        <v>1</v>
      </c>
      <c r="E131" s="22" t="s">
        <v>1433</v>
      </c>
      <c r="F131" s="19"/>
      <c r="G131" s="19"/>
      <c r="H131" s="19"/>
      <c r="I131" s="19"/>
      <c r="J131" s="19"/>
      <c r="K131" s="19"/>
      <c r="L131" s="19"/>
      <c r="M131" s="19"/>
      <c r="N131" s="19"/>
      <c r="O131" s="19"/>
      <c r="P131" s="19"/>
      <c r="Q131" s="19"/>
      <c r="R131" s="19"/>
      <c r="S131" s="19"/>
      <c r="T131" s="19"/>
      <c r="U131" s="19"/>
      <c r="V131" s="19"/>
      <c r="W131" s="19"/>
      <c r="X131" s="19"/>
      <c r="Y131" s="19"/>
      <c r="Z131" s="19"/>
    </row>
    <row r="132" ht="13.5" customHeight="1">
      <c r="A132" s="19"/>
      <c r="B132" s="47" t="e">
        <v>#VALUE!</v>
      </c>
      <c r="C132" s="22" t="str">
        <f t="shared" si="20"/>
        <v>#NAME?</v>
      </c>
      <c r="D132" s="22" t="b">
        <f t="shared" si="21"/>
        <v>0</v>
      </c>
      <c r="E132" s="22" t="s">
        <v>1434</v>
      </c>
      <c r="F132" s="19"/>
      <c r="G132" s="19"/>
      <c r="H132" s="19"/>
      <c r="I132" s="19"/>
      <c r="J132" s="19"/>
      <c r="K132" s="19"/>
      <c r="L132" s="19"/>
      <c r="M132" s="19"/>
      <c r="N132" s="19"/>
      <c r="O132" s="19"/>
      <c r="P132" s="19"/>
      <c r="Q132" s="19"/>
      <c r="R132" s="19"/>
      <c r="S132" s="19"/>
      <c r="T132" s="19"/>
      <c r="U132" s="19"/>
      <c r="V132" s="19"/>
      <c r="W132" s="19"/>
      <c r="X132" s="19"/>
      <c r="Y132" s="19"/>
      <c r="Z132" s="19"/>
    </row>
    <row r="133" ht="13.5" customHeight="1">
      <c r="A133" s="19"/>
      <c r="B133" s="22">
        <v>45.0</v>
      </c>
      <c r="C133" s="22" t="str">
        <f t="shared" si="20"/>
        <v>#NAME?</v>
      </c>
      <c r="D133" s="22" t="b">
        <f t="shared" si="21"/>
        <v>0</v>
      </c>
      <c r="E133" s="22" t="s">
        <v>1435</v>
      </c>
      <c r="F133" s="19"/>
      <c r="G133" s="19"/>
      <c r="H133" s="19"/>
      <c r="I133" s="19"/>
      <c r="J133" s="19"/>
      <c r="K133" s="19"/>
      <c r="L133" s="19"/>
      <c r="M133" s="19"/>
      <c r="N133" s="19"/>
      <c r="O133" s="19"/>
      <c r="P133" s="19"/>
      <c r="Q133" s="19"/>
      <c r="R133" s="19"/>
      <c r="S133" s="19"/>
      <c r="T133" s="19"/>
      <c r="U133" s="19"/>
      <c r="V133" s="19"/>
      <c r="W133" s="19"/>
      <c r="X133" s="19"/>
      <c r="Y133" s="19"/>
      <c r="Z133" s="19"/>
    </row>
    <row r="134"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3.5" customHeight="1">
      <c r="A135" s="19"/>
      <c r="B135" s="41" t="s">
        <v>1353</v>
      </c>
      <c r="C135" s="19"/>
      <c r="D135" s="41"/>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3.5" customHeight="1">
      <c r="A137" s="19"/>
      <c r="B137" s="31" t="s">
        <v>1436</v>
      </c>
      <c r="C137" s="32"/>
      <c r="D137" s="32"/>
      <c r="E137" s="33"/>
      <c r="F137" s="19"/>
      <c r="G137" s="19"/>
      <c r="H137" s="19"/>
      <c r="I137" s="19"/>
      <c r="J137" s="19"/>
      <c r="K137" s="19"/>
      <c r="L137" s="19"/>
      <c r="M137" s="19"/>
      <c r="N137" s="19"/>
      <c r="O137" s="19"/>
      <c r="P137" s="19"/>
      <c r="Q137" s="19"/>
      <c r="R137" s="19"/>
      <c r="S137" s="19"/>
      <c r="T137" s="19"/>
      <c r="U137" s="19"/>
      <c r="V137" s="19"/>
      <c r="W137" s="19"/>
      <c r="X137" s="19"/>
      <c r="Y137" s="19"/>
      <c r="Z137" s="19"/>
    </row>
    <row r="138" ht="13.5" customHeight="1">
      <c r="A138" s="19"/>
      <c r="B138" s="43" t="s">
        <v>1437</v>
      </c>
      <c r="C138" s="44"/>
      <c r="D138" s="44"/>
      <c r="E138" s="45"/>
      <c r="F138" s="19"/>
      <c r="G138" s="19"/>
      <c r="H138" s="19"/>
      <c r="I138" s="19"/>
      <c r="J138" s="19"/>
      <c r="K138" s="19"/>
      <c r="L138" s="19"/>
      <c r="M138" s="19"/>
      <c r="N138" s="19"/>
      <c r="O138" s="19"/>
      <c r="P138" s="19"/>
      <c r="Q138" s="19"/>
      <c r="R138" s="19"/>
      <c r="S138" s="19"/>
      <c r="T138" s="19"/>
      <c r="U138" s="19"/>
      <c r="V138" s="19"/>
      <c r="W138" s="19"/>
      <c r="X138" s="19"/>
      <c r="Y138" s="19"/>
      <c r="Z138" s="19"/>
    </row>
    <row r="139"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3.5" customHeight="1">
      <c r="A140" s="19"/>
      <c r="B140" s="40" t="s">
        <v>1340</v>
      </c>
      <c r="C140" s="40" t="s">
        <v>1341</v>
      </c>
      <c r="D140" s="40" t="s">
        <v>1342</v>
      </c>
      <c r="E140" s="40" t="s">
        <v>1343</v>
      </c>
      <c r="F140" s="19"/>
      <c r="G140" s="19"/>
      <c r="H140" s="19"/>
      <c r="I140" s="19"/>
      <c r="J140" s="19"/>
      <c r="K140" s="19"/>
      <c r="L140" s="19"/>
      <c r="M140" s="19"/>
      <c r="N140" s="19"/>
      <c r="O140" s="19"/>
      <c r="P140" s="19"/>
      <c r="Q140" s="19"/>
      <c r="R140" s="19"/>
      <c r="S140" s="19"/>
      <c r="T140" s="19"/>
      <c r="U140" s="19"/>
      <c r="V140" s="19"/>
      <c r="W140" s="19"/>
      <c r="X140" s="19"/>
      <c r="Y140" s="19"/>
      <c r="Z140" s="19"/>
    </row>
    <row r="141" ht="13.5" customHeight="1">
      <c r="A141" s="19"/>
      <c r="B141" s="46" t="b">
        <v>1</v>
      </c>
      <c r="C141" s="22" t="str">
        <f t="shared" ref="C141:C144" si="22">_xludf.FORMULATEXT(D141)</f>
        <v>#NAME?</v>
      </c>
      <c r="D141" s="22" t="b">
        <f t="shared" ref="D141:D144" si="23">ISNONTEXT(B141)</f>
        <v>1</v>
      </c>
      <c r="E141" s="22" t="s">
        <v>1438</v>
      </c>
      <c r="F141" s="19"/>
      <c r="G141" s="19"/>
      <c r="H141" s="19"/>
      <c r="I141" s="19"/>
      <c r="J141" s="19"/>
      <c r="K141" s="19"/>
      <c r="L141" s="19"/>
      <c r="M141" s="19"/>
      <c r="N141" s="19"/>
      <c r="O141" s="19"/>
      <c r="P141" s="19"/>
      <c r="Q141" s="19"/>
      <c r="R141" s="19"/>
      <c r="S141" s="19"/>
      <c r="T141" s="19"/>
      <c r="U141" s="19"/>
      <c r="V141" s="19"/>
      <c r="W141" s="19"/>
      <c r="X141" s="19"/>
      <c r="Y141" s="19"/>
      <c r="Z141" s="19"/>
    </row>
    <row r="142" ht="13.5" customHeight="1">
      <c r="A142" s="19"/>
      <c r="B142" s="22" t="s">
        <v>1439</v>
      </c>
      <c r="C142" s="22" t="str">
        <f t="shared" si="22"/>
        <v>#NAME?</v>
      </c>
      <c r="D142" s="22" t="b">
        <f t="shared" si="23"/>
        <v>0</v>
      </c>
      <c r="E142" s="22" t="s">
        <v>1440</v>
      </c>
      <c r="F142" s="19"/>
      <c r="G142" s="19"/>
      <c r="H142" s="19"/>
      <c r="I142" s="19"/>
      <c r="J142" s="19"/>
      <c r="K142" s="19"/>
      <c r="L142" s="19"/>
      <c r="M142" s="19"/>
      <c r="N142" s="19"/>
      <c r="O142" s="19"/>
      <c r="P142" s="19"/>
      <c r="Q142" s="19"/>
      <c r="R142" s="19"/>
      <c r="S142" s="19"/>
      <c r="T142" s="19"/>
      <c r="U142" s="19"/>
      <c r="V142" s="19"/>
      <c r="W142" s="19"/>
      <c r="X142" s="19"/>
      <c r="Y142" s="19"/>
      <c r="Z142" s="19"/>
    </row>
    <row r="143" ht="13.5" customHeight="1">
      <c r="A143" s="19"/>
      <c r="B143" s="47">
        <v>55.0</v>
      </c>
      <c r="C143" s="22" t="str">
        <f t="shared" si="22"/>
        <v>#NAME?</v>
      </c>
      <c r="D143" s="22" t="b">
        <f t="shared" si="23"/>
        <v>1</v>
      </c>
      <c r="E143" s="22" t="s">
        <v>1441</v>
      </c>
      <c r="F143" s="19"/>
      <c r="G143" s="19"/>
      <c r="H143" s="19"/>
      <c r="I143" s="19"/>
      <c r="J143" s="19"/>
      <c r="K143" s="19"/>
      <c r="L143" s="19"/>
      <c r="M143" s="19"/>
      <c r="N143" s="19"/>
      <c r="O143" s="19"/>
      <c r="P143" s="19"/>
      <c r="Q143" s="19"/>
      <c r="R143" s="19"/>
      <c r="S143" s="19"/>
      <c r="T143" s="19"/>
      <c r="U143" s="19"/>
      <c r="V143" s="19"/>
      <c r="W143" s="19"/>
      <c r="X143" s="19"/>
      <c r="Y143" s="19"/>
      <c r="Z143" s="19"/>
    </row>
    <row r="144" ht="13.5" customHeight="1">
      <c r="A144" s="19"/>
      <c r="B144" s="22" t="e">
        <v>#VALUE!</v>
      </c>
      <c r="C144" s="22" t="str">
        <f t="shared" si="22"/>
        <v>#NAME?</v>
      </c>
      <c r="D144" s="22" t="b">
        <f t="shared" si="23"/>
        <v>1</v>
      </c>
      <c r="E144" s="22" t="s">
        <v>1442</v>
      </c>
      <c r="F144" s="19"/>
      <c r="G144" s="19"/>
      <c r="H144" s="19"/>
      <c r="I144" s="19"/>
      <c r="J144" s="19"/>
      <c r="K144" s="19"/>
      <c r="L144" s="19"/>
      <c r="M144" s="19"/>
      <c r="N144" s="19"/>
      <c r="O144" s="19"/>
      <c r="P144" s="19"/>
      <c r="Q144" s="19"/>
      <c r="R144" s="19"/>
      <c r="S144" s="19"/>
      <c r="T144" s="19"/>
      <c r="U144" s="19"/>
      <c r="V144" s="19"/>
      <c r="W144" s="19"/>
      <c r="X144" s="19"/>
      <c r="Y144" s="19"/>
      <c r="Z144" s="19"/>
    </row>
    <row r="145"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3.5" customHeight="1">
      <c r="A146" s="19"/>
      <c r="B146" s="41" t="s">
        <v>1353</v>
      </c>
      <c r="C146" s="19"/>
      <c r="D146" s="41"/>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E1"/>
    <hyperlink display="Back to LIST OF FUNCTIONS" location="'LIST OF FUNCTIONS'!A1" ref="B14"/>
    <hyperlink display="Back to LIST OF FUNCTIONS" location="'LIST OF FUNCTIONS'!A1" ref="B29"/>
    <hyperlink display="Back to LIST OF FUNCTIONS" location="'LIST OF FUNCTIONS'!A1" ref="B44"/>
    <hyperlink display="Back to LIST OF FUNCTIONS" location="'LIST OF FUNCTIONS'!A1" ref="B55"/>
    <hyperlink display="Back to LIST OF FUNCTIONS" location="'LIST OF FUNCTIONS'!A1" ref="B66"/>
    <hyperlink display="Back to LIST OF FUNCTIONS" location="'LIST OF FUNCTIONS'!A1" ref="B78"/>
    <hyperlink display="Back to LIST OF FUNCTIONS" location="'LIST OF FUNCTIONS'!A1" ref="B89"/>
    <hyperlink display="Back to LIST OF FUNCTIONS" location="'LIST OF FUNCTIONS'!A1" ref="B100"/>
    <hyperlink display="Back to LIST OF FUNCTIONS" location="'LIST OF FUNCTIONS'!A1" ref="B112"/>
    <hyperlink display="Back to LIST OF FUNCTIONS" location="'LIST OF FUNCTIONS'!A1" ref="B124"/>
    <hyperlink display="Back to LIST OF FUNCTIONS" location="'LIST OF FUNCTIONS'!A1" ref="B135"/>
    <hyperlink display="Back to LIST OF FUNCTIONS" location="'LIST OF FUNCTIONS'!A1" ref="B146"/>
  </hyperlinks>
  <printOptions/>
  <pageMargins bottom="0.75" footer="0.0" header="0.0" left="0.7" right="0.7" top="0.75"/>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6"/>
    <col customWidth="1" min="2" max="2" width="15.86"/>
    <col customWidth="1" min="3" max="3" width="12.14"/>
    <col customWidth="1" min="4" max="4" width="12.71"/>
    <col customWidth="1" min="5" max="5" width="2.0"/>
    <col customWidth="1" min="6" max="6" width="61.0"/>
    <col customWidth="1" min="7" max="7" width="19.86"/>
    <col customWidth="1" min="8" max="8" width="63.71"/>
    <col customWidth="1" min="9" max="26" width="9.14"/>
  </cols>
  <sheetData>
    <row r="1" ht="13.5" customHeight="1">
      <c r="A1" s="19"/>
      <c r="B1" s="19"/>
      <c r="C1" s="19"/>
      <c r="D1" s="19"/>
      <c r="E1" s="19"/>
      <c r="F1" s="30" t="s">
        <v>1335</v>
      </c>
      <c r="G1" s="19"/>
      <c r="H1" s="19"/>
      <c r="I1" s="19"/>
      <c r="J1" s="19"/>
      <c r="K1" s="19"/>
      <c r="L1" s="19"/>
      <c r="M1" s="19"/>
      <c r="N1" s="19"/>
      <c r="O1" s="19"/>
      <c r="P1" s="19"/>
      <c r="Q1" s="19"/>
      <c r="R1" s="19"/>
      <c r="S1" s="19"/>
      <c r="T1" s="19"/>
      <c r="U1" s="19"/>
      <c r="V1" s="19"/>
      <c r="W1" s="19"/>
      <c r="X1" s="19"/>
      <c r="Y1" s="19"/>
      <c r="Z1" s="19"/>
    </row>
    <row r="2" ht="43.5" customHeight="1">
      <c r="A2" s="19"/>
      <c r="B2" s="48" t="s">
        <v>1443</v>
      </c>
      <c r="C2" s="49"/>
      <c r="D2" s="49"/>
      <c r="E2" s="49"/>
      <c r="F2" s="49"/>
      <c r="G2" s="50"/>
      <c r="H2" s="51"/>
      <c r="N2" s="19"/>
      <c r="O2" s="19"/>
      <c r="P2" s="19"/>
      <c r="Q2" s="19"/>
      <c r="R2" s="19"/>
      <c r="S2" s="19"/>
      <c r="T2" s="19"/>
      <c r="U2" s="19"/>
      <c r="V2" s="19"/>
      <c r="W2" s="19"/>
      <c r="X2" s="19"/>
      <c r="Y2" s="19"/>
      <c r="Z2" s="19"/>
    </row>
    <row r="3" ht="13.5" customHeight="1">
      <c r="A3" s="19"/>
      <c r="B3" s="43" t="s">
        <v>1444</v>
      </c>
      <c r="C3" s="44"/>
      <c r="D3" s="44"/>
      <c r="E3" s="44"/>
      <c r="F3" s="44"/>
      <c r="G3" s="44"/>
      <c r="H3" s="45"/>
      <c r="N3" s="19"/>
      <c r="O3" s="19"/>
      <c r="P3" s="19"/>
      <c r="Q3" s="19"/>
      <c r="R3" s="19"/>
      <c r="S3" s="19"/>
      <c r="T3" s="19"/>
      <c r="U3" s="19"/>
      <c r="V3" s="19"/>
      <c r="W3" s="19"/>
      <c r="X3" s="19"/>
      <c r="Y3" s="19"/>
      <c r="Z3" s="19"/>
    </row>
    <row r="4"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row>
    <row r="5" ht="13.5" customHeight="1">
      <c r="A5" s="19"/>
      <c r="B5" s="40" t="s">
        <v>1445</v>
      </c>
      <c r="C5" s="40" t="s">
        <v>1446</v>
      </c>
      <c r="D5" s="19"/>
      <c r="E5" s="19"/>
      <c r="F5" s="40" t="s">
        <v>1447</v>
      </c>
      <c r="G5" s="40" t="s">
        <v>1342</v>
      </c>
      <c r="H5" s="40" t="s">
        <v>1343</v>
      </c>
      <c r="I5" s="19"/>
      <c r="J5" s="19"/>
      <c r="K5" s="19"/>
      <c r="L5" s="19"/>
      <c r="M5" s="19"/>
      <c r="N5" s="19"/>
      <c r="O5" s="19"/>
      <c r="P5" s="19"/>
      <c r="Q5" s="19"/>
      <c r="R5" s="19"/>
      <c r="S5" s="19"/>
      <c r="T5" s="19"/>
      <c r="U5" s="19"/>
      <c r="V5" s="19"/>
      <c r="W5" s="19"/>
      <c r="X5" s="19"/>
      <c r="Y5" s="19"/>
      <c r="Z5" s="19"/>
    </row>
    <row r="6" ht="13.5" customHeight="1">
      <c r="A6" s="19"/>
      <c r="B6" s="22" t="s">
        <v>1448</v>
      </c>
      <c r="C6" s="22">
        <v>500.0</v>
      </c>
      <c r="D6" s="19"/>
      <c r="E6" s="19"/>
      <c r="F6" s="22" t="str">
        <f t="shared" ref="F6:F13" si="1">_xludf.FORMULATEXT(G6)</f>
        <v>#NAME?</v>
      </c>
      <c r="G6" s="22">
        <f>AVERAGEIF(B6:B27, "East", C6:C27)</f>
        <v>267.5</v>
      </c>
      <c r="H6" s="22" t="s">
        <v>1449</v>
      </c>
      <c r="I6" s="19"/>
      <c r="J6" s="19"/>
      <c r="K6" s="19"/>
      <c r="L6" s="19"/>
      <c r="M6" s="19"/>
      <c r="N6" s="19"/>
      <c r="O6" s="19"/>
      <c r="P6" s="19"/>
      <c r="Q6" s="19"/>
      <c r="R6" s="19"/>
      <c r="S6" s="19"/>
      <c r="T6" s="19"/>
      <c r="U6" s="19"/>
      <c r="V6" s="19"/>
      <c r="W6" s="19"/>
      <c r="X6" s="19"/>
      <c r="Y6" s="19"/>
      <c r="Z6" s="19"/>
    </row>
    <row r="7" ht="13.5" customHeight="1">
      <c r="A7" s="19"/>
      <c r="B7" s="22" t="s">
        <v>1450</v>
      </c>
      <c r="C7" s="22">
        <v>50.0</v>
      </c>
      <c r="D7" s="19"/>
      <c r="E7" s="19"/>
      <c r="F7" s="22" t="str">
        <f t="shared" si="1"/>
        <v>#NAME?</v>
      </c>
      <c r="G7" s="22">
        <f>AVERAGEIF(B6:B27, "North", C6:C27)</f>
        <v>62.5</v>
      </c>
      <c r="H7" s="22" t="s">
        <v>1451</v>
      </c>
      <c r="I7" s="19"/>
      <c r="J7" s="19"/>
      <c r="K7" s="19"/>
      <c r="L7" s="19"/>
      <c r="M7" s="19"/>
      <c r="N7" s="19"/>
      <c r="O7" s="19"/>
      <c r="P7" s="19"/>
      <c r="Q7" s="19"/>
      <c r="R7" s="19"/>
      <c r="S7" s="19"/>
      <c r="T7" s="19"/>
      <c r="U7" s="19"/>
      <c r="V7" s="19"/>
      <c r="W7" s="19"/>
      <c r="X7" s="19"/>
      <c r="Y7" s="19"/>
      <c r="Z7" s="19"/>
    </row>
    <row r="8" ht="13.5" customHeight="1">
      <c r="A8" s="19"/>
      <c r="B8" s="22" t="s">
        <v>1452</v>
      </c>
      <c r="C8" s="22">
        <v>100.0</v>
      </c>
      <c r="D8" s="19"/>
      <c r="E8" s="19"/>
      <c r="F8" s="22" t="str">
        <f t="shared" si="1"/>
        <v>#NAME?</v>
      </c>
      <c r="G8" s="22">
        <f>AVERAGEIF(B6:B27, "North*", C6:C27)</f>
        <v>55</v>
      </c>
      <c r="H8" s="52" t="s">
        <v>1453</v>
      </c>
      <c r="I8" s="19"/>
      <c r="J8" s="19"/>
      <c r="K8" s="19"/>
      <c r="L8" s="19"/>
      <c r="M8" s="19"/>
      <c r="N8" s="19"/>
      <c r="O8" s="19"/>
      <c r="P8" s="19"/>
      <c r="Q8" s="19"/>
      <c r="R8" s="19"/>
      <c r="S8" s="19"/>
      <c r="T8" s="19"/>
      <c r="U8" s="19"/>
      <c r="V8" s="19"/>
      <c r="W8" s="19"/>
      <c r="X8" s="19"/>
      <c r="Y8" s="19"/>
      <c r="Z8" s="19"/>
    </row>
    <row r="9" ht="13.5" customHeight="1">
      <c r="A9" s="19"/>
      <c r="B9" s="22" t="s">
        <v>1454</v>
      </c>
      <c r="C9" s="22">
        <v>25.0</v>
      </c>
      <c r="D9" s="19"/>
      <c r="E9" s="19"/>
      <c r="F9" s="22" t="str">
        <f t="shared" si="1"/>
        <v>#NAME?</v>
      </c>
      <c r="G9" s="22">
        <f>AVERAGEIF(B6:B27, "*New Office", C6:C27)</f>
        <v>35</v>
      </c>
      <c r="H9" s="22" t="s">
        <v>1455</v>
      </c>
      <c r="I9" s="19"/>
      <c r="J9" s="19"/>
      <c r="K9" s="19"/>
      <c r="L9" s="19"/>
      <c r="M9" s="19"/>
      <c r="N9" s="19"/>
      <c r="O9" s="19"/>
      <c r="P9" s="19"/>
      <c r="Q9" s="19"/>
      <c r="R9" s="19"/>
      <c r="S9" s="19"/>
      <c r="T9" s="19"/>
      <c r="U9" s="19"/>
      <c r="V9" s="19"/>
      <c r="W9" s="19"/>
      <c r="X9" s="19"/>
      <c r="Y9" s="19"/>
      <c r="Z9" s="19"/>
    </row>
    <row r="10" ht="13.5" customHeight="1">
      <c r="A10" s="19"/>
      <c r="B10" s="22" t="s">
        <v>1456</v>
      </c>
      <c r="C10" s="22">
        <v>200.0</v>
      </c>
      <c r="D10" s="19"/>
      <c r="E10" s="19"/>
      <c r="F10" s="22" t="str">
        <f t="shared" si="1"/>
        <v>#NAME?</v>
      </c>
      <c r="G10" s="22">
        <f>AVERAGEIF(B6:B27, "&gt;=4", C6:C27)</f>
        <v>58.75</v>
      </c>
      <c r="H10" s="22" t="s">
        <v>1457</v>
      </c>
      <c r="I10" s="19"/>
      <c r="J10" s="19"/>
      <c r="K10" s="19"/>
      <c r="L10" s="19"/>
      <c r="M10" s="19"/>
      <c r="N10" s="19"/>
      <c r="O10" s="19"/>
      <c r="P10" s="19"/>
      <c r="Q10" s="19"/>
      <c r="R10" s="19"/>
      <c r="S10" s="19"/>
      <c r="T10" s="19"/>
      <c r="U10" s="19"/>
      <c r="V10" s="19"/>
      <c r="W10" s="19"/>
      <c r="X10" s="19"/>
      <c r="Y10" s="19"/>
      <c r="Z10" s="19"/>
    </row>
    <row r="11" ht="13.5" customHeight="1">
      <c r="A11" s="19"/>
      <c r="B11" s="22" t="s">
        <v>1458</v>
      </c>
      <c r="C11" s="22">
        <v>30.0</v>
      </c>
      <c r="D11" s="19"/>
      <c r="E11" s="19"/>
      <c r="F11" s="22" t="str">
        <f t="shared" si="1"/>
        <v>#NAME?</v>
      </c>
      <c r="G11" s="22">
        <f>AVERAGEIF(B6:B27, 5, C6:C27)</f>
        <v>75</v>
      </c>
      <c r="H11" s="22" t="s">
        <v>1459</v>
      </c>
      <c r="I11" s="19"/>
      <c r="J11" s="19"/>
      <c r="K11" s="19"/>
      <c r="L11" s="19"/>
      <c r="M11" s="19"/>
      <c r="N11" s="19"/>
      <c r="O11" s="19"/>
      <c r="P11" s="19"/>
      <c r="Q11" s="19"/>
      <c r="R11" s="19"/>
      <c r="S11" s="19"/>
      <c r="T11" s="19"/>
      <c r="U11" s="19"/>
      <c r="V11" s="19"/>
      <c r="W11" s="19"/>
      <c r="X11" s="19"/>
      <c r="Y11" s="19"/>
      <c r="Z11" s="19"/>
    </row>
    <row r="12" ht="13.5" customHeight="1">
      <c r="A12" s="19"/>
      <c r="B12" s="22" t="s">
        <v>1448</v>
      </c>
      <c r="C12" s="22">
        <v>35.0</v>
      </c>
      <c r="D12" s="19"/>
      <c r="E12" s="19"/>
      <c r="F12" s="22" t="str">
        <f t="shared" si="1"/>
        <v>#NAME?</v>
      </c>
      <c r="G12" s="22">
        <f>AVERAGEIF(B6:B27, TRUE, C6:C27)</f>
        <v>110</v>
      </c>
      <c r="H12" s="22" t="s">
        <v>1460</v>
      </c>
      <c r="I12" s="19"/>
      <c r="J12" s="19"/>
      <c r="K12" s="19"/>
      <c r="L12" s="19"/>
      <c r="M12" s="19"/>
      <c r="N12" s="19"/>
      <c r="O12" s="19"/>
      <c r="P12" s="19"/>
      <c r="Q12" s="19"/>
      <c r="R12" s="19"/>
      <c r="S12" s="19"/>
      <c r="T12" s="19"/>
      <c r="U12" s="19"/>
      <c r="V12" s="19"/>
      <c r="W12" s="19"/>
      <c r="X12" s="19"/>
      <c r="Y12" s="19"/>
      <c r="Z12" s="19"/>
    </row>
    <row r="13" ht="13.5" customHeight="1">
      <c r="A13" s="19"/>
      <c r="B13" s="22" t="s">
        <v>1450</v>
      </c>
      <c r="C13" s="22">
        <v>50.0</v>
      </c>
      <c r="D13" s="19"/>
      <c r="E13" s="19"/>
      <c r="F13" s="22" t="str">
        <f t="shared" si="1"/>
        <v>#NAME?</v>
      </c>
      <c r="G13" s="22">
        <f>AVERAGEIF(B6:B27, FALSE, C6:C27)</f>
        <v>77.5</v>
      </c>
      <c r="H13" s="22" t="s">
        <v>1461</v>
      </c>
      <c r="I13" s="19"/>
      <c r="J13" s="19"/>
      <c r="K13" s="19"/>
      <c r="L13" s="19"/>
      <c r="M13" s="19"/>
      <c r="N13" s="19"/>
      <c r="O13" s="19"/>
      <c r="P13" s="19"/>
      <c r="Q13" s="19"/>
      <c r="R13" s="19"/>
      <c r="S13" s="19"/>
      <c r="T13" s="19"/>
      <c r="U13" s="19"/>
      <c r="V13" s="19"/>
      <c r="W13" s="19"/>
      <c r="X13" s="19"/>
      <c r="Y13" s="19"/>
      <c r="Z13" s="19"/>
    </row>
    <row r="14" ht="13.5" customHeight="1">
      <c r="A14" s="19"/>
      <c r="B14" s="22" t="s">
        <v>1454</v>
      </c>
      <c r="C14" s="22">
        <v>15.0</v>
      </c>
      <c r="D14" s="19"/>
      <c r="E14" s="19"/>
      <c r="F14" s="19"/>
      <c r="G14" s="19"/>
      <c r="H14" s="19"/>
      <c r="I14" s="19"/>
      <c r="J14" s="19"/>
      <c r="K14" s="19"/>
      <c r="L14" s="19"/>
      <c r="M14" s="19"/>
      <c r="N14" s="19"/>
      <c r="O14" s="19"/>
      <c r="P14" s="19"/>
      <c r="Q14" s="19"/>
      <c r="R14" s="19"/>
      <c r="S14" s="19"/>
      <c r="T14" s="19"/>
      <c r="U14" s="19"/>
      <c r="V14" s="19"/>
      <c r="W14" s="19"/>
      <c r="X14" s="19"/>
      <c r="Y14" s="19"/>
      <c r="Z14" s="19"/>
    </row>
    <row r="15" ht="13.5" customHeight="1">
      <c r="A15" s="19"/>
      <c r="B15" s="22" t="s">
        <v>1452</v>
      </c>
      <c r="C15" s="22">
        <v>25.0</v>
      </c>
      <c r="D15" s="19"/>
      <c r="E15" s="19"/>
      <c r="F15" s="19"/>
      <c r="G15" s="19"/>
      <c r="H15" s="19"/>
      <c r="I15" s="19"/>
      <c r="J15" s="19"/>
      <c r="K15" s="19"/>
      <c r="L15" s="19"/>
      <c r="M15" s="19"/>
      <c r="N15" s="19"/>
      <c r="O15" s="19"/>
      <c r="P15" s="19"/>
      <c r="Q15" s="19"/>
      <c r="R15" s="19"/>
      <c r="S15" s="19"/>
      <c r="T15" s="19"/>
      <c r="U15" s="19"/>
      <c r="V15" s="19"/>
      <c r="W15" s="19"/>
      <c r="X15" s="19"/>
      <c r="Y15" s="19"/>
      <c r="Z15" s="19"/>
    </row>
    <row r="16" ht="13.5" customHeight="1">
      <c r="A16" s="19"/>
      <c r="B16" s="22" t="s">
        <v>1462</v>
      </c>
      <c r="C16" s="22">
        <v>40.0</v>
      </c>
      <c r="D16" s="19"/>
      <c r="E16" s="19"/>
      <c r="F16" s="19"/>
      <c r="G16" s="19"/>
      <c r="H16" s="19"/>
      <c r="I16" s="19"/>
      <c r="J16" s="19"/>
      <c r="K16" s="19"/>
      <c r="L16" s="19"/>
      <c r="M16" s="19"/>
      <c r="N16" s="19"/>
      <c r="O16" s="19"/>
      <c r="P16" s="19"/>
      <c r="Q16" s="19"/>
      <c r="R16" s="19"/>
      <c r="S16" s="19"/>
      <c r="T16" s="19"/>
      <c r="U16" s="19"/>
      <c r="V16" s="19"/>
      <c r="W16" s="19"/>
      <c r="X16" s="19"/>
      <c r="Y16" s="19"/>
      <c r="Z16" s="19"/>
    </row>
    <row r="17" ht="13.5" customHeight="1">
      <c r="A17" s="19"/>
      <c r="B17" s="22">
        <v>5.0</v>
      </c>
      <c r="C17" s="22">
        <v>50.0</v>
      </c>
      <c r="D17" s="19"/>
      <c r="E17" s="19"/>
      <c r="F17" s="19"/>
      <c r="G17" s="19"/>
      <c r="H17" s="19"/>
      <c r="I17" s="19"/>
      <c r="J17" s="19"/>
      <c r="K17" s="19"/>
      <c r="L17" s="19"/>
      <c r="M17" s="19"/>
      <c r="N17" s="19"/>
      <c r="O17" s="19"/>
      <c r="P17" s="19"/>
      <c r="Q17" s="19"/>
      <c r="R17" s="19"/>
      <c r="S17" s="19"/>
      <c r="T17" s="19"/>
      <c r="U17" s="19"/>
      <c r="V17" s="19"/>
      <c r="W17" s="19"/>
      <c r="X17" s="19"/>
      <c r="Y17" s="19"/>
      <c r="Z17" s="19"/>
    </row>
    <row r="18" ht="13.5" customHeight="1">
      <c r="A18" s="19"/>
      <c r="B18" s="22">
        <v>5.0</v>
      </c>
      <c r="C18" s="22">
        <v>100.0</v>
      </c>
      <c r="D18" s="19"/>
      <c r="E18" s="19"/>
      <c r="F18" s="19"/>
      <c r="G18" s="19"/>
      <c r="H18" s="19"/>
      <c r="I18" s="19"/>
      <c r="J18" s="19"/>
      <c r="K18" s="19"/>
      <c r="L18" s="19"/>
      <c r="M18" s="19"/>
      <c r="N18" s="19"/>
      <c r="O18" s="19"/>
      <c r="P18" s="19"/>
      <c r="Q18" s="19"/>
      <c r="R18" s="19"/>
      <c r="S18" s="19"/>
      <c r="T18" s="19"/>
      <c r="U18" s="19"/>
      <c r="V18" s="19"/>
      <c r="W18" s="19"/>
      <c r="X18" s="19"/>
      <c r="Y18" s="19"/>
      <c r="Z18" s="19"/>
    </row>
    <row r="19" ht="13.5" customHeight="1">
      <c r="A19" s="19"/>
      <c r="B19" s="22">
        <v>2.0</v>
      </c>
      <c r="C19" s="22">
        <v>200.0</v>
      </c>
      <c r="D19" s="19"/>
      <c r="E19" s="19"/>
      <c r="F19" s="19"/>
      <c r="G19" s="19"/>
      <c r="H19" s="19"/>
      <c r="I19" s="19"/>
      <c r="J19" s="19"/>
      <c r="K19" s="19"/>
      <c r="L19" s="19"/>
      <c r="M19" s="19"/>
      <c r="N19" s="19"/>
      <c r="O19" s="19"/>
      <c r="P19" s="19"/>
      <c r="Q19" s="19"/>
      <c r="R19" s="19"/>
      <c r="S19" s="19"/>
      <c r="T19" s="19"/>
      <c r="U19" s="19"/>
      <c r="V19" s="19"/>
      <c r="W19" s="19"/>
      <c r="X19" s="19"/>
      <c r="Y19" s="19"/>
      <c r="Z19" s="19"/>
    </row>
    <row r="20" ht="13.5" customHeight="1">
      <c r="A20" s="19"/>
      <c r="B20" s="22">
        <v>4.0</v>
      </c>
      <c r="C20" s="22">
        <v>35.0</v>
      </c>
      <c r="D20" s="19"/>
      <c r="E20" s="19"/>
      <c r="F20" s="19"/>
      <c r="G20" s="19"/>
      <c r="H20" s="19"/>
      <c r="I20" s="19"/>
      <c r="J20" s="19"/>
      <c r="K20" s="19"/>
      <c r="L20" s="19"/>
      <c r="M20" s="19"/>
      <c r="N20" s="19"/>
      <c r="O20" s="19"/>
      <c r="P20" s="19"/>
      <c r="Q20" s="19"/>
      <c r="R20" s="19"/>
      <c r="S20" s="19"/>
      <c r="T20" s="19"/>
      <c r="U20" s="19"/>
      <c r="V20" s="19"/>
      <c r="W20" s="19"/>
      <c r="X20" s="19"/>
      <c r="Y20" s="19"/>
      <c r="Z20" s="19"/>
    </row>
    <row r="21" ht="13.5" customHeight="1">
      <c r="A21" s="19"/>
      <c r="B21" s="22">
        <v>2.0</v>
      </c>
      <c r="C21" s="22">
        <v>45.0</v>
      </c>
      <c r="D21" s="19"/>
      <c r="E21" s="19"/>
      <c r="F21" s="19"/>
      <c r="G21" s="19"/>
      <c r="H21" s="19"/>
      <c r="I21" s="19"/>
      <c r="J21" s="19"/>
      <c r="K21" s="19"/>
      <c r="L21" s="19"/>
      <c r="M21" s="19"/>
      <c r="N21" s="19"/>
      <c r="O21" s="19"/>
      <c r="P21" s="19"/>
      <c r="Q21" s="19"/>
      <c r="R21" s="19"/>
      <c r="S21" s="19"/>
      <c r="T21" s="19"/>
      <c r="U21" s="19"/>
      <c r="V21" s="19"/>
      <c r="W21" s="19"/>
      <c r="X21" s="19"/>
      <c r="Y21" s="19"/>
      <c r="Z21" s="19"/>
    </row>
    <row r="22" ht="13.5" customHeight="1">
      <c r="A22" s="19"/>
      <c r="B22" s="22">
        <v>4.0</v>
      </c>
      <c r="C22" s="22">
        <v>50.0</v>
      </c>
      <c r="D22" s="19"/>
      <c r="E22" s="19"/>
      <c r="F22" s="19"/>
      <c r="G22" s="19"/>
      <c r="H22" s="19"/>
      <c r="I22" s="19"/>
      <c r="J22" s="19"/>
      <c r="K22" s="19"/>
      <c r="L22" s="19"/>
      <c r="M22" s="19"/>
      <c r="N22" s="19"/>
      <c r="O22" s="19"/>
      <c r="P22" s="19"/>
      <c r="Q22" s="19"/>
      <c r="R22" s="19"/>
      <c r="S22" s="19"/>
      <c r="T22" s="19"/>
      <c r="U22" s="19"/>
      <c r="V22" s="19"/>
      <c r="W22" s="19"/>
      <c r="X22" s="19"/>
      <c r="Y22" s="19"/>
      <c r="Z22" s="19"/>
    </row>
    <row r="23" ht="13.5" customHeight="1">
      <c r="A23" s="19"/>
      <c r="B23" s="22" t="b">
        <v>1</v>
      </c>
      <c r="C23" s="22">
        <v>90.0</v>
      </c>
      <c r="D23" s="19"/>
      <c r="E23" s="19"/>
      <c r="F23" s="19"/>
      <c r="G23" s="19"/>
      <c r="H23" s="19"/>
      <c r="I23" s="19"/>
      <c r="J23" s="19"/>
      <c r="K23" s="19"/>
      <c r="L23" s="19"/>
      <c r="M23" s="19"/>
      <c r="N23" s="19"/>
      <c r="O23" s="19"/>
      <c r="P23" s="19"/>
      <c r="Q23" s="19"/>
      <c r="R23" s="19"/>
      <c r="S23" s="19"/>
      <c r="T23" s="19"/>
      <c r="U23" s="19"/>
      <c r="V23" s="19"/>
      <c r="W23" s="19"/>
      <c r="X23" s="19"/>
      <c r="Y23" s="19"/>
      <c r="Z23" s="19"/>
    </row>
    <row r="24" ht="13.5" customHeight="1">
      <c r="A24" s="19"/>
      <c r="B24" s="22" t="b">
        <v>0</v>
      </c>
      <c r="C24" s="22">
        <v>100.0</v>
      </c>
      <c r="D24" s="19"/>
      <c r="E24" s="19"/>
      <c r="F24" s="19"/>
      <c r="G24" s="19"/>
      <c r="H24" s="19"/>
      <c r="I24" s="19"/>
      <c r="J24" s="19"/>
      <c r="K24" s="19"/>
      <c r="L24" s="19"/>
      <c r="M24" s="19"/>
      <c r="N24" s="19"/>
      <c r="O24" s="19"/>
      <c r="P24" s="19"/>
      <c r="Q24" s="19"/>
      <c r="R24" s="19"/>
      <c r="S24" s="19"/>
      <c r="T24" s="19"/>
      <c r="U24" s="19"/>
      <c r="V24" s="19"/>
      <c r="W24" s="19"/>
      <c r="X24" s="19"/>
      <c r="Y24" s="19"/>
      <c r="Z24" s="19"/>
    </row>
    <row r="25" ht="13.5" customHeight="1">
      <c r="A25" s="19"/>
      <c r="B25" s="22" t="b">
        <v>1</v>
      </c>
      <c r="C25" s="22">
        <v>125.0</v>
      </c>
      <c r="D25" s="19"/>
      <c r="E25" s="19"/>
      <c r="F25" s="19"/>
      <c r="G25" s="19"/>
      <c r="H25" s="19"/>
      <c r="I25" s="19"/>
      <c r="J25" s="19"/>
      <c r="K25" s="19"/>
      <c r="L25" s="19"/>
      <c r="M25" s="19"/>
      <c r="N25" s="19"/>
      <c r="O25" s="19"/>
      <c r="P25" s="19"/>
      <c r="Q25" s="19"/>
      <c r="R25" s="19"/>
      <c r="S25" s="19"/>
      <c r="T25" s="19"/>
      <c r="U25" s="19"/>
      <c r="V25" s="19"/>
      <c r="W25" s="19"/>
      <c r="X25" s="19"/>
      <c r="Y25" s="19"/>
      <c r="Z25" s="19"/>
    </row>
    <row r="26" ht="13.5" customHeight="1">
      <c r="A26" s="19"/>
      <c r="B26" s="22" t="b">
        <v>1</v>
      </c>
      <c r="C26" s="22">
        <v>115.0</v>
      </c>
      <c r="D26" s="19"/>
      <c r="E26" s="19"/>
      <c r="F26" s="19"/>
      <c r="G26" s="19"/>
      <c r="H26" s="19"/>
      <c r="I26" s="19"/>
      <c r="J26" s="19"/>
      <c r="K26" s="19"/>
      <c r="L26" s="19"/>
      <c r="M26" s="19"/>
      <c r="N26" s="19"/>
      <c r="O26" s="19"/>
      <c r="P26" s="19"/>
      <c r="Q26" s="19"/>
      <c r="R26" s="19"/>
      <c r="S26" s="19"/>
      <c r="T26" s="19"/>
      <c r="U26" s="19"/>
      <c r="V26" s="19"/>
      <c r="W26" s="19"/>
      <c r="X26" s="19"/>
      <c r="Y26" s="19"/>
      <c r="Z26" s="19"/>
    </row>
    <row r="27" ht="13.5" customHeight="1">
      <c r="A27" s="19"/>
      <c r="B27" s="22" t="b">
        <v>0</v>
      </c>
      <c r="C27" s="22">
        <v>55.0</v>
      </c>
      <c r="D27" s="19"/>
      <c r="E27" s="19"/>
      <c r="F27" s="19"/>
      <c r="G27" s="19"/>
      <c r="H27" s="19"/>
      <c r="I27" s="19"/>
      <c r="J27" s="19"/>
      <c r="K27" s="19"/>
      <c r="L27" s="19"/>
      <c r="M27" s="19"/>
      <c r="N27" s="19"/>
      <c r="O27" s="19"/>
      <c r="P27" s="19"/>
      <c r="Q27" s="19"/>
      <c r="R27" s="19"/>
      <c r="S27" s="19"/>
      <c r="T27" s="19"/>
      <c r="U27" s="19"/>
      <c r="V27" s="19"/>
      <c r="W27" s="19"/>
      <c r="X27" s="19"/>
      <c r="Y27" s="19"/>
      <c r="Z27" s="19"/>
    </row>
    <row r="28"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3.5" customHeight="1">
      <c r="A30" s="19"/>
      <c r="B30" s="53" t="s">
        <v>1353</v>
      </c>
      <c r="D30" s="19"/>
      <c r="E30" s="19"/>
      <c r="F30" s="19"/>
      <c r="G30" s="19"/>
      <c r="H30" s="19"/>
      <c r="I30" s="19"/>
      <c r="J30" s="19"/>
      <c r="K30" s="19"/>
      <c r="L30" s="19"/>
      <c r="M30" s="19"/>
      <c r="N30" s="19"/>
      <c r="O30" s="19"/>
      <c r="P30" s="19"/>
      <c r="Q30" s="19"/>
      <c r="R30" s="19"/>
      <c r="S30" s="19"/>
      <c r="T30" s="19"/>
      <c r="U30" s="19"/>
      <c r="V30" s="19"/>
      <c r="W30" s="19"/>
      <c r="X30" s="19"/>
      <c r="Y30" s="19"/>
      <c r="Z30" s="19"/>
    </row>
    <row r="31"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3.5" customHeight="1">
      <c r="A32" s="19"/>
      <c r="B32" s="48" t="s">
        <v>1463</v>
      </c>
      <c r="C32" s="49"/>
      <c r="D32" s="49"/>
      <c r="E32" s="49"/>
      <c r="F32" s="49"/>
      <c r="G32" s="50"/>
      <c r="H32" s="51"/>
      <c r="I32" s="19"/>
      <c r="J32" s="19"/>
      <c r="K32" s="19"/>
      <c r="L32" s="19"/>
      <c r="M32" s="19"/>
      <c r="N32" s="19"/>
      <c r="O32" s="19"/>
      <c r="P32" s="19"/>
      <c r="Q32" s="19"/>
      <c r="R32" s="19"/>
      <c r="S32" s="19"/>
      <c r="T32" s="19"/>
      <c r="U32" s="19"/>
      <c r="V32" s="19"/>
      <c r="W32" s="19"/>
      <c r="X32" s="19"/>
      <c r="Y32" s="19"/>
      <c r="Z32" s="19"/>
    </row>
    <row r="33" ht="13.5" customHeight="1">
      <c r="A33" s="19"/>
      <c r="B33" s="43" t="s">
        <v>1464</v>
      </c>
      <c r="C33" s="44"/>
      <c r="D33" s="44"/>
      <c r="E33" s="44"/>
      <c r="F33" s="44"/>
      <c r="G33" s="44"/>
      <c r="H33" s="45"/>
      <c r="I33" s="19"/>
      <c r="J33" s="19"/>
      <c r="K33" s="19"/>
      <c r="L33" s="19"/>
      <c r="M33" s="19"/>
      <c r="N33" s="19"/>
      <c r="O33" s="19"/>
      <c r="P33" s="19"/>
      <c r="Q33" s="19"/>
      <c r="R33" s="19"/>
      <c r="S33" s="19"/>
      <c r="T33" s="19"/>
      <c r="U33" s="19"/>
      <c r="V33" s="19"/>
      <c r="W33" s="19"/>
      <c r="X33" s="19"/>
      <c r="Y33" s="19"/>
      <c r="Z33" s="19"/>
    </row>
    <row r="34"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3.5" customHeight="1">
      <c r="A35" s="19"/>
      <c r="B35" s="40" t="s">
        <v>1445</v>
      </c>
      <c r="C35" s="40" t="s">
        <v>1446</v>
      </c>
      <c r="D35" s="19"/>
      <c r="E35" s="19"/>
      <c r="F35" s="40" t="s">
        <v>1447</v>
      </c>
      <c r="G35" s="40" t="s">
        <v>1342</v>
      </c>
      <c r="H35" s="40" t="s">
        <v>1343</v>
      </c>
      <c r="I35" s="19"/>
      <c r="J35" s="19"/>
      <c r="K35" s="19"/>
      <c r="L35" s="19"/>
      <c r="M35" s="19"/>
      <c r="N35" s="19"/>
      <c r="O35" s="19"/>
      <c r="P35" s="19"/>
      <c r="Q35" s="19"/>
      <c r="R35" s="19"/>
      <c r="S35" s="19"/>
      <c r="T35" s="19"/>
      <c r="U35" s="19"/>
      <c r="V35" s="19"/>
      <c r="W35" s="19"/>
      <c r="X35" s="19"/>
      <c r="Y35" s="19"/>
      <c r="Z35" s="19"/>
    </row>
    <row r="36" ht="13.5" customHeight="1">
      <c r="A36" s="19"/>
      <c r="B36" s="22" t="s">
        <v>1448</v>
      </c>
      <c r="C36" s="22">
        <v>500.0</v>
      </c>
      <c r="D36" s="19"/>
      <c r="E36" s="19"/>
      <c r="F36" s="22" t="str">
        <f t="shared" ref="F36:F43" si="2">_xludf.FORMULATEXT(G36)</f>
        <v>#NAME?</v>
      </c>
      <c r="G36" s="22">
        <f>SUMIF(B36:B57, "East", C36:C57)</f>
        <v>535</v>
      </c>
      <c r="H36" s="22" t="s">
        <v>1465</v>
      </c>
      <c r="I36" s="19"/>
      <c r="J36" s="19"/>
      <c r="K36" s="19"/>
      <c r="L36" s="19"/>
      <c r="M36" s="19"/>
      <c r="N36" s="19"/>
      <c r="O36" s="19"/>
      <c r="P36" s="19"/>
      <c r="Q36" s="19"/>
      <c r="R36" s="19"/>
      <c r="S36" s="19"/>
      <c r="T36" s="19"/>
      <c r="U36" s="19"/>
      <c r="V36" s="19"/>
      <c r="W36" s="19"/>
      <c r="X36" s="19"/>
      <c r="Y36" s="19"/>
      <c r="Z36" s="19"/>
    </row>
    <row r="37" ht="13.5" customHeight="1">
      <c r="A37" s="19"/>
      <c r="B37" s="22" t="s">
        <v>1450</v>
      </c>
      <c r="C37" s="22">
        <v>50.0</v>
      </c>
      <c r="D37" s="19"/>
      <c r="E37" s="19"/>
      <c r="F37" s="22" t="str">
        <f t="shared" si="2"/>
        <v>#NAME?</v>
      </c>
      <c r="G37" s="22">
        <f>SUMIF(B36:B57, "North", C36:C57)</f>
        <v>125</v>
      </c>
      <c r="H37" s="22" t="s">
        <v>1466</v>
      </c>
      <c r="I37" s="19"/>
      <c r="J37" s="19"/>
      <c r="K37" s="19"/>
      <c r="L37" s="19"/>
      <c r="M37" s="19"/>
      <c r="N37" s="19"/>
      <c r="O37" s="19"/>
      <c r="P37" s="19"/>
      <c r="Q37" s="19"/>
      <c r="R37" s="19"/>
      <c r="S37" s="19"/>
      <c r="T37" s="19"/>
      <c r="U37" s="19"/>
      <c r="V37" s="19"/>
      <c r="W37" s="19"/>
      <c r="X37" s="19"/>
      <c r="Y37" s="19"/>
      <c r="Z37" s="19"/>
    </row>
    <row r="38" ht="13.5" customHeight="1">
      <c r="A38" s="19"/>
      <c r="B38" s="22" t="s">
        <v>1452</v>
      </c>
      <c r="C38" s="22">
        <v>100.0</v>
      </c>
      <c r="D38" s="19"/>
      <c r="E38" s="19"/>
      <c r="F38" s="22" t="str">
        <f t="shared" si="2"/>
        <v>#NAME?</v>
      </c>
      <c r="G38" s="22">
        <f>SUMIF(B36:B57, "North*", C36:C57)</f>
        <v>165</v>
      </c>
      <c r="H38" s="22" t="s">
        <v>1467</v>
      </c>
      <c r="I38" s="19"/>
      <c r="J38" s="19"/>
      <c r="K38" s="19"/>
      <c r="L38" s="19"/>
      <c r="M38" s="19"/>
      <c r="N38" s="19"/>
      <c r="O38" s="19"/>
      <c r="P38" s="19"/>
      <c r="Q38" s="19"/>
      <c r="R38" s="19"/>
      <c r="S38" s="19"/>
      <c r="T38" s="19"/>
      <c r="U38" s="19"/>
      <c r="V38" s="19"/>
      <c r="W38" s="19"/>
      <c r="X38" s="19"/>
      <c r="Y38" s="19"/>
      <c r="Z38" s="19"/>
    </row>
    <row r="39" ht="13.5" customHeight="1">
      <c r="A39" s="19"/>
      <c r="B39" s="22" t="s">
        <v>1454</v>
      </c>
      <c r="C39" s="22">
        <v>25.0</v>
      </c>
      <c r="D39" s="19"/>
      <c r="E39" s="19"/>
      <c r="F39" s="22" t="str">
        <f t="shared" si="2"/>
        <v>#NAME?</v>
      </c>
      <c r="G39" s="22">
        <f>SUMIF(B36:B57, "*New Office", C36:C57)</f>
        <v>70</v>
      </c>
      <c r="H39" s="22" t="s">
        <v>1468</v>
      </c>
      <c r="I39" s="19"/>
      <c r="J39" s="19"/>
      <c r="K39" s="19"/>
      <c r="L39" s="19"/>
      <c r="M39" s="19"/>
      <c r="N39" s="19"/>
      <c r="O39" s="19"/>
      <c r="P39" s="19"/>
      <c r="Q39" s="19"/>
      <c r="R39" s="19"/>
      <c r="S39" s="19"/>
      <c r="T39" s="19"/>
      <c r="U39" s="19"/>
      <c r="V39" s="19"/>
      <c r="W39" s="19"/>
      <c r="X39" s="19"/>
      <c r="Y39" s="19"/>
      <c r="Z39" s="19"/>
    </row>
    <row r="40" ht="13.5" customHeight="1">
      <c r="A40" s="19"/>
      <c r="B40" s="22" t="s">
        <v>1456</v>
      </c>
      <c r="C40" s="22">
        <v>200.0</v>
      </c>
      <c r="D40" s="19"/>
      <c r="E40" s="19"/>
      <c r="F40" s="22" t="str">
        <f t="shared" si="2"/>
        <v>#NAME?</v>
      </c>
      <c r="G40" s="22">
        <f>SUMIF(B36:B57, "&gt;=4", C36:C57)</f>
        <v>235</v>
      </c>
      <c r="H40" s="22" t="s">
        <v>1469</v>
      </c>
      <c r="I40" s="19"/>
      <c r="J40" s="19"/>
      <c r="K40" s="19"/>
      <c r="L40" s="19"/>
      <c r="M40" s="19"/>
      <c r="N40" s="19"/>
      <c r="O40" s="19"/>
      <c r="P40" s="19"/>
      <c r="Q40" s="19"/>
      <c r="R40" s="19"/>
      <c r="S40" s="19"/>
      <c r="T40" s="19"/>
      <c r="U40" s="19"/>
      <c r="V40" s="19"/>
      <c r="W40" s="19"/>
      <c r="X40" s="19"/>
      <c r="Y40" s="19"/>
      <c r="Z40" s="19"/>
    </row>
    <row r="41" ht="13.5" customHeight="1">
      <c r="A41" s="19"/>
      <c r="B41" s="22" t="s">
        <v>1458</v>
      </c>
      <c r="C41" s="22">
        <v>30.0</v>
      </c>
      <c r="D41" s="19"/>
      <c r="E41" s="19"/>
      <c r="F41" s="22" t="str">
        <f t="shared" si="2"/>
        <v>#NAME?</v>
      </c>
      <c r="G41" s="22">
        <f>SUMIF(B36:B57, 5, C36:C57)</f>
        <v>150</v>
      </c>
      <c r="H41" s="22" t="s">
        <v>1470</v>
      </c>
      <c r="I41" s="19"/>
      <c r="J41" s="19"/>
      <c r="K41" s="19"/>
      <c r="L41" s="19"/>
      <c r="M41" s="19"/>
      <c r="N41" s="19"/>
      <c r="O41" s="19"/>
      <c r="P41" s="19"/>
      <c r="Q41" s="19"/>
      <c r="R41" s="19"/>
      <c r="S41" s="19"/>
      <c r="T41" s="19"/>
      <c r="U41" s="19"/>
      <c r="V41" s="19"/>
      <c r="W41" s="19"/>
      <c r="X41" s="19"/>
      <c r="Y41" s="19"/>
      <c r="Z41" s="19"/>
    </row>
    <row r="42" ht="13.5" customHeight="1">
      <c r="A42" s="19"/>
      <c r="B42" s="22" t="s">
        <v>1448</v>
      </c>
      <c r="C42" s="22">
        <v>35.0</v>
      </c>
      <c r="D42" s="19"/>
      <c r="E42" s="19"/>
      <c r="F42" s="22" t="str">
        <f t="shared" si="2"/>
        <v>#NAME?</v>
      </c>
      <c r="G42" s="22">
        <f>SUMIF(B36:B57, TRUE, C36:C57)</f>
        <v>330</v>
      </c>
      <c r="H42" s="22" t="s">
        <v>1471</v>
      </c>
      <c r="I42" s="19"/>
      <c r="J42" s="19"/>
      <c r="K42" s="19"/>
      <c r="L42" s="19"/>
      <c r="M42" s="19"/>
      <c r="N42" s="19"/>
      <c r="O42" s="19"/>
      <c r="P42" s="19"/>
      <c r="Q42" s="19"/>
      <c r="R42" s="19"/>
      <c r="S42" s="19"/>
      <c r="T42" s="19"/>
      <c r="U42" s="19"/>
      <c r="V42" s="19"/>
      <c r="W42" s="19"/>
      <c r="X42" s="19"/>
      <c r="Y42" s="19"/>
      <c r="Z42" s="19"/>
    </row>
    <row r="43" ht="13.5" customHeight="1">
      <c r="A43" s="19"/>
      <c r="B43" s="22" t="s">
        <v>1450</v>
      </c>
      <c r="C43" s="22">
        <v>50.0</v>
      </c>
      <c r="D43" s="19"/>
      <c r="E43" s="19"/>
      <c r="F43" s="22" t="str">
        <f t="shared" si="2"/>
        <v>#NAME?</v>
      </c>
      <c r="G43" s="22">
        <f>SUMIF(B36:B57, FALSE, C36:C57)</f>
        <v>155</v>
      </c>
      <c r="H43" s="22" t="s">
        <v>1472</v>
      </c>
      <c r="I43" s="19"/>
      <c r="J43" s="19"/>
      <c r="K43" s="19"/>
      <c r="L43" s="19"/>
      <c r="M43" s="19"/>
      <c r="N43" s="19"/>
      <c r="O43" s="19"/>
      <c r="P43" s="19"/>
      <c r="Q43" s="19"/>
      <c r="R43" s="19"/>
      <c r="S43" s="19"/>
      <c r="T43" s="19"/>
      <c r="U43" s="19"/>
      <c r="V43" s="19"/>
      <c r="W43" s="19"/>
      <c r="X43" s="19"/>
      <c r="Y43" s="19"/>
      <c r="Z43" s="19"/>
    </row>
    <row r="44" ht="13.5" customHeight="1">
      <c r="A44" s="19"/>
      <c r="B44" s="22" t="s">
        <v>1454</v>
      </c>
      <c r="C44" s="22">
        <v>15.0</v>
      </c>
      <c r="D44" s="19"/>
      <c r="E44" s="19"/>
      <c r="F44" s="19"/>
      <c r="G44" s="19"/>
      <c r="H44" s="19"/>
      <c r="I44" s="19"/>
      <c r="J44" s="19"/>
      <c r="K44" s="19"/>
      <c r="L44" s="19"/>
      <c r="M44" s="19"/>
      <c r="N44" s="19"/>
      <c r="O44" s="19"/>
      <c r="P44" s="19"/>
      <c r="Q44" s="19"/>
      <c r="R44" s="19"/>
      <c r="S44" s="19"/>
      <c r="T44" s="19"/>
      <c r="U44" s="19"/>
      <c r="V44" s="19"/>
      <c r="W44" s="19"/>
      <c r="X44" s="19"/>
      <c r="Y44" s="19"/>
      <c r="Z44" s="19"/>
    </row>
    <row r="45" ht="13.5" customHeight="1">
      <c r="A45" s="19"/>
      <c r="B45" s="22" t="s">
        <v>1452</v>
      </c>
      <c r="C45" s="22">
        <v>25.0</v>
      </c>
      <c r="D45" s="19"/>
      <c r="E45" s="19"/>
      <c r="F45" s="19"/>
      <c r="G45" s="19"/>
      <c r="H45" s="19"/>
      <c r="I45" s="19"/>
      <c r="J45" s="19"/>
      <c r="K45" s="19"/>
      <c r="L45" s="19"/>
      <c r="M45" s="19"/>
      <c r="N45" s="19"/>
      <c r="O45" s="19"/>
      <c r="P45" s="19"/>
      <c r="Q45" s="19"/>
      <c r="R45" s="19"/>
      <c r="S45" s="19"/>
      <c r="T45" s="19"/>
      <c r="U45" s="19"/>
      <c r="V45" s="19"/>
      <c r="W45" s="19"/>
      <c r="X45" s="19"/>
      <c r="Y45" s="19"/>
      <c r="Z45" s="19"/>
    </row>
    <row r="46" ht="13.5" customHeight="1">
      <c r="A46" s="19"/>
      <c r="B46" s="22" t="s">
        <v>1462</v>
      </c>
      <c r="C46" s="22">
        <v>40.0</v>
      </c>
      <c r="D46" s="19"/>
      <c r="E46" s="19"/>
      <c r="F46" s="19"/>
      <c r="G46" s="19"/>
      <c r="H46" s="19"/>
      <c r="I46" s="19"/>
      <c r="J46" s="19"/>
      <c r="K46" s="19"/>
      <c r="L46" s="19"/>
      <c r="M46" s="19"/>
      <c r="N46" s="19"/>
      <c r="O46" s="19"/>
      <c r="P46" s="19"/>
      <c r="Q46" s="19"/>
      <c r="R46" s="19"/>
      <c r="S46" s="19"/>
      <c r="T46" s="19"/>
      <c r="U46" s="19"/>
      <c r="V46" s="19"/>
      <c r="W46" s="19"/>
      <c r="X46" s="19"/>
      <c r="Y46" s="19"/>
      <c r="Z46" s="19"/>
    </row>
    <row r="47" ht="13.5" customHeight="1">
      <c r="A47" s="19"/>
      <c r="B47" s="22">
        <v>5.0</v>
      </c>
      <c r="C47" s="22">
        <v>50.0</v>
      </c>
      <c r="D47" s="19"/>
      <c r="E47" s="19"/>
      <c r="F47" s="19"/>
      <c r="G47" s="19"/>
      <c r="H47" s="19"/>
      <c r="I47" s="19"/>
      <c r="J47" s="19"/>
      <c r="K47" s="19"/>
      <c r="L47" s="19"/>
      <c r="M47" s="19"/>
      <c r="N47" s="19"/>
      <c r="O47" s="19"/>
      <c r="P47" s="19"/>
      <c r="Q47" s="19"/>
      <c r="R47" s="19"/>
      <c r="S47" s="19"/>
      <c r="T47" s="19"/>
      <c r="U47" s="19"/>
      <c r="V47" s="19"/>
      <c r="W47" s="19"/>
      <c r="X47" s="19"/>
      <c r="Y47" s="19"/>
      <c r="Z47" s="19"/>
    </row>
    <row r="48" ht="13.5" customHeight="1">
      <c r="A48" s="19"/>
      <c r="B48" s="22">
        <v>5.0</v>
      </c>
      <c r="C48" s="22">
        <v>100.0</v>
      </c>
      <c r="D48" s="19"/>
      <c r="E48" s="19"/>
      <c r="F48" s="19"/>
      <c r="G48" s="19"/>
      <c r="H48" s="19"/>
      <c r="I48" s="19"/>
      <c r="J48" s="19"/>
      <c r="K48" s="19"/>
      <c r="L48" s="19"/>
      <c r="M48" s="19"/>
      <c r="N48" s="19"/>
      <c r="O48" s="19"/>
      <c r="P48" s="19"/>
      <c r="Q48" s="19"/>
      <c r="R48" s="19"/>
      <c r="S48" s="19"/>
      <c r="T48" s="19"/>
      <c r="U48" s="19"/>
      <c r="V48" s="19"/>
      <c r="W48" s="19"/>
      <c r="X48" s="19"/>
      <c r="Y48" s="19"/>
      <c r="Z48" s="19"/>
    </row>
    <row r="49" ht="13.5" customHeight="1">
      <c r="A49" s="19"/>
      <c r="B49" s="22">
        <v>2.0</v>
      </c>
      <c r="C49" s="22">
        <v>200.0</v>
      </c>
      <c r="D49" s="19"/>
      <c r="E49" s="19"/>
      <c r="F49" s="19"/>
      <c r="G49" s="19"/>
      <c r="H49" s="19"/>
      <c r="I49" s="19"/>
      <c r="J49" s="19"/>
      <c r="K49" s="19"/>
      <c r="L49" s="19"/>
      <c r="M49" s="19"/>
      <c r="N49" s="19"/>
      <c r="O49" s="19"/>
      <c r="P49" s="19"/>
      <c r="Q49" s="19"/>
      <c r="R49" s="19"/>
      <c r="S49" s="19"/>
      <c r="T49" s="19"/>
      <c r="U49" s="19"/>
      <c r="V49" s="19"/>
      <c r="W49" s="19"/>
      <c r="X49" s="19"/>
      <c r="Y49" s="19"/>
      <c r="Z49" s="19"/>
    </row>
    <row r="50" ht="13.5" customHeight="1">
      <c r="A50" s="19"/>
      <c r="B50" s="22">
        <v>4.0</v>
      </c>
      <c r="C50" s="22">
        <v>35.0</v>
      </c>
      <c r="D50" s="19"/>
      <c r="E50" s="19"/>
      <c r="F50" s="19"/>
      <c r="G50" s="19"/>
      <c r="H50" s="19"/>
      <c r="I50" s="19"/>
      <c r="J50" s="19"/>
      <c r="K50" s="19"/>
      <c r="L50" s="19"/>
      <c r="M50" s="19"/>
      <c r="N50" s="19"/>
      <c r="O50" s="19"/>
      <c r="P50" s="19"/>
      <c r="Q50" s="19"/>
      <c r="R50" s="19"/>
      <c r="S50" s="19"/>
      <c r="T50" s="19"/>
      <c r="U50" s="19"/>
      <c r="V50" s="19"/>
      <c r="W50" s="19"/>
      <c r="X50" s="19"/>
      <c r="Y50" s="19"/>
      <c r="Z50" s="19"/>
    </row>
    <row r="51" ht="13.5" customHeight="1">
      <c r="A51" s="19"/>
      <c r="B51" s="22">
        <v>2.0</v>
      </c>
      <c r="C51" s="22">
        <v>45.0</v>
      </c>
      <c r="D51" s="19"/>
      <c r="E51" s="19"/>
      <c r="F51" s="19"/>
      <c r="G51" s="19"/>
      <c r="H51" s="19"/>
      <c r="I51" s="19"/>
      <c r="J51" s="19"/>
      <c r="K51" s="19"/>
      <c r="L51" s="19"/>
      <c r="M51" s="19"/>
      <c r="N51" s="19"/>
      <c r="O51" s="19"/>
      <c r="P51" s="19"/>
      <c r="Q51" s="19"/>
      <c r="R51" s="19"/>
      <c r="S51" s="19"/>
      <c r="T51" s="19"/>
      <c r="U51" s="19"/>
      <c r="V51" s="19"/>
      <c r="W51" s="19"/>
      <c r="X51" s="19"/>
      <c r="Y51" s="19"/>
      <c r="Z51" s="19"/>
    </row>
    <row r="52" ht="13.5" customHeight="1">
      <c r="A52" s="19"/>
      <c r="B52" s="22">
        <v>4.0</v>
      </c>
      <c r="C52" s="22">
        <v>50.0</v>
      </c>
      <c r="D52" s="19"/>
      <c r="E52" s="19"/>
      <c r="F52" s="19"/>
      <c r="G52" s="19"/>
      <c r="H52" s="19"/>
      <c r="I52" s="19"/>
      <c r="J52" s="19"/>
      <c r="K52" s="19"/>
      <c r="L52" s="19"/>
      <c r="M52" s="19"/>
      <c r="N52" s="19"/>
      <c r="O52" s="19"/>
      <c r="P52" s="19"/>
      <c r="Q52" s="19"/>
      <c r="R52" s="19"/>
      <c r="S52" s="19"/>
      <c r="T52" s="19"/>
      <c r="U52" s="19"/>
      <c r="V52" s="19"/>
      <c r="W52" s="19"/>
      <c r="X52" s="19"/>
      <c r="Y52" s="19"/>
      <c r="Z52" s="19"/>
    </row>
    <row r="53" ht="13.5" customHeight="1">
      <c r="A53" s="19"/>
      <c r="B53" s="22" t="b">
        <v>1</v>
      </c>
      <c r="C53" s="22">
        <v>90.0</v>
      </c>
      <c r="D53" s="19"/>
      <c r="E53" s="19"/>
      <c r="F53" s="19"/>
      <c r="G53" s="19"/>
      <c r="H53" s="19"/>
      <c r="I53" s="19"/>
      <c r="J53" s="19"/>
      <c r="K53" s="19"/>
      <c r="L53" s="19"/>
      <c r="M53" s="19"/>
      <c r="N53" s="19"/>
      <c r="O53" s="19"/>
      <c r="P53" s="19"/>
      <c r="Q53" s="19"/>
      <c r="R53" s="19"/>
      <c r="S53" s="19"/>
      <c r="T53" s="19"/>
      <c r="U53" s="19"/>
      <c r="V53" s="19"/>
      <c r="W53" s="19"/>
      <c r="X53" s="19"/>
      <c r="Y53" s="19"/>
      <c r="Z53" s="19"/>
    </row>
    <row r="54" ht="13.5" customHeight="1">
      <c r="A54" s="19"/>
      <c r="B54" s="22" t="b">
        <v>0</v>
      </c>
      <c r="C54" s="22">
        <v>100.0</v>
      </c>
      <c r="D54" s="19"/>
      <c r="E54" s="19"/>
      <c r="F54" s="19"/>
      <c r="G54" s="19"/>
      <c r="H54" s="19"/>
      <c r="I54" s="19"/>
      <c r="J54" s="19"/>
      <c r="K54" s="19"/>
      <c r="L54" s="19"/>
      <c r="M54" s="19"/>
      <c r="N54" s="19"/>
      <c r="O54" s="19"/>
      <c r="P54" s="19"/>
      <c r="Q54" s="19"/>
      <c r="R54" s="19"/>
      <c r="S54" s="19"/>
      <c r="T54" s="19"/>
      <c r="U54" s="19"/>
      <c r="V54" s="19"/>
      <c r="W54" s="19"/>
      <c r="X54" s="19"/>
      <c r="Y54" s="19"/>
      <c r="Z54" s="19"/>
    </row>
    <row r="55" ht="13.5" customHeight="1">
      <c r="A55" s="19"/>
      <c r="B55" s="22" t="b">
        <v>1</v>
      </c>
      <c r="C55" s="22">
        <v>125.0</v>
      </c>
      <c r="D55" s="19"/>
      <c r="E55" s="19"/>
      <c r="F55" s="19"/>
      <c r="G55" s="19"/>
      <c r="H55" s="19"/>
      <c r="I55" s="19"/>
      <c r="J55" s="19"/>
      <c r="K55" s="19"/>
      <c r="L55" s="19"/>
      <c r="M55" s="19"/>
      <c r="N55" s="19"/>
      <c r="O55" s="19"/>
      <c r="P55" s="19"/>
      <c r="Q55" s="19"/>
      <c r="R55" s="19"/>
      <c r="S55" s="19"/>
      <c r="T55" s="19"/>
      <c r="U55" s="19"/>
      <c r="V55" s="19"/>
      <c r="W55" s="19"/>
      <c r="X55" s="19"/>
      <c r="Y55" s="19"/>
      <c r="Z55" s="19"/>
    </row>
    <row r="56" ht="13.5" customHeight="1">
      <c r="A56" s="19"/>
      <c r="B56" s="22" t="b">
        <v>1</v>
      </c>
      <c r="C56" s="22">
        <v>115.0</v>
      </c>
      <c r="D56" s="19"/>
      <c r="E56" s="19"/>
      <c r="F56" s="19"/>
      <c r="G56" s="19"/>
      <c r="H56" s="19"/>
      <c r="I56" s="19"/>
      <c r="J56" s="19"/>
      <c r="K56" s="19"/>
      <c r="L56" s="19"/>
      <c r="M56" s="19"/>
      <c r="N56" s="19"/>
      <c r="O56" s="19"/>
      <c r="P56" s="19"/>
      <c r="Q56" s="19"/>
      <c r="R56" s="19"/>
      <c r="S56" s="19"/>
      <c r="T56" s="19"/>
      <c r="U56" s="19"/>
      <c r="V56" s="19"/>
      <c r="W56" s="19"/>
      <c r="X56" s="19"/>
      <c r="Y56" s="19"/>
      <c r="Z56" s="19"/>
    </row>
    <row r="57" ht="13.5" customHeight="1">
      <c r="A57" s="19"/>
      <c r="B57" s="22" t="b">
        <v>0</v>
      </c>
      <c r="C57" s="22">
        <v>55.0</v>
      </c>
      <c r="D57" s="19"/>
      <c r="E57" s="19"/>
      <c r="F57" s="19"/>
      <c r="G57" s="19"/>
      <c r="H57" s="19"/>
      <c r="I57" s="19"/>
      <c r="J57" s="19"/>
      <c r="K57" s="19"/>
      <c r="L57" s="19"/>
      <c r="M57" s="19"/>
      <c r="N57" s="19"/>
      <c r="O57" s="19"/>
      <c r="P57" s="19"/>
      <c r="Q57" s="19"/>
      <c r="R57" s="19"/>
      <c r="S57" s="19"/>
      <c r="T57" s="19"/>
      <c r="U57" s="19"/>
      <c r="V57" s="19"/>
      <c r="W57" s="19"/>
      <c r="X57" s="19"/>
      <c r="Y57" s="19"/>
      <c r="Z57" s="19"/>
    </row>
    <row r="58" ht="13.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3.5" customHeight="1">
      <c r="A60" s="19"/>
      <c r="B60" s="53" t="s">
        <v>1353</v>
      </c>
      <c r="D60" s="19"/>
      <c r="E60" s="19"/>
      <c r="F60" s="19"/>
      <c r="G60" s="19"/>
      <c r="H60" s="19"/>
      <c r="I60" s="19"/>
      <c r="J60" s="19"/>
      <c r="K60" s="19"/>
      <c r="L60" s="19"/>
      <c r="M60" s="19"/>
      <c r="N60" s="19"/>
      <c r="O60" s="19"/>
      <c r="P60" s="19"/>
      <c r="Q60" s="19"/>
      <c r="R60" s="19"/>
      <c r="S60" s="19"/>
      <c r="T60" s="19"/>
      <c r="U60" s="19"/>
      <c r="V60" s="19"/>
      <c r="W60" s="19"/>
      <c r="X60" s="19"/>
      <c r="Y60" s="19"/>
      <c r="Z60" s="19"/>
    </row>
    <row r="61" ht="13.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3.5" customHeight="1">
      <c r="A62" s="19"/>
      <c r="B62" s="48" t="s">
        <v>1473</v>
      </c>
      <c r="C62" s="49"/>
      <c r="D62" s="49"/>
      <c r="E62" s="49"/>
      <c r="F62" s="49"/>
      <c r="G62" s="50"/>
      <c r="H62" s="51"/>
      <c r="I62" s="19"/>
      <c r="J62" s="19"/>
      <c r="K62" s="19"/>
      <c r="L62" s="19"/>
      <c r="M62" s="19"/>
      <c r="N62" s="19"/>
      <c r="O62" s="19"/>
      <c r="P62" s="19"/>
      <c r="Q62" s="19"/>
      <c r="R62" s="19"/>
      <c r="S62" s="19"/>
      <c r="T62" s="19"/>
      <c r="U62" s="19"/>
      <c r="V62" s="19"/>
      <c r="W62" s="19"/>
      <c r="X62" s="19"/>
      <c r="Y62" s="19"/>
      <c r="Z62" s="19"/>
    </row>
    <row r="63" ht="13.5" customHeight="1">
      <c r="A63" s="19"/>
      <c r="B63" s="43" t="s">
        <v>1474</v>
      </c>
      <c r="C63" s="44"/>
      <c r="D63" s="44"/>
      <c r="E63" s="44"/>
      <c r="F63" s="44"/>
      <c r="G63" s="44"/>
      <c r="H63" s="45"/>
      <c r="I63" s="19"/>
      <c r="J63" s="19"/>
      <c r="K63" s="19"/>
      <c r="L63" s="19"/>
      <c r="M63" s="19"/>
      <c r="N63" s="19"/>
      <c r="O63" s="19"/>
      <c r="P63" s="19"/>
      <c r="Q63" s="19"/>
      <c r="R63" s="19"/>
      <c r="S63" s="19"/>
      <c r="T63" s="19"/>
      <c r="U63" s="19"/>
      <c r="V63" s="19"/>
      <c r="W63" s="19"/>
      <c r="X63" s="19"/>
      <c r="Y63" s="19"/>
      <c r="Z63" s="19"/>
    </row>
    <row r="64" ht="13.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3.5" customHeight="1">
      <c r="A65" s="19"/>
      <c r="B65" s="40" t="s">
        <v>1445</v>
      </c>
      <c r="C65" s="40" t="s">
        <v>1446</v>
      </c>
      <c r="D65" s="19"/>
      <c r="E65" s="19"/>
      <c r="F65" s="40" t="s">
        <v>1447</v>
      </c>
      <c r="G65" s="40" t="s">
        <v>1342</v>
      </c>
      <c r="H65" s="40" t="s">
        <v>1343</v>
      </c>
      <c r="I65" s="19"/>
      <c r="J65" s="19"/>
      <c r="K65" s="19"/>
      <c r="L65" s="19"/>
      <c r="M65" s="19"/>
      <c r="N65" s="19"/>
      <c r="O65" s="19"/>
      <c r="P65" s="19"/>
      <c r="Q65" s="19"/>
      <c r="R65" s="19"/>
      <c r="S65" s="19"/>
      <c r="T65" s="19"/>
      <c r="U65" s="19"/>
      <c r="V65" s="19"/>
      <c r="W65" s="19"/>
      <c r="X65" s="19"/>
      <c r="Y65" s="19"/>
      <c r="Z65" s="19"/>
    </row>
    <row r="66" ht="13.5" customHeight="1">
      <c r="A66" s="19"/>
      <c r="B66" s="22" t="s">
        <v>1448</v>
      </c>
      <c r="C66" s="22">
        <v>500.0</v>
      </c>
      <c r="D66" s="19"/>
      <c r="E66" s="19"/>
      <c r="F66" s="22" t="str">
        <f t="shared" ref="F66:F72" si="3">_xludf.FORMULATEXT(G66)</f>
        <v>#NAME?</v>
      </c>
      <c r="G66" s="22">
        <f>COUNTIF(B66:B88, "East")</f>
        <v>2</v>
      </c>
      <c r="H66" s="22" t="s">
        <v>1475</v>
      </c>
      <c r="I66" s="19"/>
      <c r="J66" s="19"/>
      <c r="K66" s="19"/>
      <c r="L66" s="19"/>
      <c r="M66" s="19"/>
      <c r="N66" s="19"/>
      <c r="O66" s="19"/>
      <c r="P66" s="19"/>
      <c r="Q66" s="19"/>
      <c r="R66" s="19"/>
      <c r="S66" s="19"/>
      <c r="T66" s="19"/>
      <c r="U66" s="19"/>
      <c r="V66" s="19"/>
      <c r="W66" s="19"/>
      <c r="X66" s="19"/>
      <c r="Y66" s="19"/>
      <c r="Z66" s="19"/>
    </row>
    <row r="67" ht="13.5" customHeight="1">
      <c r="A67" s="19"/>
      <c r="B67" s="22" t="s">
        <v>1450</v>
      </c>
      <c r="C67" s="22">
        <v>50.0</v>
      </c>
      <c r="D67" s="19"/>
      <c r="E67" s="19"/>
      <c r="F67" s="22" t="str">
        <f t="shared" si="3"/>
        <v>#NAME?</v>
      </c>
      <c r="G67" s="22">
        <f>COUNTIF(B66:B88, "North")</f>
        <v>2</v>
      </c>
      <c r="H67" s="22" t="s">
        <v>1476</v>
      </c>
      <c r="I67" s="19"/>
      <c r="J67" s="19"/>
      <c r="K67" s="19"/>
      <c r="L67" s="19"/>
      <c r="M67" s="19"/>
      <c r="N67" s="19"/>
      <c r="O67" s="19"/>
      <c r="P67" s="19"/>
      <c r="Q67" s="19"/>
      <c r="R67" s="19"/>
      <c r="S67" s="19"/>
      <c r="T67" s="19"/>
      <c r="U67" s="19"/>
      <c r="V67" s="19"/>
      <c r="W67" s="19"/>
      <c r="X67" s="19"/>
      <c r="Y67" s="19"/>
      <c r="Z67" s="19"/>
    </row>
    <row r="68" ht="13.5" customHeight="1">
      <c r="A68" s="19"/>
      <c r="B68" s="22" t="s">
        <v>1452</v>
      </c>
      <c r="C68" s="22">
        <v>100.0</v>
      </c>
      <c r="D68" s="19"/>
      <c r="E68" s="19"/>
      <c r="F68" s="22" t="str">
        <f t="shared" si="3"/>
        <v>#NAME?</v>
      </c>
      <c r="G68" s="22">
        <f>COUNTIF(C66:C88,"&gt;=100")</f>
        <v>8</v>
      </c>
      <c r="H68" s="22" t="s">
        <v>1477</v>
      </c>
      <c r="I68" s="19"/>
      <c r="J68" s="19"/>
      <c r="K68" s="19"/>
      <c r="L68" s="19"/>
      <c r="M68" s="19"/>
      <c r="N68" s="19"/>
      <c r="O68" s="19"/>
      <c r="P68" s="19"/>
      <c r="Q68" s="19"/>
      <c r="R68" s="19"/>
      <c r="S68" s="19"/>
      <c r="T68" s="19"/>
      <c r="U68" s="19"/>
      <c r="V68" s="19"/>
      <c r="W68" s="19"/>
      <c r="X68" s="19"/>
      <c r="Y68" s="19"/>
      <c r="Z68" s="19"/>
    </row>
    <row r="69" ht="13.5" customHeight="1">
      <c r="A69" s="19"/>
      <c r="B69" s="22" t="s">
        <v>1454</v>
      </c>
      <c r="C69" s="22">
        <v>25.0</v>
      </c>
      <c r="D69" s="19"/>
      <c r="E69" s="19"/>
      <c r="F69" s="22" t="str">
        <f t="shared" si="3"/>
        <v>#NAME?</v>
      </c>
      <c r="G69" s="22">
        <f>COUNTIF(C66:C88, "&lt;="&amp;C68)</f>
        <v>17</v>
      </c>
      <c r="H69" s="52" t="s">
        <v>1478</v>
      </c>
      <c r="I69" s="19"/>
      <c r="J69" s="19"/>
      <c r="K69" s="19"/>
      <c r="L69" s="19"/>
      <c r="M69" s="19"/>
      <c r="N69" s="19"/>
      <c r="O69" s="19"/>
      <c r="P69" s="19"/>
      <c r="Q69" s="19"/>
      <c r="R69" s="19"/>
      <c r="S69" s="19"/>
      <c r="T69" s="19"/>
      <c r="U69" s="19"/>
      <c r="V69" s="19"/>
      <c r="W69" s="19"/>
      <c r="X69" s="19"/>
      <c r="Y69" s="19"/>
      <c r="Z69" s="19"/>
    </row>
    <row r="70" ht="13.5" customHeight="1">
      <c r="A70" s="19"/>
      <c r="B70" s="22" t="s">
        <v>1456</v>
      </c>
      <c r="C70" s="22">
        <v>200.0</v>
      </c>
      <c r="D70" s="19"/>
      <c r="E70" s="19"/>
      <c r="F70" s="22" t="str">
        <f t="shared" si="3"/>
        <v>#NAME?</v>
      </c>
      <c r="G70" s="22">
        <f>COUNTIF(B66:B88, "No*")</f>
        <v>3</v>
      </c>
      <c r="H70" s="22" t="s">
        <v>1479</v>
      </c>
      <c r="I70" s="19"/>
      <c r="J70" s="19"/>
      <c r="K70" s="19"/>
      <c r="L70" s="19"/>
      <c r="M70" s="19"/>
      <c r="N70" s="19"/>
      <c r="O70" s="19"/>
      <c r="P70" s="19"/>
      <c r="Q70" s="19"/>
      <c r="R70" s="19"/>
      <c r="S70" s="19"/>
      <c r="T70" s="19"/>
      <c r="U70" s="19"/>
      <c r="V70" s="19"/>
      <c r="W70" s="19"/>
      <c r="X70" s="19"/>
      <c r="Y70" s="19"/>
      <c r="Z70" s="19"/>
    </row>
    <row r="71" ht="13.5" customHeight="1">
      <c r="A71" s="19"/>
      <c r="B71" s="22" t="s">
        <v>1458</v>
      </c>
      <c r="C71" s="22">
        <v>30.0</v>
      </c>
      <c r="D71" s="19"/>
      <c r="E71" s="19"/>
      <c r="F71" s="22" t="str">
        <f t="shared" si="3"/>
        <v>#NAME?</v>
      </c>
      <c r="G71" s="22">
        <f>COUNTIF(B66:B88, "Ea??")</f>
        <v>2</v>
      </c>
      <c r="H71" s="52" t="s">
        <v>1480</v>
      </c>
      <c r="I71" s="19"/>
      <c r="J71" s="19"/>
      <c r="K71" s="19"/>
      <c r="L71" s="19"/>
      <c r="M71" s="19"/>
      <c r="N71" s="19"/>
      <c r="O71" s="19"/>
      <c r="P71" s="19"/>
      <c r="Q71" s="19"/>
      <c r="R71" s="19"/>
      <c r="S71" s="19"/>
      <c r="T71" s="19"/>
      <c r="U71" s="19"/>
      <c r="V71" s="19"/>
      <c r="W71" s="19"/>
      <c r="X71" s="19"/>
      <c r="Y71" s="19"/>
      <c r="Z71" s="19"/>
    </row>
    <row r="72" ht="13.5" customHeight="1">
      <c r="A72" s="19"/>
      <c r="B72" s="22"/>
      <c r="C72" s="22"/>
      <c r="D72" s="19"/>
      <c r="E72" s="19"/>
      <c r="F72" s="22" t="str">
        <f t="shared" si="3"/>
        <v>#NAME?</v>
      </c>
      <c r="G72" s="22">
        <f>COUNTIF(C66:C88, "&gt;10") + COUNTIF(C66:C88, "&lt;5")
</f>
        <v>22</v>
      </c>
      <c r="H72" s="54" t="s">
        <v>1481</v>
      </c>
      <c r="I72" s="19"/>
      <c r="J72" s="19"/>
      <c r="K72" s="19"/>
      <c r="L72" s="19"/>
      <c r="M72" s="19"/>
      <c r="N72" s="19"/>
      <c r="O72" s="19"/>
      <c r="P72" s="19"/>
      <c r="Q72" s="19"/>
      <c r="R72" s="19"/>
      <c r="S72" s="19"/>
      <c r="T72" s="19"/>
      <c r="U72" s="19"/>
      <c r="V72" s="19"/>
      <c r="W72" s="19"/>
      <c r="X72" s="19"/>
      <c r="Y72" s="19"/>
      <c r="Z72" s="19"/>
    </row>
    <row r="73" ht="13.5" customHeight="1">
      <c r="A73" s="19"/>
      <c r="B73" s="22" t="s">
        <v>1448</v>
      </c>
      <c r="C73" s="22">
        <v>35.0</v>
      </c>
      <c r="D73" s="19"/>
      <c r="E73" s="19"/>
      <c r="F73" s="5"/>
      <c r="I73" s="19"/>
      <c r="J73" s="19"/>
      <c r="K73" s="19"/>
      <c r="L73" s="19"/>
      <c r="M73" s="19"/>
      <c r="N73" s="19"/>
      <c r="O73" s="19"/>
      <c r="P73" s="19"/>
      <c r="Q73" s="19"/>
      <c r="R73" s="19"/>
      <c r="S73" s="19"/>
      <c r="T73" s="19"/>
      <c r="U73" s="19"/>
      <c r="V73" s="19"/>
      <c r="W73" s="19"/>
      <c r="X73" s="19"/>
      <c r="Y73" s="19"/>
      <c r="Z73" s="19"/>
    </row>
    <row r="74" ht="13.5" customHeight="1">
      <c r="A74" s="19"/>
      <c r="B74" s="22" t="s">
        <v>1450</v>
      </c>
      <c r="C74" s="22">
        <v>50.0</v>
      </c>
      <c r="D74" s="19"/>
      <c r="E74" s="19"/>
      <c r="F74" s="5"/>
      <c r="I74" s="19"/>
      <c r="J74" s="19"/>
      <c r="K74" s="19"/>
      <c r="L74" s="19"/>
      <c r="M74" s="19"/>
      <c r="N74" s="19"/>
      <c r="O74" s="19"/>
      <c r="P74" s="19"/>
      <c r="Q74" s="19"/>
      <c r="R74" s="19"/>
      <c r="S74" s="19"/>
      <c r="T74" s="19"/>
      <c r="U74" s="19"/>
      <c r="V74" s="19"/>
      <c r="W74" s="19"/>
      <c r="X74" s="19"/>
      <c r="Y74" s="19"/>
      <c r="Z74" s="19"/>
    </row>
    <row r="75" ht="13.5" customHeight="1">
      <c r="A75" s="19"/>
      <c r="B75" s="22" t="s">
        <v>1454</v>
      </c>
      <c r="C75" s="22">
        <v>15.0</v>
      </c>
      <c r="D75" s="19"/>
      <c r="E75" s="19"/>
      <c r="F75" s="19"/>
      <c r="G75" s="19"/>
      <c r="H75" s="19"/>
      <c r="I75" s="19"/>
      <c r="J75" s="19"/>
      <c r="K75" s="19"/>
      <c r="L75" s="19"/>
      <c r="M75" s="19"/>
      <c r="N75" s="19"/>
      <c r="O75" s="19"/>
      <c r="P75" s="19"/>
      <c r="Q75" s="19"/>
      <c r="R75" s="19"/>
      <c r="S75" s="19"/>
      <c r="T75" s="19"/>
      <c r="U75" s="19"/>
      <c r="V75" s="19"/>
      <c r="W75" s="19"/>
      <c r="X75" s="19"/>
      <c r="Y75" s="19"/>
      <c r="Z75" s="19"/>
    </row>
    <row r="76" ht="13.5" customHeight="1">
      <c r="A76" s="19"/>
      <c r="B76" s="22" t="s">
        <v>1452</v>
      </c>
      <c r="C76" s="22">
        <v>25.0</v>
      </c>
      <c r="D76" s="19"/>
      <c r="E76" s="19"/>
      <c r="F76" s="19"/>
      <c r="G76" s="19"/>
      <c r="H76" s="19"/>
      <c r="I76" s="19"/>
      <c r="J76" s="19"/>
      <c r="K76" s="19"/>
      <c r="L76" s="19"/>
      <c r="M76" s="19"/>
      <c r="N76" s="19"/>
      <c r="O76" s="19"/>
      <c r="P76" s="19"/>
      <c r="Q76" s="19"/>
      <c r="R76" s="19"/>
      <c r="S76" s="19"/>
      <c r="T76" s="19"/>
      <c r="U76" s="19"/>
      <c r="V76" s="19"/>
      <c r="W76" s="19"/>
      <c r="X76" s="19"/>
      <c r="Y76" s="19"/>
      <c r="Z76" s="19"/>
    </row>
    <row r="77" ht="13.5" customHeight="1">
      <c r="A77" s="19"/>
      <c r="B77" s="22" t="s">
        <v>1462</v>
      </c>
      <c r="C77" s="22">
        <v>40.0</v>
      </c>
      <c r="D77" s="19"/>
      <c r="E77" s="19"/>
      <c r="F77" s="19"/>
      <c r="G77" s="19"/>
      <c r="H77" s="19"/>
      <c r="I77" s="19"/>
      <c r="J77" s="19"/>
      <c r="K77" s="19"/>
      <c r="L77" s="19"/>
      <c r="M77" s="19"/>
      <c r="N77" s="19"/>
      <c r="O77" s="19"/>
      <c r="P77" s="19"/>
      <c r="Q77" s="19"/>
      <c r="R77" s="19"/>
      <c r="S77" s="19"/>
      <c r="T77" s="19"/>
      <c r="U77" s="19"/>
      <c r="V77" s="19"/>
      <c r="W77" s="19"/>
      <c r="X77" s="19"/>
      <c r="Y77" s="19"/>
      <c r="Z77" s="19"/>
    </row>
    <row r="78" ht="13.5" customHeight="1">
      <c r="A78" s="19"/>
      <c r="B78" s="22">
        <v>5.0</v>
      </c>
      <c r="C78" s="22">
        <v>50.0</v>
      </c>
      <c r="D78" s="19"/>
      <c r="E78" s="19"/>
      <c r="F78" s="19"/>
      <c r="G78" s="19"/>
      <c r="H78" s="19"/>
      <c r="I78" s="19"/>
      <c r="J78" s="19"/>
      <c r="K78" s="19"/>
      <c r="L78" s="19"/>
      <c r="M78" s="19"/>
      <c r="N78" s="19"/>
      <c r="O78" s="19"/>
      <c r="P78" s="19"/>
      <c r="Q78" s="19"/>
      <c r="R78" s="19"/>
      <c r="S78" s="19"/>
      <c r="T78" s="19"/>
      <c r="U78" s="19"/>
      <c r="V78" s="19"/>
      <c r="W78" s="19"/>
      <c r="X78" s="19"/>
      <c r="Y78" s="19"/>
      <c r="Z78" s="19"/>
    </row>
    <row r="79" ht="13.5" customHeight="1">
      <c r="A79" s="19"/>
      <c r="B79" s="22">
        <v>5.0</v>
      </c>
      <c r="C79" s="22">
        <v>100.0</v>
      </c>
      <c r="D79" s="19"/>
      <c r="E79" s="19"/>
      <c r="F79" s="19"/>
      <c r="G79" s="19"/>
      <c r="H79" s="19"/>
      <c r="I79" s="19"/>
      <c r="J79" s="19"/>
      <c r="K79" s="19"/>
      <c r="L79" s="19"/>
      <c r="M79" s="19"/>
      <c r="N79" s="19"/>
      <c r="O79" s="19"/>
      <c r="P79" s="19"/>
      <c r="Q79" s="19"/>
      <c r="R79" s="19"/>
      <c r="S79" s="19"/>
      <c r="T79" s="19"/>
      <c r="U79" s="19"/>
      <c r="V79" s="19"/>
      <c r="W79" s="19"/>
      <c r="X79" s="19"/>
      <c r="Y79" s="19"/>
      <c r="Z79" s="19"/>
    </row>
    <row r="80" ht="13.5" customHeight="1">
      <c r="A80" s="19"/>
      <c r="B80" s="22">
        <v>2.0</v>
      </c>
      <c r="C80" s="22">
        <v>200.0</v>
      </c>
      <c r="D80" s="19"/>
      <c r="E80" s="19"/>
      <c r="F80" s="19"/>
      <c r="G80" s="19"/>
      <c r="H80" s="19"/>
      <c r="I80" s="19"/>
      <c r="J80" s="19"/>
      <c r="K80" s="19"/>
      <c r="L80" s="19"/>
      <c r="M80" s="19"/>
      <c r="N80" s="19"/>
      <c r="O80" s="19"/>
      <c r="P80" s="19"/>
      <c r="Q80" s="19"/>
      <c r="R80" s="19"/>
      <c r="S80" s="19"/>
      <c r="T80" s="19"/>
      <c r="U80" s="19"/>
      <c r="V80" s="19"/>
      <c r="W80" s="19"/>
      <c r="X80" s="19"/>
      <c r="Y80" s="19"/>
      <c r="Z80" s="19"/>
    </row>
    <row r="81" ht="13.5" customHeight="1">
      <c r="A81" s="19"/>
      <c r="B81" s="22">
        <v>4.0</v>
      </c>
      <c r="C81" s="22">
        <v>35.0</v>
      </c>
      <c r="D81" s="19"/>
      <c r="E81" s="19"/>
      <c r="F81" s="19"/>
      <c r="G81" s="19"/>
      <c r="H81" s="19"/>
      <c r="I81" s="19"/>
      <c r="J81" s="19"/>
      <c r="K81" s="19"/>
      <c r="L81" s="19"/>
      <c r="M81" s="19"/>
      <c r="N81" s="19"/>
      <c r="O81" s="19"/>
      <c r="P81" s="19"/>
      <c r="Q81" s="19"/>
      <c r="R81" s="19"/>
      <c r="S81" s="19"/>
      <c r="T81" s="19"/>
      <c r="U81" s="19"/>
      <c r="V81" s="19"/>
      <c r="W81" s="19"/>
      <c r="X81" s="19"/>
      <c r="Y81" s="19"/>
      <c r="Z81" s="19"/>
    </row>
    <row r="82" ht="13.5" customHeight="1">
      <c r="A82" s="19"/>
      <c r="B82" s="22">
        <v>2.0</v>
      </c>
      <c r="C82" s="22">
        <v>45.0</v>
      </c>
      <c r="D82" s="19"/>
      <c r="E82" s="19"/>
      <c r="F82" s="19"/>
      <c r="G82" s="19"/>
      <c r="H82" s="19"/>
      <c r="I82" s="19"/>
      <c r="J82" s="19"/>
      <c r="K82" s="19"/>
      <c r="L82" s="19"/>
      <c r="M82" s="19"/>
      <c r="N82" s="19"/>
      <c r="O82" s="19"/>
      <c r="P82" s="19"/>
      <c r="Q82" s="19"/>
      <c r="R82" s="19"/>
      <c r="S82" s="19"/>
      <c r="T82" s="19"/>
      <c r="U82" s="19"/>
      <c r="V82" s="19"/>
      <c r="W82" s="19"/>
      <c r="X82" s="19"/>
      <c r="Y82" s="19"/>
      <c r="Z82" s="19"/>
    </row>
    <row r="83" ht="13.5" customHeight="1">
      <c r="A83" s="19"/>
      <c r="B83" s="22">
        <v>4.0</v>
      </c>
      <c r="C83" s="22">
        <v>50.0</v>
      </c>
      <c r="D83" s="19"/>
      <c r="E83" s="19"/>
      <c r="F83" s="19"/>
      <c r="G83" s="19"/>
      <c r="H83" s="19"/>
      <c r="I83" s="19"/>
      <c r="J83" s="19"/>
      <c r="K83" s="19"/>
      <c r="L83" s="19"/>
      <c r="M83" s="19"/>
      <c r="N83" s="19"/>
      <c r="O83" s="19"/>
      <c r="P83" s="19"/>
      <c r="Q83" s="19"/>
      <c r="R83" s="19"/>
      <c r="S83" s="19"/>
      <c r="T83" s="19"/>
      <c r="U83" s="19"/>
      <c r="V83" s="19"/>
      <c r="W83" s="19"/>
      <c r="X83" s="19"/>
      <c r="Y83" s="19"/>
      <c r="Z83" s="19"/>
    </row>
    <row r="84" ht="13.5" customHeight="1">
      <c r="A84" s="19"/>
      <c r="B84" s="22" t="b">
        <v>1</v>
      </c>
      <c r="C84" s="22">
        <v>90.0</v>
      </c>
      <c r="D84" s="19"/>
      <c r="E84" s="19"/>
      <c r="F84" s="19"/>
      <c r="G84" s="19"/>
      <c r="H84" s="19"/>
      <c r="I84" s="19"/>
      <c r="J84" s="19"/>
      <c r="K84" s="19"/>
      <c r="L84" s="19"/>
      <c r="M84" s="19"/>
      <c r="N84" s="19"/>
      <c r="O84" s="19"/>
      <c r="P84" s="19"/>
      <c r="Q84" s="19"/>
      <c r="R84" s="19"/>
      <c r="S84" s="19"/>
      <c r="T84" s="19"/>
      <c r="U84" s="19"/>
      <c r="V84" s="19"/>
      <c r="W84" s="19"/>
      <c r="X84" s="19"/>
      <c r="Y84" s="19"/>
      <c r="Z84" s="19"/>
    </row>
    <row r="85" ht="13.5" customHeight="1">
      <c r="A85" s="19"/>
      <c r="B85" s="22" t="b">
        <v>0</v>
      </c>
      <c r="C85" s="22">
        <v>100.0</v>
      </c>
      <c r="D85" s="19"/>
      <c r="E85" s="19"/>
      <c r="F85" s="19"/>
      <c r="G85" s="19"/>
      <c r="H85" s="19"/>
      <c r="I85" s="19"/>
      <c r="J85" s="19"/>
      <c r="K85" s="19"/>
      <c r="L85" s="19"/>
      <c r="M85" s="19"/>
      <c r="N85" s="19"/>
      <c r="O85" s="19"/>
      <c r="P85" s="19"/>
      <c r="Q85" s="19"/>
      <c r="R85" s="19"/>
      <c r="S85" s="19"/>
      <c r="T85" s="19"/>
      <c r="U85" s="19"/>
      <c r="V85" s="19"/>
      <c r="W85" s="19"/>
      <c r="X85" s="19"/>
      <c r="Y85" s="19"/>
      <c r="Z85" s="19"/>
    </row>
    <row r="86" ht="13.5" customHeight="1">
      <c r="A86" s="19"/>
      <c r="B86" s="22" t="b">
        <v>1</v>
      </c>
      <c r="C86" s="22">
        <v>125.0</v>
      </c>
      <c r="D86" s="19"/>
      <c r="E86" s="19"/>
      <c r="F86" s="19"/>
      <c r="G86" s="19"/>
      <c r="H86" s="19"/>
      <c r="I86" s="19"/>
      <c r="J86" s="19"/>
      <c r="K86" s="19"/>
      <c r="L86" s="19"/>
      <c r="M86" s="19"/>
      <c r="N86" s="19"/>
      <c r="O86" s="19"/>
      <c r="P86" s="19"/>
      <c r="Q86" s="19"/>
      <c r="R86" s="19"/>
      <c r="S86" s="19"/>
      <c r="T86" s="19"/>
      <c r="U86" s="19"/>
      <c r="V86" s="19"/>
      <c r="W86" s="19"/>
      <c r="X86" s="19"/>
      <c r="Y86" s="19"/>
      <c r="Z86" s="19"/>
    </row>
    <row r="87" ht="13.5" customHeight="1">
      <c r="A87" s="19"/>
      <c r="B87" s="22" t="b">
        <v>1</v>
      </c>
      <c r="C87" s="22">
        <v>115.0</v>
      </c>
      <c r="D87" s="19"/>
      <c r="E87" s="19"/>
      <c r="F87" s="19"/>
      <c r="G87" s="19"/>
      <c r="H87" s="19"/>
      <c r="I87" s="19"/>
      <c r="J87" s="19"/>
      <c r="K87" s="19"/>
      <c r="L87" s="19"/>
      <c r="M87" s="19"/>
      <c r="N87" s="19"/>
      <c r="O87" s="19"/>
      <c r="P87" s="19"/>
      <c r="Q87" s="19"/>
      <c r="R87" s="19"/>
      <c r="S87" s="19"/>
      <c r="T87" s="19"/>
      <c r="U87" s="19"/>
      <c r="V87" s="19"/>
      <c r="W87" s="19"/>
      <c r="X87" s="19"/>
      <c r="Y87" s="19"/>
      <c r="Z87" s="19"/>
    </row>
    <row r="88" ht="13.5" customHeight="1">
      <c r="A88" s="19"/>
      <c r="B88" s="22" t="b">
        <v>0</v>
      </c>
      <c r="C88" s="22">
        <v>55.0</v>
      </c>
      <c r="D88" s="19"/>
      <c r="E88" s="19"/>
      <c r="F88" s="19"/>
      <c r="G88" s="19"/>
      <c r="H88" s="19"/>
      <c r="I88" s="19"/>
      <c r="J88" s="19"/>
      <c r="K88" s="19"/>
      <c r="L88" s="19"/>
      <c r="M88" s="19"/>
      <c r="N88" s="19"/>
      <c r="O88" s="19"/>
      <c r="P88" s="19"/>
      <c r="Q88" s="19"/>
      <c r="R88" s="19"/>
      <c r="S88" s="19"/>
      <c r="T88" s="19"/>
      <c r="U88" s="19"/>
      <c r="V88" s="19"/>
      <c r="W88" s="19"/>
      <c r="X88" s="19"/>
      <c r="Y88" s="19"/>
      <c r="Z88" s="19"/>
    </row>
    <row r="89"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3.5" customHeight="1">
      <c r="A91" s="19"/>
      <c r="B91" s="53" t="s">
        <v>1353</v>
      </c>
      <c r="D91" s="19"/>
      <c r="E91" s="19"/>
      <c r="F91" s="19"/>
      <c r="G91" s="19"/>
      <c r="H91" s="19"/>
      <c r="I91" s="19"/>
      <c r="J91" s="19"/>
      <c r="K91" s="19"/>
      <c r="L91" s="19"/>
      <c r="M91" s="19"/>
      <c r="N91" s="19"/>
      <c r="O91" s="19"/>
      <c r="P91" s="19"/>
      <c r="Q91" s="19"/>
      <c r="R91" s="19"/>
      <c r="S91" s="19"/>
      <c r="T91" s="19"/>
      <c r="U91" s="19"/>
      <c r="V91" s="19"/>
      <c r="W91" s="19"/>
      <c r="X91" s="19"/>
      <c r="Y91" s="19"/>
      <c r="Z91" s="19"/>
    </row>
    <row r="92"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3.5" customHeight="1">
      <c r="A93" s="19"/>
      <c r="B93" s="48" t="s">
        <v>1482</v>
      </c>
      <c r="C93" s="49"/>
      <c r="D93" s="49"/>
      <c r="E93" s="49"/>
      <c r="F93" s="49"/>
      <c r="G93" s="50"/>
      <c r="H93" s="51"/>
      <c r="I93" s="19"/>
      <c r="J93" s="19"/>
      <c r="K93" s="19"/>
      <c r="L93" s="19"/>
      <c r="M93" s="19"/>
      <c r="N93" s="19"/>
      <c r="O93" s="19"/>
      <c r="P93" s="19"/>
      <c r="Q93" s="19"/>
      <c r="R93" s="19"/>
      <c r="S93" s="19"/>
      <c r="T93" s="19"/>
      <c r="U93" s="19"/>
      <c r="V93" s="19"/>
      <c r="W93" s="19"/>
      <c r="X93" s="19"/>
      <c r="Y93" s="19"/>
      <c r="Z93" s="19"/>
    </row>
    <row r="94" ht="13.5" customHeight="1">
      <c r="A94" s="19"/>
      <c r="B94" s="43" t="s">
        <v>1483</v>
      </c>
      <c r="C94" s="44"/>
      <c r="D94" s="44"/>
      <c r="E94" s="44"/>
      <c r="F94" s="44"/>
      <c r="G94" s="44"/>
      <c r="H94" s="45"/>
      <c r="I94" s="19"/>
      <c r="J94" s="19"/>
      <c r="K94" s="19"/>
      <c r="L94" s="19"/>
      <c r="M94" s="19"/>
      <c r="N94" s="19"/>
      <c r="O94" s="19"/>
      <c r="P94" s="19"/>
      <c r="Q94" s="19"/>
      <c r="R94" s="19"/>
      <c r="S94" s="19"/>
      <c r="T94" s="19"/>
      <c r="U94" s="19"/>
      <c r="V94" s="19"/>
      <c r="W94" s="19"/>
      <c r="X94" s="19"/>
      <c r="Y94" s="19"/>
      <c r="Z94" s="19"/>
    </row>
    <row r="95"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3.5" customHeight="1">
      <c r="A96" s="19"/>
      <c r="B96" s="40" t="s">
        <v>1484</v>
      </c>
      <c r="C96" s="40" t="s">
        <v>1485</v>
      </c>
      <c r="D96" s="40" t="s">
        <v>1486</v>
      </c>
      <c r="F96" s="40" t="s">
        <v>1447</v>
      </c>
      <c r="G96" s="40" t="s">
        <v>1342</v>
      </c>
      <c r="H96" s="40" t="s">
        <v>1343</v>
      </c>
      <c r="I96" s="19"/>
      <c r="J96" s="19"/>
      <c r="K96" s="19"/>
      <c r="L96" s="19"/>
      <c r="M96" s="19"/>
      <c r="N96" s="19"/>
      <c r="O96" s="19"/>
      <c r="P96" s="19"/>
      <c r="Q96" s="19"/>
      <c r="R96" s="19"/>
      <c r="S96" s="19"/>
      <c r="T96" s="19"/>
      <c r="U96" s="19"/>
      <c r="V96" s="19"/>
      <c r="W96" s="19"/>
      <c r="X96" s="19"/>
      <c r="Y96" s="19"/>
      <c r="Z96" s="19"/>
    </row>
    <row r="97" ht="13.5" customHeight="1">
      <c r="A97" s="19"/>
      <c r="B97" s="22" t="s">
        <v>1363</v>
      </c>
      <c r="C97" s="22" t="s">
        <v>1487</v>
      </c>
      <c r="D97" s="22">
        <v>10.0</v>
      </c>
      <c r="E97" s="19"/>
      <c r="F97" s="22" t="str">
        <f t="shared" ref="F97:F99" si="4">_xludf.FORMULATEXT(G97)</f>
        <v>#NAME?</v>
      </c>
      <c r="G97" s="22">
        <f>AVERAGEIFS(D97:D109, B97:B109, "Apple", C97:C109, "Tom")</f>
        <v>13.33333333</v>
      </c>
      <c r="H97" s="22" t="s">
        <v>1488</v>
      </c>
      <c r="I97" s="19"/>
      <c r="J97" s="19"/>
      <c r="K97" s="19"/>
      <c r="L97" s="19"/>
      <c r="M97" s="19"/>
      <c r="N97" s="19"/>
      <c r="O97" s="19"/>
      <c r="P97" s="19"/>
      <c r="Q97" s="19"/>
      <c r="R97" s="19"/>
      <c r="S97" s="19"/>
      <c r="T97" s="19"/>
      <c r="U97" s="19"/>
      <c r="V97" s="19"/>
      <c r="W97" s="19"/>
      <c r="X97" s="19"/>
      <c r="Y97" s="19"/>
      <c r="Z97" s="19"/>
    </row>
    <row r="98" ht="13.5" customHeight="1">
      <c r="A98" s="19"/>
      <c r="B98" s="22" t="s">
        <v>1344</v>
      </c>
      <c r="C98" s="22" t="s">
        <v>1489</v>
      </c>
      <c r="D98" s="22">
        <v>4.0</v>
      </c>
      <c r="E98" s="19"/>
      <c r="F98" s="22" t="str">
        <f t="shared" si="4"/>
        <v>#NAME?</v>
      </c>
      <c r="G98" s="22" t="str">
        <f>AVERAGEIFS(D97:D109, B97:B109, "Banana", C97:C109, "Marissa")</f>
        <v>#DIV/0!</v>
      </c>
      <c r="H98" s="52" t="s">
        <v>1490</v>
      </c>
      <c r="I98" s="19"/>
      <c r="J98" s="19"/>
      <c r="K98" s="19"/>
      <c r="L98" s="19"/>
      <c r="M98" s="19"/>
      <c r="N98" s="19"/>
      <c r="O98" s="19"/>
      <c r="P98" s="19"/>
      <c r="Q98" s="19"/>
      <c r="R98" s="19"/>
      <c r="S98" s="19"/>
      <c r="T98" s="19"/>
      <c r="U98" s="19"/>
      <c r="V98" s="19"/>
      <c r="W98" s="19"/>
      <c r="X98" s="19"/>
      <c r="Y98" s="19"/>
      <c r="Z98" s="19"/>
    </row>
    <row r="99" ht="13.5" customHeight="1">
      <c r="A99" s="19"/>
      <c r="B99" s="22" t="s">
        <v>1363</v>
      </c>
      <c r="C99" s="22" t="s">
        <v>1491</v>
      </c>
      <c r="D99" s="22">
        <v>12.0</v>
      </c>
      <c r="E99" s="19"/>
      <c r="F99" s="22" t="str">
        <f t="shared" si="4"/>
        <v>#NAME?</v>
      </c>
      <c r="G99" s="22">
        <f>AVERAGEIFS(D97:D109, B97:B109, "Carrot", C97:C109, "Marissa")</f>
        <v>17</v>
      </c>
      <c r="H99" s="22" t="s">
        <v>1492</v>
      </c>
      <c r="I99" s="19"/>
      <c r="J99" s="19"/>
      <c r="K99" s="19"/>
      <c r="L99" s="19"/>
      <c r="M99" s="19"/>
      <c r="N99" s="19"/>
      <c r="O99" s="19"/>
      <c r="P99" s="19"/>
      <c r="Q99" s="19"/>
      <c r="R99" s="19"/>
      <c r="S99" s="19"/>
      <c r="T99" s="19"/>
      <c r="U99" s="19"/>
      <c r="V99" s="19"/>
      <c r="W99" s="19"/>
      <c r="X99" s="19"/>
      <c r="Y99" s="19"/>
      <c r="Z99" s="19"/>
    </row>
    <row r="100" ht="13.5" customHeight="1">
      <c r="A100" s="19"/>
      <c r="B100" s="22" t="s">
        <v>1493</v>
      </c>
      <c r="C100" s="22" t="s">
        <v>1494</v>
      </c>
      <c r="D100" s="22">
        <v>5.0</v>
      </c>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3.5" customHeight="1">
      <c r="A101" s="19"/>
      <c r="B101" s="22" t="s">
        <v>1495</v>
      </c>
      <c r="C101" s="22" t="s">
        <v>1496</v>
      </c>
      <c r="D101" s="22">
        <v>13.0</v>
      </c>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3.5" customHeight="1">
      <c r="A102" s="19"/>
      <c r="B102" s="22" t="s">
        <v>1363</v>
      </c>
      <c r="C102" s="22" t="s">
        <v>1487</v>
      </c>
      <c r="D102" s="22">
        <v>15.0</v>
      </c>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3.5" customHeight="1">
      <c r="A103" s="19"/>
      <c r="B103" s="22" t="s">
        <v>1495</v>
      </c>
      <c r="C103" s="22" t="s">
        <v>1489</v>
      </c>
      <c r="D103" s="22">
        <v>14.0</v>
      </c>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3.5" customHeight="1">
      <c r="A104" s="19"/>
      <c r="B104" s="22" t="s">
        <v>1493</v>
      </c>
      <c r="C104" s="22" t="s">
        <v>1494</v>
      </c>
      <c r="D104" s="22">
        <v>12.0</v>
      </c>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3.5" customHeight="1">
      <c r="A105" s="19"/>
      <c r="B105" s="22" t="s">
        <v>1344</v>
      </c>
      <c r="C105" s="22" t="s">
        <v>1489</v>
      </c>
      <c r="D105" s="22">
        <v>8.0</v>
      </c>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3.5" customHeight="1">
      <c r="A106" s="19"/>
      <c r="B106" s="22" t="s">
        <v>1493</v>
      </c>
      <c r="C106" s="22" t="s">
        <v>1491</v>
      </c>
      <c r="D106" s="22">
        <v>9.0</v>
      </c>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3.5" customHeight="1">
      <c r="A107" s="19"/>
      <c r="B107" s="22" t="s">
        <v>1363</v>
      </c>
      <c r="C107" s="22" t="s">
        <v>1487</v>
      </c>
      <c r="D107" s="22">
        <v>15.0</v>
      </c>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3.5" customHeight="1">
      <c r="A108" s="19"/>
      <c r="B108" s="22" t="s">
        <v>1495</v>
      </c>
      <c r="C108" s="22" t="s">
        <v>1489</v>
      </c>
      <c r="D108" s="22">
        <v>20.0</v>
      </c>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3.5" customHeight="1">
      <c r="A109" s="19"/>
      <c r="B109" s="22" t="s">
        <v>1493</v>
      </c>
      <c r="C109" s="22" t="s">
        <v>1491</v>
      </c>
      <c r="D109" s="22">
        <v>25.0</v>
      </c>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3.5" customHeight="1">
      <c r="A110" s="19"/>
      <c r="F110" s="19"/>
      <c r="G110" s="19"/>
      <c r="H110" s="19"/>
      <c r="I110" s="19"/>
      <c r="J110" s="19"/>
      <c r="K110" s="19"/>
      <c r="L110" s="19"/>
      <c r="M110" s="19"/>
      <c r="N110" s="19"/>
      <c r="O110" s="19"/>
      <c r="P110" s="19"/>
      <c r="Q110" s="19"/>
      <c r="R110" s="19"/>
      <c r="S110" s="19"/>
      <c r="T110" s="19"/>
      <c r="U110" s="19"/>
      <c r="V110" s="19"/>
      <c r="W110" s="19"/>
      <c r="X110" s="19"/>
      <c r="Y110" s="19"/>
      <c r="Z110" s="19"/>
    </row>
    <row r="111" ht="13.5" customHeight="1">
      <c r="A111" s="19"/>
      <c r="F111" s="19"/>
      <c r="G111" s="19"/>
      <c r="H111" s="19"/>
      <c r="I111" s="19"/>
      <c r="J111" s="19"/>
      <c r="K111" s="19"/>
      <c r="L111" s="19"/>
      <c r="M111" s="19"/>
      <c r="N111" s="19"/>
      <c r="O111" s="19"/>
      <c r="P111" s="19"/>
      <c r="Q111" s="19"/>
      <c r="R111" s="19"/>
      <c r="S111" s="19"/>
      <c r="T111" s="19"/>
      <c r="U111" s="19"/>
      <c r="V111" s="19"/>
      <c r="W111" s="19"/>
      <c r="X111" s="19"/>
      <c r="Y111" s="19"/>
      <c r="Z111" s="19"/>
    </row>
    <row r="112" ht="13.5" customHeight="1">
      <c r="A112" s="19"/>
      <c r="B112" s="53" t="s">
        <v>1353</v>
      </c>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3.5" customHeight="1">
      <c r="A116" s="19"/>
      <c r="B116" s="48" t="s">
        <v>1497</v>
      </c>
      <c r="C116" s="49"/>
      <c r="D116" s="49"/>
      <c r="E116" s="49"/>
      <c r="F116" s="49"/>
      <c r="G116" s="50"/>
      <c r="H116" s="51"/>
      <c r="I116" s="19"/>
      <c r="J116" s="19"/>
      <c r="K116" s="19"/>
      <c r="L116" s="19"/>
      <c r="M116" s="19"/>
      <c r="N116" s="19"/>
      <c r="O116" s="19"/>
      <c r="P116" s="19"/>
      <c r="Q116" s="19"/>
      <c r="R116" s="19"/>
      <c r="S116" s="19"/>
      <c r="T116" s="19"/>
      <c r="U116" s="19"/>
      <c r="V116" s="19"/>
      <c r="W116" s="19"/>
      <c r="X116" s="19"/>
      <c r="Y116" s="19"/>
      <c r="Z116" s="19"/>
    </row>
    <row r="117" ht="13.5" customHeight="1">
      <c r="A117" s="19"/>
      <c r="B117" s="43" t="s">
        <v>1498</v>
      </c>
      <c r="C117" s="44"/>
      <c r="D117" s="44"/>
      <c r="E117" s="44"/>
      <c r="F117" s="44"/>
      <c r="G117" s="44"/>
      <c r="H117" s="45"/>
      <c r="I117" s="19"/>
      <c r="J117" s="19"/>
      <c r="K117" s="19"/>
      <c r="L117" s="19"/>
      <c r="M117" s="19"/>
      <c r="N117" s="19"/>
      <c r="O117" s="19"/>
      <c r="P117" s="19"/>
      <c r="Q117" s="19"/>
      <c r="R117" s="19"/>
      <c r="S117" s="19"/>
      <c r="T117" s="19"/>
      <c r="U117" s="19"/>
      <c r="V117" s="19"/>
      <c r="W117" s="19"/>
      <c r="X117" s="19"/>
      <c r="Y117" s="19"/>
      <c r="Z117" s="19"/>
    </row>
    <row r="118"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3.5" customHeight="1">
      <c r="A119" s="19"/>
      <c r="B119" s="40" t="s">
        <v>1484</v>
      </c>
      <c r="C119" s="40" t="s">
        <v>1485</v>
      </c>
      <c r="D119" s="40" t="s">
        <v>1486</v>
      </c>
      <c r="F119" s="40" t="s">
        <v>1447</v>
      </c>
      <c r="G119" s="40" t="s">
        <v>1342</v>
      </c>
      <c r="H119" s="40" t="s">
        <v>1343</v>
      </c>
      <c r="I119" s="19"/>
      <c r="J119" s="19"/>
      <c r="K119" s="19"/>
      <c r="L119" s="19"/>
      <c r="M119" s="19"/>
      <c r="N119" s="19"/>
      <c r="O119" s="19"/>
      <c r="P119" s="19"/>
      <c r="Q119" s="19"/>
      <c r="R119" s="19"/>
      <c r="S119" s="19"/>
      <c r="T119" s="19"/>
      <c r="U119" s="19"/>
      <c r="V119" s="19"/>
      <c r="W119" s="19"/>
      <c r="X119" s="19"/>
      <c r="Y119" s="19"/>
      <c r="Z119" s="19"/>
    </row>
    <row r="120" ht="13.5" customHeight="1">
      <c r="A120" s="19"/>
      <c r="B120" s="22" t="s">
        <v>1363</v>
      </c>
      <c r="C120" s="22" t="s">
        <v>1487</v>
      </c>
      <c r="D120" s="22">
        <v>10.0</v>
      </c>
      <c r="E120" s="19"/>
      <c r="F120" s="22" t="str">
        <f t="shared" ref="F120:F122" si="5">_xludf.FORMULATEXT(G120)</f>
        <v>#NAME?</v>
      </c>
      <c r="G120" s="22">
        <f>SUMIFS(D120:D132, B120:B132, "Apple", C120:C132, "Tom")</f>
        <v>40</v>
      </c>
      <c r="H120" s="22" t="s">
        <v>1499</v>
      </c>
      <c r="I120" s="19"/>
      <c r="J120" s="19"/>
      <c r="K120" s="19"/>
      <c r="L120" s="19"/>
      <c r="M120" s="19"/>
      <c r="N120" s="19"/>
      <c r="O120" s="19"/>
      <c r="P120" s="19"/>
      <c r="Q120" s="19"/>
      <c r="R120" s="19"/>
      <c r="S120" s="19"/>
      <c r="T120" s="19"/>
      <c r="U120" s="19"/>
      <c r="V120" s="19"/>
      <c r="W120" s="19"/>
      <c r="X120" s="19"/>
      <c r="Y120" s="19"/>
      <c r="Z120" s="19"/>
    </row>
    <row r="121" ht="13.5" customHeight="1">
      <c r="A121" s="19"/>
      <c r="B121" s="22" t="s">
        <v>1344</v>
      </c>
      <c r="C121" s="22" t="s">
        <v>1489</v>
      </c>
      <c r="D121" s="22">
        <v>4.0</v>
      </c>
      <c r="E121" s="19"/>
      <c r="F121" s="22" t="str">
        <f t="shared" si="5"/>
        <v>#NAME?</v>
      </c>
      <c r="G121" s="22">
        <f>SUMIFS(D120:D132, B120:B132, "Banana", C120:C132, "Marissa")</f>
        <v>0</v>
      </c>
      <c r="H121" s="52" t="s">
        <v>1500</v>
      </c>
      <c r="I121" s="19"/>
      <c r="J121" s="19"/>
      <c r="K121" s="19"/>
      <c r="L121" s="19"/>
      <c r="M121" s="19"/>
      <c r="N121" s="19"/>
      <c r="O121" s="19"/>
      <c r="P121" s="19"/>
      <c r="Q121" s="19"/>
      <c r="R121" s="19"/>
      <c r="S121" s="19"/>
      <c r="T121" s="19"/>
      <c r="U121" s="19"/>
      <c r="V121" s="19"/>
      <c r="W121" s="19"/>
      <c r="X121" s="19"/>
      <c r="Y121" s="19"/>
      <c r="Z121" s="19"/>
    </row>
    <row r="122" ht="13.5" customHeight="1">
      <c r="A122" s="19"/>
      <c r="B122" s="22" t="s">
        <v>1363</v>
      </c>
      <c r="C122" s="22" t="s">
        <v>1491</v>
      </c>
      <c r="D122" s="22">
        <v>12.0</v>
      </c>
      <c r="E122" s="19"/>
      <c r="F122" s="22" t="str">
        <f t="shared" si="5"/>
        <v>#NAME?</v>
      </c>
      <c r="G122" s="22">
        <f>SUMIFS(D120:D132, B120:B132, "Carrot", C120:C132, "Marissa")</f>
        <v>34</v>
      </c>
      <c r="H122" s="22" t="s">
        <v>1501</v>
      </c>
      <c r="I122" s="19"/>
      <c r="J122" s="19"/>
      <c r="K122" s="19"/>
      <c r="L122" s="19"/>
      <c r="M122" s="19"/>
      <c r="N122" s="19"/>
      <c r="O122" s="19"/>
      <c r="P122" s="19"/>
      <c r="Q122" s="19"/>
      <c r="R122" s="19"/>
      <c r="S122" s="19"/>
      <c r="T122" s="19"/>
      <c r="U122" s="19"/>
      <c r="V122" s="19"/>
      <c r="W122" s="19"/>
      <c r="X122" s="19"/>
      <c r="Y122" s="19"/>
      <c r="Z122" s="19"/>
    </row>
    <row r="123" ht="13.5" customHeight="1">
      <c r="A123" s="19"/>
      <c r="B123" s="22" t="s">
        <v>1493</v>
      </c>
      <c r="C123" s="22" t="s">
        <v>1494</v>
      </c>
      <c r="D123" s="22">
        <v>5.0</v>
      </c>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3.5" customHeight="1">
      <c r="A124" s="19"/>
      <c r="B124" s="22" t="s">
        <v>1495</v>
      </c>
      <c r="C124" s="22" t="s">
        <v>1496</v>
      </c>
      <c r="D124" s="22">
        <v>13.0</v>
      </c>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3.5" customHeight="1">
      <c r="A125" s="19"/>
      <c r="B125" s="22" t="s">
        <v>1363</v>
      </c>
      <c r="C125" s="22" t="s">
        <v>1487</v>
      </c>
      <c r="D125" s="22">
        <v>15.0</v>
      </c>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3.5" customHeight="1">
      <c r="A126" s="19"/>
      <c r="B126" s="22" t="s">
        <v>1495</v>
      </c>
      <c r="C126" s="22" t="s">
        <v>1489</v>
      </c>
      <c r="D126" s="22">
        <v>14.0</v>
      </c>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3.5" customHeight="1">
      <c r="A127" s="19"/>
      <c r="B127" s="22" t="s">
        <v>1493</v>
      </c>
      <c r="C127" s="22" t="s">
        <v>1494</v>
      </c>
      <c r="D127" s="22">
        <v>12.0</v>
      </c>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3.5" customHeight="1">
      <c r="A128" s="19"/>
      <c r="B128" s="22" t="s">
        <v>1344</v>
      </c>
      <c r="C128" s="22" t="s">
        <v>1489</v>
      </c>
      <c r="D128" s="22">
        <v>8.0</v>
      </c>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3.5" customHeight="1">
      <c r="A129" s="19"/>
      <c r="B129" s="22" t="s">
        <v>1493</v>
      </c>
      <c r="C129" s="22" t="s">
        <v>1491</v>
      </c>
      <c r="D129" s="22">
        <v>9.0</v>
      </c>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3.5" customHeight="1">
      <c r="A130" s="19"/>
      <c r="B130" s="22" t="s">
        <v>1363</v>
      </c>
      <c r="C130" s="22" t="s">
        <v>1487</v>
      </c>
      <c r="D130" s="22">
        <v>15.0</v>
      </c>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3.5" customHeight="1">
      <c r="A131" s="19"/>
      <c r="B131" s="22" t="s">
        <v>1495</v>
      </c>
      <c r="C131" s="22" t="s">
        <v>1489</v>
      </c>
      <c r="D131" s="22">
        <v>20.0</v>
      </c>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3.5" customHeight="1">
      <c r="A132" s="19"/>
      <c r="B132" s="22" t="s">
        <v>1493</v>
      </c>
      <c r="C132" s="22" t="s">
        <v>1491</v>
      </c>
      <c r="D132" s="22">
        <v>25.0</v>
      </c>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3.5" customHeight="1">
      <c r="A133" s="19"/>
      <c r="F133" s="19"/>
      <c r="G133" s="19"/>
      <c r="H133" s="19"/>
      <c r="I133" s="19"/>
      <c r="J133" s="19"/>
      <c r="K133" s="19"/>
      <c r="L133" s="19"/>
      <c r="M133" s="19"/>
      <c r="N133" s="19"/>
      <c r="O133" s="19"/>
      <c r="P133" s="19"/>
      <c r="Q133" s="19"/>
      <c r="R133" s="19"/>
      <c r="S133" s="19"/>
      <c r="T133" s="19"/>
      <c r="U133" s="19"/>
      <c r="V133" s="19"/>
      <c r="W133" s="19"/>
      <c r="X133" s="19"/>
      <c r="Y133" s="19"/>
      <c r="Z133" s="19"/>
    </row>
    <row r="134" ht="13.5" customHeight="1">
      <c r="A134" s="19"/>
      <c r="F134" s="19"/>
      <c r="G134" s="19"/>
      <c r="H134" s="19"/>
      <c r="I134" s="19"/>
      <c r="J134" s="19"/>
      <c r="K134" s="19"/>
      <c r="L134" s="19"/>
      <c r="M134" s="19"/>
      <c r="N134" s="19"/>
      <c r="O134" s="19"/>
      <c r="P134" s="19"/>
      <c r="Q134" s="19"/>
      <c r="R134" s="19"/>
      <c r="S134" s="19"/>
      <c r="T134" s="19"/>
      <c r="U134" s="19"/>
      <c r="V134" s="19"/>
      <c r="W134" s="19"/>
      <c r="X134" s="19"/>
      <c r="Y134" s="19"/>
      <c r="Z134" s="19"/>
    </row>
    <row r="135" ht="13.5" customHeight="1">
      <c r="A135" s="19"/>
      <c r="B135" s="53" t="s">
        <v>1353</v>
      </c>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43.5" customHeight="1">
      <c r="A139" s="19"/>
      <c r="B139" s="48" t="s">
        <v>1502</v>
      </c>
      <c r="C139" s="49"/>
      <c r="D139" s="49"/>
      <c r="E139" s="49"/>
      <c r="F139" s="49"/>
      <c r="G139" s="50"/>
      <c r="H139" s="51"/>
      <c r="I139" s="19"/>
      <c r="J139" s="19"/>
      <c r="K139" s="19"/>
      <c r="L139" s="19"/>
      <c r="M139" s="19"/>
      <c r="N139" s="19"/>
      <c r="O139" s="19"/>
      <c r="P139" s="19"/>
      <c r="Q139" s="19"/>
      <c r="R139" s="19"/>
      <c r="S139" s="19"/>
      <c r="T139" s="19"/>
      <c r="U139" s="19"/>
      <c r="V139" s="19"/>
      <c r="W139" s="19"/>
      <c r="X139" s="19"/>
      <c r="Y139" s="19"/>
      <c r="Z139" s="19"/>
    </row>
    <row r="140" ht="13.5" customHeight="1">
      <c r="A140" s="19"/>
      <c r="B140" s="43" t="s">
        <v>1503</v>
      </c>
      <c r="C140" s="44"/>
      <c r="D140" s="44"/>
      <c r="E140" s="44"/>
      <c r="F140" s="44"/>
      <c r="G140" s="44"/>
      <c r="H140" s="45"/>
      <c r="I140" s="19"/>
      <c r="J140" s="19"/>
      <c r="K140" s="19"/>
      <c r="L140" s="19"/>
      <c r="M140" s="19"/>
      <c r="N140" s="19"/>
      <c r="O140" s="19"/>
      <c r="P140" s="19"/>
      <c r="Q140" s="19"/>
      <c r="R140" s="19"/>
      <c r="S140" s="19"/>
      <c r="T140" s="19"/>
      <c r="U140" s="19"/>
      <c r="V140" s="19"/>
      <c r="W140" s="19"/>
      <c r="X140" s="19"/>
      <c r="Y140" s="19"/>
      <c r="Z140" s="19"/>
    </row>
    <row r="141"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3.5" customHeight="1">
      <c r="A142" s="19"/>
      <c r="B142" s="40" t="s">
        <v>1484</v>
      </c>
      <c r="C142" s="40" t="s">
        <v>1485</v>
      </c>
      <c r="D142" s="40" t="s">
        <v>1486</v>
      </c>
      <c r="F142" s="40" t="s">
        <v>1447</v>
      </c>
      <c r="G142" s="40" t="s">
        <v>1342</v>
      </c>
      <c r="H142" s="40" t="s">
        <v>1343</v>
      </c>
      <c r="I142" s="19"/>
      <c r="J142" s="19"/>
      <c r="K142" s="19"/>
      <c r="L142" s="19"/>
      <c r="M142" s="19"/>
      <c r="N142" s="19"/>
      <c r="O142" s="19"/>
      <c r="P142" s="19"/>
      <c r="Q142" s="19"/>
      <c r="R142" s="19"/>
      <c r="S142" s="19"/>
      <c r="T142" s="19"/>
      <c r="U142" s="19"/>
      <c r="V142" s="19"/>
      <c r="W142" s="19"/>
      <c r="X142" s="19"/>
      <c r="Y142" s="19"/>
      <c r="Z142" s="19"/>
    </row>
    <row r="143" ht="13.5" customHeight="1">
      <c r="A143" s="19"/>
      <c r="B143" s="22" t="s">
        <v>1363</v>
      </c>
      <c r="C143" s="22" t="s">
        <v>1487</v>
      </c>
      <c r="D143" s="22">
        <v>10.0</v>
      </c>
      <c r="E143" s="19"/>
      <c r="F143" s="22" t="str">
        <f t="shared" ref="F143:F145" si="6">_xludf.FORMULATEXT(G143)</f>
        <v>#NAME?</v>
      </c>
      <c r="G143" s="22">
        <f>COUNTIFS(D143:D155, "&gt;=10", D143:D155, "&lt;=25")</f>
        <v>9</v>
      </c>
      <c r="H143" s="52" t="s">
        <v>1504</v>
      </c>
      <c r="I143" s="19"/>
      <c r="J143" s="19"/>
      <c r="K143" s="19"/>
      <c r="L143" s="19"/>
      <c r="M143" s="19"/>
      <c r="N143" s="19"/>
      <c r="O143" s="19"/>
      <c r="P143" s="19"/>
      <c r="Q143" s="19"/>
      <c r="R143" s="19"/>
      <c r="S143" s="19"/>
      <c r="T143" s="19"/>
      <c r="U143" s="19"/>
      <c r="V143" s="19"/>
      <c r="W143" s="19"/>
      <c r="X143" s="19"/>
      <c r="Y143" s="19"/>
      <c r="Z143" s="19"/>
    </row>
    <row r="144" ht="13.5" customHeight="1">
      <c r="A144" s="19"/>
      <c r="B144" s="22" t="s">
        <v>1344</v>
      </c>
      <c r="C144" s="22" t="s">
        <v>1489</v>
      </c>
      <c r="D144" s="22">
        <v>4.0</v>
      </c>
      <c r="E144" s="19"/>
      <c r="F144" s="22" t="str">
        <f t="shared" si="6"/>
        <v>#NAME?</v>
      </c>
      <c r="G144" s="22">
        <f>COUNTIFS(B143:B155, "Apple", C143:C155, "Tom")</f>
        <v>3</v>
      </c>
      <c r="H144" s="52" t="s">
        <v>1505</v>
      </c>
      <c r="I144" s="19"/>
      <c r="J144" s="19"/>
      <c r="K144" s="19"/>
      <c r="L144" s="19"/>
      <c r="M144" s="19"/>
      <c r="N144" s="19"/>
      <c r="O144" s="19"/>
      <c r="P144" s="19"/>
      <c r="Q144" s="19"/>
      <c r="R144" s="19"/>
      <c r="S144" s="19"/>
      <c r="T144" s="19"/>
      <c r="U144" s="19"/>
      <c r="V144" s="19"/>
      <c r="W144" s="19"/>
      <c r="X144" s="19"/>
      <c r="Y144" s="19"/>
      <c r="Z144" s="19"/>
    </row>
    <row r="145" ht="13.5" customHeight="1">
      <c r="A145" s="19"/>
      <c r="B145" s="22" t="s">
        <v>1363</v>
      </c>
      <c r="C145" s="22" t="s">
        <v>1491</v>
      </c>
      <c r="D145" s="22">
        <v>12.0</v>
      </c>
      <c r="E145" s="19"/>
      <c r="F145" s="22" t="str">
        <f t="shared" si="6"/>
        <v>#NAME?</v>
      </c>
      <c r="G145" s="22">
        <f>COUNTIFS(D143:D155, "&gt;="&amp;D143, C143:C155, "Marissa")</f>
        <v>2</v>
      </c>
      <c r="H145" s="52" t="s">
        <v>1506</v>
      </c>
      <c r="I145" s="19"/>
      <c r="J145" s="19"/>
      <c r="K145" s="19"/>
      <c r="L145" s="19"/>
      <c r="M145" s="19"/>
      <c r="N145" s="19"/>
      <c r="O145" s="19"/>
      <c r="P145" s="19"/>
      <c r="Q145" s="19"/>
      <c r="R145" s="19"/>
      <c r="S145" s="19"/>
      <c r="T145" s="19"/>
      <c r="U145" s="19"/>
      <c r="V145" s="19"/>
      <c r="W145" s="19"/>
      <c r="X145" s="19"/>
      <c r="Y145" s="19"/>
      <c r="Z145" s="19"/>
    </row>
    <row r="146" ht="13.5" customHeight="1">
      <c r="A146" s="19"/>
      <c r="B146" s="22" t="s">
        <v>1493</v>
      </c>
      <c r="C146" s="22" t="s">
        <v>1494</v>
      </c>
      <c r="D146" s="22">
        <v>5.0</v>
      </c>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3.5" customHeight="1">
      <c r="A147" s="19"/>
      <c r="B147" s="22" t="s">
        <v>1495</v>
      </c>
      <c r="C147" s="22" t="s">
        <v>1496</v>
      </c>
      <c r="D147" s="22">
        <v>13.0</v>
      </c>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3.5" customHeight="1">
      <c r="A148" s="19"/>
      <c r="B148" s="22" t="s">
        <v>1363</v>
      </c>
      <c r="C148" s="22" t="s">
        <v>1487</v>
      </c>
      <c r="D148" s="22">
        <v>15.0</v>
      </c>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3.5" customHeight="1">
      <c r="A149" s="19"/>
      <c r="B149" s="22" t="s">
        <v>1495</v>
      </c>
      <c r="C149" s="22" t="s">
        <v>1489</v>
      </c>
      <c r="D149" s="22">
        <v>14.0</v>
      </c>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3.5" customHeight="1">
      <c r="A150" s="19"/>
      <c r="B150" s="22" t="s">
        <v>1493</v>
      </c>
      <c r="C150" s="22" t="s">
        <v>1494</v>
      </c>
      <c r="D150" s="22">
        <v>12.0</v>
      </c>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3.5" customHeight="1">
      <c r="A151" s="19"/>
      <c r="B151" s="22" t="s">
        <v>1344</v>
      </c>
      <c r="C151" s="22" t="s">
        <v>1489</v>
      </c>
      <c r="D151" s="22">
        <v>8.0</v>
      </c>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3.5" customHeight="1">
      <c r="A152" s="19"/>
      <c r="B152" s="22" t="s">
        <v>1493</v>
      </c>
      <c r="C152" s="22" t="s">
        <v>1491</v>
      </c>
      <c r="D152" s="22">
        <v>9.0</v>
      </c>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3.5" customHeight="1">
      <c r="A153" s="19"/>
      <c r="B153" s="22" t="s">
        <v>1363</v>
      </c>
      <c r="C153" s="22" t="s">
        <v>1487</v>
      </c>
      <c r="D153" s="22">
        <v>15.0</v>
      </c>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3.5" customHeight="1">
      <c r="A154" s="19"/>
      <c r="B154" s="22" t="s">
        <v>1495</v>
      </c>
      <c r="C154" s="22" t="s">
        <v>1489</v>
      </c>
      <c r="D154" s="22">
        <v>20.0</v>
      </c>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3.5" customHeight="1">
      <c r="A155" s="19"/>
      <c r="B155" s="22" t="s">
        <v>1493</v>
      </c>
      <c r="C155" s="22" t="s">
        <v>1491</v>
      </c>
      <c r="D155" s="22">
        <v>25.0</v>
      </c>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3.5" customHeight="1">
      <c r="A156" s="19"/>
      <c r="F156" s="19"/>
      <c r="G156" s="19"/>
      <c r="H156" s="19"/>
      <c r="I156" s="19"/>
      <c r="J156" s="19"/>
      <c r="K156" s="19"/>
      <c r="L156" s="19"/>
      <c r="M156" s="19"/>
      <c r="N156" s="19"/>
      <c r="O156" s="19"/>
      <c r="P156" s="19"/>
      <c r="Q156" s="19"/>
      <c r="R156" s="19"/>
      <c r="S156" s="19"/>
      <c r="T156" s="19"/>
      <c r="U156" s="19"/>
      <c r="V156" s="19"/>
      <c r="W156" s="19"/>
      <c r="X156" s="19"/>
      <c r="Y156" s="19"/>
      <c r="Z156" s="19"/>
    </row>
    <row r="157" ht="13.5" customHeight="1">
      <c r="A157" s="19"/>
      <c r="F157" s="19"/>
      <c r="G157" s="19"/>
      <c r="H157" s="19"/>
      <c r="I157" s="19"/>
      <c r="J157" s="19"/>
      <c r="K157" s="19"/>
      <c r="L157" s="19"/>
      <c r="M157" s="19"/>
      <c r="N157" s="19"/>
      <c r="O157" s="19"/>
      <c r="P157" s="19"/>
      <c r="Q157" s="19"/>
      <c r="R157" s="19"/>
      <c r="S157" s="19"/>
      <c r="T157" s="19"/>
      <c r="U157" s="19"/>
      <c r="V157" s="19"/>
      <c r="W157" s="19"/>
      <c r="X157" s="19"/>
      <c r="Y157" s="19"/>
      <c r="Z157" s="19"/>
    </row>
    <row r="158" ht="13.5" customHeight="1">
      <c r="A158" s="19"/>
      <c r="B158" s="53" t="s">
        <v>1353</v>
      </c>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33.75" customHeight="1">
      <c r="A160" s="19"/>
      <c r="B160" s="48" t="s">
        <v>1507</v>
      </c>
      <c r="C160" s="49"/>
      <c r="D160" s="49"/>
      <c r="E160" s="49"/>
      <c r="F160" s="49"/>
      <c r="G160" s="50"/>
      <c r="H160" s="51"/>
      <c r="I160" s="19"/>
      <c r="J160" s="19"/>
      <c r="K160" s="19"/>
      <c r="L160" s="19"/>
      <c r="M160" s="19"/>
      <c r="N160" s="19"/>
      <c r="O160" s="19"/>
      <c r="P160" s="19"/>
      <c r="Q160" s="19"/>
      <c r="R160" s="19"/>
      <c r="S160" s="19"/>
      <c r="T160" s="19"/>
      <c r="U160" s="19"/>
      <c r="V160" s="19"/>
      <c r="W160" s="19"/>
      <c r="X160" s="19"/>
      <c r="Y160" s="19"/>
      <c r="Z160" s="19"/>
    </row>
    <row r="161" ht="13.5" customHeight="1">
      <c r="A161" s="19"/>
      <c r="B161" s="43" t="s">
        <v>1508</v>
      </c>
      <c r="C161" s="44"/>
      <c r="D161" s="44"/>
      <c r="E161" s="44"/>
      <c r="F161" s="44"/>
      <c r="G161" s="44"/>
      <c r="H161" s="45"/>
      <c r="I161" s="19"/>
      <c r="J161" s="19"/>
      <c r="K161" s="19"/>
      <c r="L161" s="19"/>
      <c r="M161" s="19"/>
      <c r="N161" s="19"/>
      <c r="O161" s="19"/>
      <c r="P161" s="19"/>
      <c r="Q161" s="19"/>
      <c r="R161" s="19"/>
      <c r="S161" s="19"/>
      <c r="T161" s="19"/>
      <c r="U161" s="19"/>
      <c r="V161" s="19"/>
      <c r="W161" s="19"/>
      <c r="X161" s="19"/>
      <c r="Y161" s="19"/>
      <c r="Z161" s="19"/>
    </row>
    <row r="162"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3.5" customHeight="1">
      <c r="A163" s="19"/>
      <c r="B163" s="40" t="s">
        <v>1509</v>
      </c>
      <c r="C163" s="40" t="s">
        <v>1510</v>
      </c>
      <c r="D163" s="40"/>
      <c r="E163" s="19"/>
      <c r="F163" s="40" t="s">
        <v>1447</v>
      </c>
      <c r="G163" s="40" t="s">
        <v>1342</v>
      </c>
      <c r="H163" s="40" t="s">
        <v>1343</v>
      </c>
      <c r="I163" s="19"/>
      <c r="J163" s="19"/>
      <c r="K163" s="19"/>
      <c r="L163" s="19"/>
      <c r="M163" s="19"/>
      <c r="N163" s="19"/>
      <c r="O163" s="19"/>
      <c r="P163" s="19"/>
      <c r="Q163" s="19"/>
      <c r="R163" s="19"/>
      <c r="S163" s="19"/>
      <c r="T163" s="19"/>
      <c r="U163" s="19"/>
      <c r="V163" s="19"/>
      <c r="W163" s="19"/>
      <c r="X163" s="19"/>
      <c r="Y163" s="19"/>
      <c r="Z163" s="19"/>
    </row>
    <row r="164" ht="13.5" customHeight="1">
      <c r="A164" s="19"/>
      <c r="B164" s="22">
        <v>1500.0</v>
      </c>
      <c r="C164" s="22">
        <v>900.0</v>
      </c>
      <c r="D164" s="22"/>
      <c r="E164" s="19"/>
      <c r="F164" s="22" t="str">
        <f t="shared" ref="F164:F165" si="7">_xludf.FORMULATEXT(G164)</f>
        <v>#NAME?</v>
      </c>
      <c r="G164" s="22" t="str">
        <f>IF(B164&gt;C164, "Over Budget", "OK")</f>
        <v>Over Budget</v>
      </c>
      <c r="H164" s="52" t="s">
        <v>1511</v>
      </c>
      <c r="I164" s="19"/>
      <c r="J164" s="19"/>
      <c r="K164" s="19"/>
      <c r="L164" s="19"/>
      <c r="M164" s="19"/>
      <c r="N164" s="19"/>
      <c r="O164" s="19"/>
      <c r="P164" s="19"/>
      <c r="Q164" s="19"/>
      <c r="R164" s="19"/>
      <c r="S164" s="19"/>
      <c r="T164" s="19"/>
      <c r="U164" s="19"/>
      <c r="V164" s="19"/>
      <c r="W164" s="19"/>
      <c r="X164" s="19"/>
      <c r="Y164" s="19"/>
      <c r="Z164" s="19"/>
    </row>
    <row r="165" ht="13.5" customHeight="1">
      <c r="A165" s="19"/>
      <c r="B165" s="22">
        <v>500.0</v>
      </c>
      <c r="C165" s="22">
        <v>900.0</v>
      </c>
      <c r="D165" s="22"/>
      <c r="E165" s="19"/>
      <c r="F165" s="22" t="str">
        <f t="shared" si="7"/>
        <v>#NAME?</v>
      </c>
      <c r="G165" s="22" t="str">
        <f>IF(B165&gt;C165,"Over Budget",IF(B166&lt;C166,"Budget OK","Not OK"))</f>
        <v>Budget OK</v>
      </c>
      <c r="H165" s="52" t="s">
        <v>1512</v>
      </c>
      <c r="I165" s="19"/>
      <c r="J165" s="19"/>
      <c r="K165" s="19"/>
      <c r="L165" s="19"/>
      <c r="M165" s="19"/>
      <c r="N165" s="19"/>
      <c r="O165" s="19"/>
      <c r="P165" s="19"/>
      <c r="Q165" s="19"/>
      <c r="R165" s="19"/>
      <c r="S165" s="19"/>
      <c r="T165" s="19"/>
      <c r="U165" s="19"/>
      <c r="V165" s="19"/>
      <c r="W165" s="19"/>
      <c r="X165" s="19"/>
      <c r="Y165" s="19"/>
      <c r="Z165" s="19"/>
    </row>
    <row r="166" ht="13.5" customHeight="1">
      <c r="A166" s="19"/>
      <c r="B166" s="22">
        <v>525.0</v>
      </c>
      <c r="C166" s="22">
        <v>925.0</v>
      </c>
      <c r="D166" s="22"/>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3.5" customHeight="1">
      <c r="A168" s="19"/>
      <c r="B168" s="53" t="s">
        <v>1353</v>
      </c>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48" t="s">
        <v>1513</v>
      </c>
      <c r="C170" s="49"/>
      <c r="D170" s="49"/>
      <c r="E170" s="49"/>
      <c r="F170" s="49"/>
      <c r="G170" s="50"/>
      <c r="H170" s="51"/>
      <c r="I170" s="19"/>
      <c r="J170" s="19"/>
      <c r="K170" s="19"/>
      <c r="L170" s="19"/>
      <c r="M170" s="19"/>
      <c r="N170" s="19"/>
      <c r="O170" s="19"/>
      <c r="P170" s="19"/>
      <c r="Q170" s="19"/>
      <c r="R170" s="19"/>
      <c r="S170" s="19"/>
      <c r="T170" s="19"/>
      <c r="U170" s="19"/>
      <c r="V170" s="19"/>
      <c r="W170" s="19"/>
      <c r="X170" s="19"/>
      <c r="Y170" s="19"/>
      <c r="Z170" s="19"/>
    </row>
    <row r="171" ht="13.5" customHeight="1">
      <c r="A171" s="19"/>
      <c r="B171" s="43" t="s">
        <v>1514</v>
      </c>
      <c r="C171" s="44"/>
      <c r="D171" s="44"/>
      <c r="E171" s="44"/>
      <c r="F171" s="44"/>
      <c r="G171" s="44"/>
      <c r="H171" s="45"/>
      <c r="I171" s="19"/>
      <c r="J171" s="19"/>
      <c r="K171" s="19"/>
      <c r="L171" s="19"/>
      <c r="M171" s="19"/>
      <c r="N171" s="19"/>
      <c r="O171" s="19"/>
      <c r="P171" s="19"/>
      <c r="Q171" s="19"/>
      <c r="R171" s="19"/>
      <c r="S171" s="19"/>
      <c r="T171" s="19"/>
      <c r="U171" s="19"/>
      <c r="V171" s="19"/>
      <c r="W171" s="19"/>
      <c r="X171" s="19"/>
      <c r="Y171" s="19"/>
      <c r="Z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3.5" customHeight="1">
      <c r="A173" s="19"/>
      <c r="B173" s="40" t="s">
        <v>1515</v>
      </c>
      <c r="C173" s="40" t="s">
        <v>1516</v>
      </c>
      <c r="D173" s="19"/>
      <c r="E173" s="19"/>
      <c r="F173" s="40" t="s">
        <v>1447</v>
      </c>
      <c r="G173" s="40" t="s">
        <v>1342</v>
      </c>
      <c r="H173" s="40" t="s">
        <v>1343</v>
      </c>
      <c r="I173" s="19"/>
      <c r="J173" s="19"/>
      <c r="K173" s="19"/>
      <c r="L173" s="19"/>
      <c r="M173" s="19"/>
      <c r="N173" s="19"/>
      <c r="O173" s="19"/>
      <c r="P173" s="19"/>
      <c r="Q173" s="19"/>
      <c r="R173" s="19"/>
      <c r="S173" s="19"/>
      <c r="T173" s="19"/>
      <c r="U173" s="19"/>
      <c r="V173" s="19"/>
      <c r="W173" s="19"/>
      <c r="X173" s="19"/>
      <c r="Y173" s="19"/>
      <c r="Z173" s="19"/>
    </row>
    <row r="174" ht="13.5" customHeight="1">
      <c r="A174" s="19"/>
      <c r="B174" s="22">
        <v>210.0</v>
      </c>
      <c r="C174" s="22">
        <v>35.0</v>
      </c>
      <c r="D174" s="19"/>
      <c r="E174" s="19"/>
      <c r="F174" s="22" t="str">
        <f t="shared" ref="F174:F176" si="8">_xludf.FORMULATEXT(G174)</f>
        <v>#NAME?</v>
      </c>
      <c r="G174" s="22">
        <f t="shared" ref="G174:G176" si="9">IFERROR(B174/C174, "Error in Calculations?")</f>
        <v>6</v>
      </c>
      <c r="H174" s="52" t="s">
        <v>1517</v>
      </c>
      <c r="I174" s="19"/>
      <c r="J174" s="19"/>
      <c r="K174" s="19"/>
      <c r="L174" s="19"/>
      <c r="M174" s="19"/>
      <c r="N174" s="19"/>
      <c r="O174" s="19"/>
      <c r="P174" s="19"/>
      <c r="Q174" s="19"/>
      <c r="R174" s="19"/>
      <c r="S174" s="19"/>
      <c r="T174" s="19"/>
      <c r="U174" s="19"/>
      <c r="V174" s="19"/>
      <c r="W174" s="19"/>
      <c r="X174" s="19"/>
      <c r="Y174" s="19"/>
      <c r="Z174" s="19"/>
    </row>
    <row r="175" ht="13.5" customHeight="1">
      <c r="A175" s="19"/>
      <c r="B175" s="22">
        <v>55.0</v>
      </c>
      <c r="C175" s="22">
        <v>0.0</v>
      </c>
      <c r="D175" s="19"/>
      <c r="E175" s="19"/>
      <c r="F175" s="22" t="str">
        <f t="shared" si="8"/>
        <v>#NAME?</v>
      </c>
      <c r="G175" s="22" t="str">
        <f t="shared" si="9"/>
        <v>Error in Calculations?</v>
      </c>
      <c r="H175" s="55" t="s">
        <v>1518</v>
      </c>
      <c r="I175" s="19"/>
      <c r="J175" s="19"/>
      <c r="K175" s="19"/>
      <c r="L175" s="19"/>
      <c r="M175" s="19"/>
      <c r="N175" s="19"/>
      <c r="O175" s="19"/>
      <c r="P175" s="19"/>
      <c r="Q175" s="19"/>
      <c r="R175" s="19"/>
      <c r="S175" s="19"/>
      <c r="T175" s="19"/>
      <c r="U175" s="19"/>
      <c r="V175" s="19"/>
      <c r="W175" s="19"/>
      <c r="X175" s="19"/>
      <c r="Y175" s="19"/>
      <c r="Z175" s="19"/>
    </row>
    <row r="176" ht="13.5" customHeight="1">
      <c r="A176" s="19"/>
      <c r="B176" s="22"/>
      <c r="C176" s="22">
        <v>25.0</v>
      </c>
      <c r="D176" s="19"/>
      <c r="E176" s="19"/>
      <c r="F176" s="22" t="str">
        <f t="shared" si="8"/>
        <v>#NAME?</v>
      </c>
      <c r="G176" s="22">
        <f t="shared" si="9"/>
        <v>0</v>
      </c>
      <c r="H176" s="52" t="s">
        <v>1519</v>
      </c>
      <c r="I176" s="19"/>
      <c r="J176" s="19"/>
      <c r="K176" s="19"/>
      <c r="L176" s="19"/>
      <c r="M176" s="19"/>
      <c r="N176" s="19"/>
      <c r="O176" s="19"/>
      <c r="P176" s="19"/>
      <c r="Q176" s="19"/>
      <c r="R176" s="19"/>
      <c r="S176" s="19"/>
      <c r="T176" s="19"/>
      <c r="U176" s="19"/>
      <c r="V176" s="19"/>
      <c r="W176" s="19"/>
      <c r="X176" s="19"/>
      <c r="Y176" s="19"/>
      <c r="Z176" s="19"/>
    </row>
    <row r="177"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3.5" customHeight="1">
      <c r="A179" s="19"/>
      <c r="B179" s="53" t="s">
        <v>1353</v>
      </c>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3.5" customHeight="1">
      <c r="A181" s="19"/>
      <c r="B181" s="48" t="s">
        <v>1520</v>
      </c>
      <c r="C181" s="49"/>
      <c r="D181" s="49"/>
      <c r="E181" s="49"/>
      <c r="F181" s="49"/>
      <c r="G181" s="50"/>
      <c r="H181" s="51"/>
      <c r="I181" s="19"/>
      <c r="J181" s="19"/>
      <c r="K181" s="19"/>
      <c r="L181" s="19"/>
      <c r="M181" s="19"/>
      <c r="N181" s="19"/>
      <c r="O181" s="19"/>
      <c r="P181" s="19"/>
      <c r="Q181" s="19"/>
      <c r="R181" s="19"/>
      <c r="S181" s="19"/>
      <c r="T181" s="19"/>
      <c r="U181" s="19"/>
      <c r="V181" s="19"/>
      <c r="W181" s="19"/>
      <c r="X181" s="19"/>
      <c r="Y181" s="19"/>
      <c r="Z181" s="19"/>
    </row>
    <row r="182" ht="13.5" customHeight="1">
      <c r="A182" s="19"/>
      <c r="B182" s="43" t="s">
        <v>1521</v>
      </c>
      <c r="C182" s="44"/>
      <c r="D182" s="44"/>
      <c r="E182" s="44"/>
      <c r="F182" s="44"/>
      <c r="G182" s="44"/>
      <c r="H182" s="45"/>
      <c r="I182" s="19"/>
      <c r="J182" s="19"/>
      <c r="K182" s="19"/>
      <c r="L182" s="19"/>
      <c r="M182" s="19"/>
      <c r="N182" s="19"/>
      <c r="O182" s="19"/>
      <c r="P182" s="19"/>
      <c r="Q182" s="19"/>
      <c r="R182" s="19"/>
      <c r="S182" s="19"/>
      <c r="T182" s="19"/>
      <c r="U182" s="19"/>
      <c r="V182" s="19"/>
      <c r="W182" s="19"/>
      <c r="X182" s="19"/>
      <c r="Y182" s="19"/>
      <c r="Z182" s="19"/>
    </row>
    <row r="183"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3.5" customHeight="1">
      <c r="A184" s="19"/>
      <c r="B184" s="40" t="s">
        <v>1522</v>
      </c>
      <c r="C184" s="40" t="s">
        <v>1523</v>
      </c>
      <c r="D184" s="19"/>
      <c r="E184" s="19"/>
      <c r="F184" s="40" t="s">
        <v>1447</v>
      </c>
      <c r="G184" s="40" t="s">
        <v>1342</v>
      </c>
      <c r="H184" s="40" t="s">
        <v>1343</v>
      </c>
      <c r="I184" s="19"/>
      <c r="J184" s="19"/>
      <c r="K184" s="19"/>
      <c r="L184" s="19"/>
      <c r="M184" s="19"/>
      <c r="N184" s="19"/>
      <c r="O184" s="19"/>
      <c r="P184" s="19"/>
      <c r="Q184" s="19"/>
      <c r="R184" s="19"/>
      <c r="S184" s="19"/>
      <c r="T184" s="19"/>
      <c r="U184" s="19"/>
      <c r="V184" s="19"/>
      <c r="W184" s="19"/>
      <c r="X184" s="19"/>
      <c r="Y184" s="19"/>
      <c r="Z184" s="19"/>
    </row>
    <row r="185" ht="13.5" customHeight="1">
      <c r="A185" s="19"/>
      <c r="B185" s="56" t="s">
        <v>1524</v>
      </c>
      <c r="C185" s="22">
        <v>1219.0</v>
      </c>
      <c r="D185" s="19"/>
      <c r="E185" s="19"/>
      <c r="F185" s="22" t="str">
        <f>_xludf.FORMULATEXT(G185)</f>
        <v>#NAME?</v>
      </c>
      <c r="G185" s="22" t="str">
        <f>_xludf.IFNA(VLOOKUP("Marissa", B185:C189, 2,FALSE), "Code is not Found")</f>
        <v>#NAME?</v>
      </c>
      <c r="H185" s="52" t="s">
        <v>1525</v>
      </c>
      <c r="I185" s="19"/>
      <c r="J185" s="19"/>
      <c r="K185" s="19"/>
      <c r="L185" s="19"/>
      <c r="M185" s="19"/>
      <c r="N185" s="19"/>
      <c r="O185" s="19"/>
      <c r="P185" s="19"/>
      <c r="Q185" s="19"/>
      <c r="R185" s="19"/>
      <c r="S185" s="19"/>
      <c r="T185" s="19"/>
      <c r="U185" s="19"/>
      <c r="V185" s="19"/>
      <c r="W185" s="19"/>
      <c r="X185" s="19"/>
      <c r="Y185" s="19"/>
      <c r="Z185" s="19"/>
    </row>
    <row r="186" ht="13.5" customHeight="1">
      <c r="A186" s="19"/>
      <c r="B186" s="56" t="s">
        <v>1526</v>
      </c>
      <c r="C186" s="22">
        <v>1217.0</v>
      </c>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3.5" customHeight="1">
      <c r="A187" s="19"/>
      <c r="B187" s="56" t="s">
        <v>1527</v>
      </c>
      <c r="C187" s="22">
        <v>1203.0</v>
      </c>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3.5" customHeight="1">
      <c r="A188" s="19"/>
      <c r="B188" s="56" t="s">
        <v>1528</v>
      </c>
      <c r="C188" s="22">
        <v>1200.0</v>
      </c>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3.5" customHeight="1">
      <c r="A189" s="19"/>
      <c r="B189" s="56" t="s">
        <v>1529</v>
      </c>
      <c r="C189" s="22">
        <v>1000.0</v>
      </c>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ht="13.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sheetData>
  <mergeCells count="8">
    <mergeCell ref="B30:C30"/>
    <mergeCell ref="B60:C60"/>
    <mergeCell ref="B91:C91"/>
    <mergeCell ref="B112:C112"/>
    <mergeCell ref="B135:C135"/>
    <mergeCell ref="B158:C158"/>
    <mergeCell ref="B168:C168"/>
    <mergeCell ref="B179:C179"/>
  </mergeCells>
  <hyperlinks>
    <hyperlink r:id="rId1" ref="F1"/>
    <hyperlink display="Back to LIST OF FUNCTIONS" location="'LIST OF FUNCTIONS'!A1" ref="B30"/>
    <hyperlink display="Back to LIST OF FUNCTIONS" location="'LIST OF FUNCTIONS'!A1" ref="B60"/>
    <hyperlink display="Back to LIST OF FUNCTIONS" location="'LIST OF FUNCTIONS'!A1" ref="B91"/>
    <hyperlink display="Back to LIST OF FUNCTIONS" location="'LIST OF FUNCTIONS'!A1" ref="B112"/>
    <hyperlink display="Back to LIST OF FUNCTIONS" location="'LIST OF FUNCTIONS'!A1" ref="B135"/>
    <hyperlink display="Back to LIST OF FUNCTIONS" location="'LIST OF FUNCTIONS'!A1" ref="B158"/>
    <hyperlink display="Back to LIST OF FUNCTIONS" location="'LIST OF FUNCTIONS'!A1" ref="B168"/>
    <hyperlink display="Back to LIST OF FUNCTIONS" location="'LIST OF FUNCTIONS'!A1" ref="B179"/>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13.14"/>
    <col customWidth="1" min="3" max="3" width="13.29"/>
    <col customWidth="1" min="4" max="4" width="8.71"/>
    <col customWidth="1" min="5" max="6" width="5.57"/>
    <col customWidth="1" min="7" max="7" width="57.57"/>
    <col customWidth="1" min="8" max="8" width="8.71"/>
    <col customWidth="1" min="9" max="9" width="77.43"/>
    <col customWidth="1" min="10" max="26" width="8.71"/>
  </cols>
  <sheetData>
    <row r="1" ht="14.25" customHeight="1">
      <c r="G1" s="30" t="s">
        <v>1335</v>
      </c>
    </row>
    <row r="2" ht="36.0" customHeight="1">
      <c r="B2" s="48" t="s">
        <v>1530</v>
      </c>
      <c r="C2" s="49"/>
      <c r="D2" s="49"/>
      <c r="E2" s="49"/>
      <c r="F2" s="49"/>
      <c r="G2" s="49"/>
      <c r="H2" s="50"/>
      <c r="I2" s="51"/>
    </row>
    <row r="3" ht="14.25" customHeight="1">
      <c r="B3" s="43" t="s">
        <v>1531</v>
      </c>
      <c r="C3" s="44"/>
      <c r="D3" s="44"/>
      <c r="E3" s="44"/>
      <c r="F3" s="44"/>
      <c r="G3" s="44"/>
      <c r="H3" s="44"/>
      <c r="I3" s="45"/>
    </row>
    <row r="4" ht="14.25" customHeight="1"/>
    <row r="5" ht="14.25" customHeight="1">
      <c r="B5" s="40" t="s">
        <v>1340</v>
      </c>
      <c r="G5" s="40" t="s">
        <v>1447</v>
      </c>
      <c r="H5" s="40" t="s">
        <v>1342</v>
      </c>
      <c r="I5" s="40" t="s">
        <v>1343</v>
      </c>
    </row>
    <row r="6" ht="14.25" customHeight="1">
      <c r="B6" s="22">
        <v>-5.0</v>
      </c>
      <c r="G6" s="22" t="str">
        <f t="shared" ref="G6:G7" si="1">_xludf.FORMULATEXT(H6)</f>
        <v>#NAME?</v>
      </c>
      <c r="H6" s="22">
        <f>SUM(B6:B11)</f>
        <v>40</v>
      </c>
      <c r="I6" s="52" t="s">
        <v>1532</v>
      </c>
    </row>
    <row r="7" ht="14.25" customHeight="1">
      <c r="B7" s="22">
        <v>15.0</v>
      </c>
      <c r="G7" s="22" t="str">
        <f t="shared" si="1"/>
        <v>#NAME?</v>
      </c>
      <c r="H7" s="22">
        <f>SUM(B6:B8, "5", TRUE, FALSE)</f>
        <v>46</v>
      </c>
      <c r="I7" s="52" t="s">
        <v>1533</v>
      </c>
    </row>
    <row r="8" ht="14.25" customHeight="1">
      <c r="B8" s="22">
        <v>30.0</v>
      </c>
    </row>
    <row r="9" ht="14.25" customHeight="1">
      <c r="B9" s="22" t="s">
        <v>1534</v>
      </c>
    </row>
    <row r="10" ht="14.25" customHeight="1">
      <c r="B10" s="22" t="b">
        <v>1</v>
      </c>
    </row>
    <row r="11" ht="14.25" customHeight="1">
      <c r="B11" s="22" t="b">
        <v>0</v>
      </c>
    </row>
    <row r="12" ht="14.25" customHeight="1"/>
    <row r="13" ht="14.25" customHeight="1"/>
    <row r="14" ht="14.25" customHeight="1"/>
    <row r="15" ht="14.25" customHeight="1">
      <c r="B15" s="53" t="s">
        <v>1353</v>
      </c>
    </row>
    <row r="16" ht="14.25" customHeight="1"/>
    <row r="17" ht="30.75" customHeight="1">
      <c r="B17" s="48" t="s">
        <v>1535</v>
      </c>
      <c r="C17" s="49"/>
      <c r="D17" s="49"/>
      <c r="E17" s="49"/>
      <c r="F17" s="49"/>
      <c r="G17" s="49"/>
      <c r="H17" s="50"/>
      <c r="I17" s="51"/>
    </row>
    <row r="18" ht="14.25" customHeight="1">
      <c r="B18" s="43" t="s">
        <v>1536</v>
      </c>
      <c r="C18" s="44"/>
      <c r="D18" s="44"/>
      <c r="E18" s="44"/>
      <c r="F18" s="44"/>
      <c r="G18" s="44"/>
      <c r="H18" s="44"/>
      <c r="I18" s="45"/>
    </row>
    <row r="19" ht="14.25" customHeight="1"/>
    <row r="20" ht="14.25" customHeight="1">
      <c r="B20" s="40" t="s">
        <v>1340</v>
      </c>
      <c r="G20" s="40" t="s">
        <v>1447</v>
      </c>
      <c r="H20" s="40" t="s">
        <v>1342</v>
      </c>
      <c r="I20" s="40" t="s">
        <v>1343</v>
      </c>
    </row>
    <row r="21" ht="14.25" customHeight="1">
      <c r="B21" s="22">
        <v>-5.0</v>
      </c>
      <c r="G21" s="22" t="str">
        <f t="shared" ref="G21:G22" si="2">_xludf.FORMULATEXT(H21)</f>
        <v>#NAME?</v>
      </c>
      <c r="H21" s="22">
        <f>AVERAGE(B21:B26)</f>
        <v>13.33333333</v>
      </c>
      <c r="I21" s="52" t="s">
        <v>1537</v>
      </c>
    </row>
    <row r="22" ht="14.25" customHeight="1">
      <c r="B22" s="22">
        <v>15.0</v>
      </c>
      <c r="G22" s="22" t="str">
        <f t="shared" si="2"/>
        <v>#NAME?</v>
      </c>
      <c r="H22" s="22">
        <f>AVERAGE(B21:B23, "5", TRUE, FALSE)</f>
        <v>7.666666667</v>
      </c>
      <c r="I22" s="52" t="s">
        <v>1538</v>
      </c>
    </row>
    <row r="23" ht="14.25" customHeight="1">
      <c r="B23" s="22">
        <v>30.0</v>
      </c>
    </row>
    <row r="24" ht="14.25" customHeight="1">
      <c r="B24" s="22" t="s">
        <v>1534</v>
      </c>
    </row>
    <row r="25" ht="14.25" customHeight="1">
      <c r="B25" s="22" t="b">
        <v>1</v>
      </c>
    </row>
    <row r="26" ht="14.25" customHeight="1">
      <c r="B26" s="22" t="b">
        <v>0</v>
      </c>
    </row>
    <row r="27" ht="14.25" customHeight="1"/>
    <row r="28" ht="14.25" customHeight="1"/>
    <row r="29" ht="14.25" customHeight="1"/>
    <row r="30" ht="14.25" customHeight="1"/>
    <row r="31" ht="14.25" customHeight="1"/>
    <row r="32" ht="14.25" customHeight="1"/>
    <row r="33" ht="14.25" customHeight="1">
      <c r="B33" s="53" t="s">
        <v>1353</v>
      </c>
    </row>
    <row r="34" ht="14.25" customHeight="1"/>
    <row r="35" ht="14.25" customHeight="1"/>
    <row r="36" ht="14.25" customHeight="1">
      <c r="B36" s="48" t="s">
        <v>1539</v>
      </c>
      <c r="C36" s="49"/>
      <c r="D36" s="49"/>
      <c r="E36" s="49"/>
      <c r="F36" s="49"/>
      <c r="G36" s="49"/>
      <c r="H36" s="50"/>
      <c r="I36" s="51"/>
    </row>
    <row r="37" ht="14.25" customHeight="1">
      <c r="B37" s="43" t="s">
        <v>1540</v>
      </c>
      <c r="C37" s="44"/>
      <c r="D37" s="44"/>
      <c r="E37" s="44"/>
      <c r="F37" s="44"/>
      <c r="G37" s="44"/>
      <c r="H37" s="44"/>
      <c r="I37" s="45"/>
    </row>
    <row r="38" ht="14.25" customHeight="1"/>
    <row r="39" ht="14.25" customHeight="1">
      <c r="B39" s="40" t="s">
        <v>1340</v>
      </c>
      <c r="G39" s="40" t="s">
        <v>1447</v>
      </c>
      <c r="H39" s="40" t="s">
        <v>1342</v>
      </c>
      <c r="I39" s="40" t="s">
        <v>1343</v>
      </c>
    </row>
    <row r="40" ht="14.25" customHeight="1">
      <c r="B40" s="22">
        <v>-5.0</v>
      </c>
      <c r="G40" s="22" t="str">
        <f t="shared" ref="G40:G41" si="3">_xludf.FORMULATEXT(H40)</f>
        <v>#NAME?</v>
      </c>
      <c r="H40" s="22">
        <f>AVERAGEA(B40:B45)</f>
        <v>6.833333333</v>
      </c>
      <c r="I40" s="52" t="s">
        <v>1541</v>
      </c>
    </row>
    <row r="41" ht="14.25" customHeight="1">
      <c r="B41" s="22">
        <v>15.0</v>
      </c>
      <c r="G41" s="22" t="str">
        <f t="shared" si="3"/>
        <v>#NAME?</v>
      </c>
      <c r="H41" s="22">
        <f>AVERAGEA(B40:B42, "5", TRUE, FALSE)</f>
        <v>7.666666667</v>
      </c>
      <c r="I41" s="52" t="s">
        <v>1542</v>
      </c>
    </row>
    <row r="42" ht="14.25" customHeight="1">
      <c r="B42" s="22">
        <v>30.0</v>
      </c>
    </row>
    <row r="43" ht="14.25" customHeight="1">
      <c r="B43" s="22" t="s">
        <v>1534</v>
      </c>
    </row>
    <row r="44" ht="14.25" customHeight="1">
      <c r="B44" s="22" t="b">
        <v>1</v>
      </c>
    </row>
    <row r="45" ht="14.25" customHeight="1">
      <c r="B45" s="22" t="b">
        <v>0</v>
      </c>
    </row>
    <row r="46" ht="14.25" customHeight="1"/>
    <row r="47" ht="14.25" customHeight="1"/>
    <row r="48" ht="14.25" customHeight="1"/>
    <row r="49" ht="14.25" customHeight="1"/>
    <row r="50" ht="14.25" customHeight="1"/>
    <row r="51" ht="14.25" customHeight="1"/>
    <row r="52" ht="14.25" customHeight="1">
      <c r="B52" s="53" t="s">
        <v>1353</v>
      </c>
    </row>
    <row r="53" ht="14.25" customHeight="1"/>
    <row r="54" ht="14.25" customHeight="1"/>
    <row r="55" ht="14.25" customHeight="1"/>
    <row r="56" ht="14.25" customHeight="1">
      <c r="B56" s="48" t="s">
        <v>1543</v>
      </c>
      <c r="C56" s="49"/>
      <c r="D56" s="49"/>
      <c r="E56" s="49"/>
      <c r="F56" s="49"/>
      <c r="G56" s="49"/>
      <c r="H56" s="50"/>
      <c r="I56" s="51"/>
    </row>
    <row r="57" ht="14.25" customHeight="1">
      <c r="B57" s="43" t="s">
        <v>1544</v>
      </c>
      <c r="C57" s="44"/>
      <c r="D57" s="44"/>
      <c r="E57" s="44"/>
      <c r="F57" s="44"/>
      <c r="G57" s="44"/>
      <c r="H57" s="44"/>
      <c r="I57" s="45"/>
    </row>
    <row r="58" ht="14.25" customHeight="1"/>
    <row r="59" ht="14.25" customHeight="1">
      <c r="B59" s="40" t="s">
        <v>1340</v>
      </c>
      <c r="G59" s="40" t="s">
        <v>1447</v>
      </c>
      <c r="H59" s="40" t="s">
        <v>1342</v>
      </c>
      <c r="I59" s="40" t="s">
        <v>1343</v>
      </c>
    </row>
    <row r="60" ht="14.25" customHeight="1">
      <c r="B60" s="22">
        <v>-5.0</v>
      </c>
      <c r="G60" s="22" t="str">
        <f t="shared" ref="G60:G61" si="4">_xludf.FORMULATEXT(H60)</f>
        <v>#NAME?</v>
      </c>
      <c r="H60" s="22">
        <f>COUNT(B60:B65)</f>
        <v>3</v>
      </c>
      <c r="I60" s="52" t="s">
        <v>1545</v>
      </c>
    </row>
    <row r="61" ht="14.25" customHeight="1">
      <c r="B61" s="22">
        <v>15.0</v>
      </c>
      <c r="G61" s="22" t="str">
        <f t="shared" si="4"/>
        <v>#NAME?</v>
      </c>
      <c r="H61" s="22">
        <f>COUNT(B60:B62, "5", TRUE, FALSE)</f>
        <v>6</v>
      </c>
      <c r="I61" s="52" t="s">
        <v>1546</v>
      </c>
    </row>
    <row r="62" ht="14.25" customHeight="1">
      <c r="B62" s="22">
        <v>30.0</v>
      </c>
    </row>
    <row r="63" ht="14.25" customHeight="1">
      <c r="B63" s="22" t="s">
        <v>1534</v>
      </c>
    </row>
    <row r="64" ht="14.25" customHeight="1">
      <c r="B64" s="22" t="b">
        <v>1</v>
      </c>
    </row>
    <row r="65" ht="14.25" customHeight="1">
      <c r="B65" s="22" t="b">
        <v>0</v>
      </c>
    </row>
    <row r="66" ht="14.25" customHeight="1"/>
    <row r="67" ht="14.25" customHeight="1"/>
    <row r="68" ht="14.25" customHeight="1"/>
    <row r="69" ht="14.25" customHeight="1"/>
    <row r="70" ht="14.25" customHeight="1"/>
    <row r="71" ht="14.25" customHeight="1"/>
    <row r="72" ht="14.25" customHeight="1">
      <c r="B72" s="53" t="s">
        <v>1353</v>
      </c>
    </row>
    <row r="73" ht="14.25" customHeight="1"/>
    <row r="74" ht="14.25" customHeight="1">
      <c r="B74" s="48" t="s">
        <v>1547</v>
      </c>
      <c r="C74" s="49"/>
      <c r="D74" s="49"/>
      <c r="E74" s="49"/>
      <c r="F74" s="49"/>
      <c r="G74" s="49"/>
      <c r="H74" s="50"/>
      <c r="I74" s="51"/>
    </row>
    <row r="75" ht="14.25" customHeight="1">
      <c r="B75" s="43" t="s">
        <v>1548</v>
      </c>
      <c r="C75" s="44"/>
      <c r="D75" s="44"/>
      <c r="E75" s="44"/>
      <c r="F75" s="44"/>
      <c r="G75" s="44"/>
      <c r="H75" s="44"/>
      <c r="I75" s="45"/>
    </row>
    <row r="76" ht="14.25" customHeight="1"/>
    <row r="77" ht="14.25" customHeight="1">
      <c r="B77" s="40" t="s">
        <v>1340</v>
      </c>
      <c r="G77" s="40" t="s">
        <v>1447</v>
      </c>
      <c r="H77" s="40" t="s">
        <v>1342</v>
      </c>
      <c r="I77" s="40" t="s">
        <v>1343</v>
      </c>
    </row>
    <row r="78" ht="14.25" customHeight="1">
      <c r="B78" s="22">
        <v>-5.0</v>
      </c>
      <c r="G78" s="22" t="str">
        <f t="shared" ref="G78:G79" si="5">_xludf.FORMULATEXT(H78)</f>
        <v>#NAME?</v>
      </c>
      <c r="H78" s="22">
        <f>COUNTA(B78:B83)</f>
        <v>6</v>
      </c>
      <c r="I78" s="52" t="s">
        <v>1549</v>
      </c>
    </row>
    <row r="79" ht="14.25" customHeight="1">
      <c r="B79" s="22">
        <v>15.0</v>
      </c>
      <c r="G79" s="22" t="str">
        <f t="shared" si="5"/>
        <v>#NAME?</v>
      </c>
      <c r="H79" s="22">
        <f>COUNTA(B78:B80, "5", TRUE, FALSE)</f>
        <v>6</v>
      </c>
      <c r="I79" s="52" t="s">
        <v>1549</v>
      </c>
    </row>
    <row r="80" ht="14.25" customHeight="1">
      <c r="B80" s="22">
        <v>30.0</v>
      </c>
    </row>
    <row r="81" ht="14.25" customHeight="1">
      <c r="B81" s="22" t="s">
        <v>1534</v>
      </c>
    </row>
    <row r="82" ht="14.25" customHeight="1">
      <c r="B82" s="22" t="b">
        <v>1</v>
      </c>
    </row>
    <row r="83" ht="14.25" customHeight="1">
      <c r="B83" s="22" t="b">
        <v>0</v>
      </c>
    </row>
    <row r="84" ht="14.25" customHeight="1"/>
    <row r="85" ht="14.25" customHeight="1"/>
    <row r="86" ht="14.25" customHeight="1"/>
    <row r="87" ht="14.25" customHeight="1"/>
    <row r="88" ht="14.25" customHeight="1"/>
    <row r="89" ht="14.25" customHeight="1"/>
    <row r="90" ht="14.25" customHeight="1">
      <c r="B90" s="53" t="s">
        <v>1353</v>
      </c>
    </row>
    <row r="91" ht="14.25" customHeight="1"/>
    <row r="92" ht="14.25" customHeight="1">
      <c r="A92" s="5"/>
      <c r="B92" s="48" t="s">
        <v>1550</v>
      </c>
      <c r="C92" s="49"/>
      <c r="D92" s="49"/>
      <c r="E92" s="49"/>
      <c r="F92" s="49"/>
      <c r="G92" s="49"/>
      <c r="H92" s="50"/>
      <c r="I92" s="51"/>
      <c r="J92" s="5"/>
      <c r="K92" s="5"/>
      <c r="L92" s="5"/>
      <c r="M92" s="5"/>
      <c r="N92" s="5"/>
      <c r="O92" s="5"/>
      <c r="P92" s="5"/>
      <c r="Q92" s="5"/>
      <c r="R92" s="5"/>
      <c r="S92" s="5"/>
      <c r="T92" s="5"/>
      <c r="U92" s="5"/>
      <c r="V92" s="5"/>
      <c r="W92" s="5"/>
      <c r="X92" s="5"/>
      <c r="Y92" s="5"/>
      <c r="Z92" s="5"/>
    </row>
    <row r="93" ht="14.25" customHeight="1">
      <c r="A93" s="5"/>
      <c r="B93" s="43" t="s">
        <v>1551</v>
      </c>
      <c r="C93" s="44"/>
      <c r="D93" s="44"/>
      <c r="E93" s="44"/>
      <c r="F93" s="44"/>
      <c r="G93" s="44"/>
      <c r="H93" s="44"/>
      <c r="I93" s="4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0" t="s">
        <v>1552</v>
      </c>
      <c r="C95" s="40" t="s">
        <v>1553</v>
      </c>
      <c r="D95" s="5"/>
      <c r="E95" s="5"/>
      <c r="F95" s="5"/>
      <c r="G95" s="40" t="s">
        <v>1447</v>
      </c>
      <c r="H95" s="40" t="s">
        <v>1342</v>
      </c>
      <c r="I95" s="40" t="s">
        <v>1343</v>
      </c>
      <c r="J95" s="5"/>
      <c r="K95" s="5"/>
      <c r="L95" s="5"/>
      <c r="M95" s="5"/>
      <c r="N95" s="5"/>
      <c r="O95" s="5"/>
      <c r="P95" s="5"/>
      <c r="Q95" s="5"/>
      <c r="R95" s="5"/>
      <c r="S95" s="5"/>
      <c r="T95" s="5"/>
      <c r="U95" s="5"/>
      <c r="V95" s="5"/>
      <c r="W95" s="5"/>
      <c r="X95" s="5"/>
      <c r="Y95" s="5"/>
      <c r="Z95" s="5"/>
    </row>
    <row r="96" ht="14.25" customHeight="1">
      <c r="A96" s="5"/>
      <c r="B96" s="22">
        <v>1.0</v>
      </c>
      <c r="C96" s="22">
        <v>15.0</v>
      </c>
      <c r="D96" s="5"/>
      <c r="E96" s="5"/>
      <c r="F96" s="5"/>
      <c r="G96" s="22" t="str">
        <f t="shared" ref="G96:G99" si="6">_xludf.FORMULATEXT(H96)</f>
        <v>#NAME?</v>
      </c>
      <c r="H96" s="22">
        <f>MEDIAN(B96:B102)</f>
        <v>4</v>
      </c>
      <c r="I96" s="52" t="s">
        <v>1554</v>
      </c>
      <c r="J96" s="5"/>
      <c r="K96" s="5"/>
      <c r="L96" s="5"/>
      <c r="M96" s="5"/>
      <c r="N96" s="5"/>
      <c r="O96" s="5"/>
      <c r="P96" s="5"/>
      <c r="Q96" s="5"/>
      <c r="R96" s="5"/>
      <c r="S96" s="5"/>
      <c r="T96" s="5"/>
      <c r="U96" s="5"/>
      <c r="V96" s="5"/>
      <c r="W96" s="5"/>
      <c r="X96" s="5"/>
      <c r="Y96" s="5"/>
      <c r="Z96" s="5"/>
    </row>
    <row r="97" ht="14.25" customHeight="1">
      <c r="A97" s="5"/>
      <c r="B97" s="22">
        <v>2.0</v>
      </c>
      <c r="C97" s="22">
        <v>10.0</v>
      </c>
      <c r="D97" s="5"/>
      <c r="E97" s="5"/>
      <c r="F97" s="5"/>
      <c r="G97" s="22" t="str">
        <f t="shared" si="6"/>
        <v>#NAME?</v>
      </c>
      <c r="H97" s="22">
        <f>MEDIAN(B96:B103)</f>
        <v>4.5</v>
      </c>
      <c r="I97" s="52" t="s">
        <v>1555</v>
      </c>
      <c r="J97" s="5"/>
      <c r="K97" s="5"/>
      <c r="L97" s="5"/>
      <c r="M97" s="5"/>
      <c r="N97" s="5"/>
      <c r="O97" s="5"/>
      <c r="P97" s="5"/>
      <c r="Q97" s="5"/>
      <c r="R97" s="5"/>
      <c r="S97" s="5"/>
      <c r="T97" s="5"/>
      <c r="U97" s="5"/>
      <c r="V97" s="5"/>
      <c r="W97" s="5"/>
      <c r="X97" s="5"/>
      <c r="Y97" s="5"/>
      <c r="Z97" s="5"/>
    </row>
    <row r="98" ht="14.25" customHeight="1">
      <c r="A98" s="5"/>
      <c r="B98" s="22">
        <v>3.0</v>
      </c>
      <c r="C98" s="22">
        <v>5.0</v>
      </c>
      <c r="D98" s="5"/>
      <c r="E98" s="5"/>
      <c r="F98" s="5"/>
      <c r="G98" s="22" t="str">
        <f t="shared" si="6"/>
        <v>#NAME?</v>
      </c>
      <c r="H98" s="22">
        <f>MEDIAN(C96:C102)</f>
        <v>12</v>
      </c>
      <c r="I98" s="52" t="s">
        <v>1556</v>
      </c>
      <c r="J98" s="5"/>
      <c r="K98" s="5"/>
      <c r="L98" s="5"/>
      <c r="M98" s="5"/>
      <c r="N98" s="5"/>
      <c r="O98" s="5"/>
      <c r="P98" s="5"/>
      <c r="Q98" s="5"/>
      <c r="R98" s="5"/>
      <c r="S98" s="5"/>
      <c r="T98" s="5"/>
      <c r="U98" s="5"/>
      <c r="V98" s="5"/>
      <c r="W98" s="5"/>
      <c r="X98" s="5"/>
      <c r="Y98" s="5"/>
      <c r="Z98" s="5"/>
    </row>
    <row r="99" ht="14.25" customHeight="1">
      <c r="A99" s="5"/>
      <c r="B99" s="22">
        <v>4.0</v>
      </c>
      <c r="C99" s="22">
        <v>8.0</v>
      </c>
      <c r="D99" s="5"/>
      <c r="E99" s="5"/>
      <c r="F99" s="5"/>
      <c r="G99" s="22" t="str">
        <f t="shared" si="6"/>
        <v>#NAME?</v>
      </c>
      <c r="H99" s="22">
        <f>MEDIAN(C96:C103)</f>
        <v>11</v>
      </c>
      <c r="I99" s="52" t="s">
        <v>1556</v>
      </c>
      <c r="J99" s="5"/>
      <c r="K99" s="5"/>
      <c r="L99" s="5"/>
      <c r="M99" s="5"/>
      <c r="N99" s="5"/>
      <c r="O99" s="5"/>
      <c r="P99" s="5"/>
      <c r="Q99" s="5"/>
      <c r="R99" s="5"/>
      <c r="S99" s="5"/>
      <c r="T99" s="5"/>
      <c r="U99" s="5"/>
      <c r="V99" s="5"/>
      <c r="W99" s="5"/>
      <c r="X99" s="5"/>
      <c r="Y99" s="5"/>
      <c r="Z99" s="5"/>
    </row>
    <row r="100" ht="14.25" customHeight="1">
      <c r="A100" s="5"/>
      <c r="B100" s="22">
        <v>5.0</v>
      </c>
      <c r="C100" s="22">
        <v>12.0</v>
      </c>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22">
        <v>6.0</v>
      </c>
      <c r="C101" s="22">
        <v>25.0</v>
      </c>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22">
        <v>7.0</v>
      </c>
      <c r="C102" s="22">
        <v>13.0</v>
      </c>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22">
        <v>8.0</v>
      </c>
      <c r="C103" s="22">
        <v>5.0</v>
      </c>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3" t="s">
        <v>1353</v>
      </c>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B110" s="48" t="s">
        <v>1557</v>
      </c>
      <c r="C110" s="49"/>
      <c r="D110" s="49"/>
      <c r="E110" s="49"/>
      <c r="F110" s="49"/>
      <c r="G110" s="49"/>
      <c r="H110" s="50"/>
      <c r="I110" s="51"/>
    </row>
    <row r="111" ht="14.25" customHeight="1">
      <c r="B111" s="43" t="s">
        <v>1558</v>
      </c>
      <c r="C111" s="44"/>
      <c r="D111" s="44"/>
      <c r="E111" s="44"/>
      <c r="F111" s="44"/>
      <c r="G111" s="44"/>
      <c r="H111" s="44"/>
      <c r="I111" s="45"/>
    </row>
    <row r="112" ht="14.25" customHeight="1"/>
    <row r="113" ht="14.25" customHeight="1">
      <c r="B113" s="40" t="s">
        <v>1485</v>
      </c>
      <c r="C113" s="40" t="s">
        <v>1445</v>
      </c>
      <c r="D113" s="40" t="s">
        <v>1559</v>
      </c>
      <c r="E113" s="40" t="s">
        <v>1446</v>
      </c>
      <c r="G113" s="40" t="s">
        <v>1447</v>
      </c>
      <c r="H113" s="40" t="s">
        <v>1342</v>
      </c>
      <c r="I113" s="40" t="s">
        <v>1343</v>
      </c>
    </row>
    <row r="114" ht="14.25" customHeight="1">
      <c r="B114" s="22" t="s">
        <v>1489</v>
      </c>
      <c r="C114" s="22" t="s">
        <v>1450</v>
      </c>
      <c r="D114" s="22" t="s">
        <v>1363</v>
      </c>
      <c r="E114" s="22">
        <v>100.0</v>
      </c>
      <c r="F114" s="19"/>
      <c r="G114" s="22" t="str">
        <f t="shared" ref="G114:G115" si="7">_xludf.FORMULATEXT(H114)</f>
        <v>#NAME?</v>
      </c>
      <c r="H114" s="22">
        <f t="array" ref="H114">SUMPRODUCT({4,5,6}, {10,20,10})</f>
        <v>200</v>
      </c>
      <c r="I114" s="52" t="s">
        <v>1560</v>
      </c>
    </row>
    <row r="115" ht="14.25" customHeight="1">
      <c r="B115" s="22" t="s">
        <v>1491</v>
      </c>
      <c r="C115" s="22" t="s">
        <v>1448</v>
      </c>
      <c r="D115" s="22" t="s">
        <v>1344</v>
      </c>
      <c r="E115" s="22">
        <v>200.0</v>
      </c>
      <c r="F115" s="19"/>
      <c r="G115" s="22" t="str">
        <f t="shared" si="7"/>
        <v>#NAME?</v>
      </c>
      <c r="H115" s="22">
        <f>SUMPRODUCT(--(B114:B125="Jon"), --(C114:C125="West"), E114:E125)</f>
        <v>235</v>
      </c>
      <c r="I115" s="52" t="s">
        <v>1561</v>
      </c>
    </row>
    <row r="116" ht="14.25" customHeight="1">
      <c r="B116" s="22" t="s">
        <v>1494</v>
      </c>
      <c r="C116" s="22" t="s">
        <v>1448</v>
      </c>
      <c r="D116" s="22" t="s">
        <v>1495</v>
      </c>
      <c r="E116" s="22">
        <v>125.0</v>
      </c>
      <c r="F116" s="19"/>
    </row>
    <row r="117" ht="14.25" customHeight="1">
      <c r="B117" s="22" t="s">
        <v>1562</v>
      </c>
      <c r="C117" s="22" t="s">
        <v>1450</v>
      </c>
      <c r="D117" s="22" t="s">
        <v>1495</v>
      </c>
      <c r="E117" s="22">
        <v>145.0</v>
      </c>
      <c r="F117" s="19"/>
    </row>
    <row r="118" ht="14.25" customHeight="1">
      <c r="B118" s="22" t="s">
        <v>1563</v>
      </c>
      <c r="C118" s="22" t="s">
        <v>1452</v>
      </c>
      <c r="D118" s="22" t="s">
        <v>1344</v>
      </c>
      <c r="E118" s="22">
        <v>45.0</v>
      </c>
      <c r="F118" s="19"/>
    </row>
    <row r="119" ht="14.25" customHeight="1">
      <c r="B119" s="22" t="s">
        <v>1489</v>
      </c>
      <c r="C119" s="22" t="s">
        <v>1454</v>
      </c>
      <c r="D119" s="22" t="s">
        <v>1363</v>
      </c>
      <c r="E119" s="22">
        <v>55.0</v>
      </c>
      <c r="F119" s="19"/>
    </row>
    <row r="120" ht="14.25" customHeight="1">
      <c r="B120" s="22" t="s">
        <v>1562</v>
      </c>
      <c r="C120" s="22" t="s">
        <v>1450</v>
      </c>
      <c r="D120" s="22" t="s">
        <v>1363</v>
      </c>
      <c r="E120" s="22">
        <v>25.0</v>
      </c>
      <c r="F120" s="19"/>
    </row>
    <row r="121" ht="14.25" customHeight="1">
      <c r="B121" s="22" t="s">
        <v>1491</v>
      </c>
      <c r="C121" s="22" t="s">
        <v>1448</v>
      </c>
      <c r="D121" s="22" t="s">
        <v>1344</v>
      </c>
      <c r="E121" s="22">
        <v>35.0</v>
      </c>
      <c r="F121" s="19"/>
    </row>
    <row r="122" ht="14.25" customHeight="1">
      <c r="B122" s="22" t="s">
        <v>1489</v>
      </c>
      <c r="C122" s="22" t="s">
        <v>1450</v>
      </c>
      <c r="D122" s="22" t="s">
        <v>1344</v>
      </c>
      <c r="E122" s="22">
        <v>50.0</v>
      </c>
      <c r="F122" s="19"/>
    </row>
    <row r="123" ht="14.25" customHeight="1">
      <c r="B123" s="22" t="s">
        <v>1494</v>
      </c>
      <c r="C123" s="22" t="s">
        <v>1454</v>
      </c>
      <c r="D123" s="22" t="s">
        <v>1363</v>
      </c>
      <c r="E123" s="22">
        <v>60.0</v>
      </c>
      <c r="F123" s="19"/>
    </row>
    <row r="124" ht="14.25" customHeight="1">
      <c r="B124" s="22" t="s">
        <v>1491</v>
      </c>
      <c r="C124" s="22" t="s">
        <v>1450</v>
      </c>
      <c r="D124" s="22" t="s">
        <v>1495</v>
      </c>
      <c r="E124" s="22">
        <v>75.0</v>
      </c>
      <c r="F124" s="19"/>
    </row>
    <row r="125" ht="14.25" customHeight="1">
      <c r="B125" s="22" t="s">
        <v>1489</v>
      </c>
      <c r="C125" s="22" t="s">
        <v>1450</v>
      </c>
      <c r="D125" s="22" t="s">
        <v>1363</v>
      </c>
      <c r="E125" s="22">
        <v>85.0</v>
      </c>
      <c r="F125" s="19"/>
    </row>
    <row r="126" ht="14.25" customHeight="1"/>
    <row r="127" ht="14.25" customHeight="1">
      <c r="B127" s="53" t="s">
        <v>1353</v>
      </c>
    </row>
    <row r="128" ht="14.25" customHeight="1"/>
    <row r="129" ht="14.25" customHeight="1">
      <c r="B129" s="48" t="s">
        <v>1564</v>
      </c>
      <c r="C129" s="49"/>
      <c r="D129" s="49"/>
      <c r="E129" s="49"/>
      <c r="F129" s="49"/>
      <c r="G129" s="49"/>
      <c r="H129" s="50"/>
      <c r="I129" s="51"/>
    </row>
    <row r="130" ht="14.25" customHeight="1">
      <c r="B130" s="43" t="s">
        <v>1565</v>
      </c>
      <c r="C130" s="44"/>
      <c r="D130" s="44"/>
      <c r="E130" s="44"/>
      <c r="F130" s="44"/>
      <c r="G130" s="44"/>
      <c r="H130" s="44"/>
      <c r="I130" s="45"/>
    </row>
    <row r="131" ht="14.25" customHeight="1"/>
    <row r="132" ht="14.25" customHeight="1">
      <c r="G132" s="40" t="s">
        <v>1447</v>
      </c>
      <c r="H132" s="40" t="s">
        <v>1342</v>
      </c>
      <c r="I132" s="40" t="s">
        <v>1343</v>
      </c>
    </row>
    <row r="133" ht="14.25" customHeight="1">
      <c r="G133" s="22" t="str">
        <f>_xludf.FORMULATEXT(H133)</f>
        <v>#NAME?</v>
      </c>
      <c r="H133" s="22">
        <f>SUMSQ(3, 4, 5)</f>
        <v>50</v>
      </c>
      <c r="I133" s="52" t="s">
        <v>1566</v>
      </c>
    </row>
    <row r="134" ht="14.25" customHeight="1"/>
    <row r="135" ht="14.25" customHeight="1"/>
    <row r="136" ht="14.25" customHeight="1"/>
    <row r="137" ht="14.25" customHeight="1"/>
    <row r="138" ht="14.25" customHeight="1"/>
    <row r="139" ht="14.25" customHeight="1"/>
    <row r="140" ht="14.25" customHeight="1"/>
    <row r="141" ht="14.25" customHeight="1">
      <c r="B141" s="53" t="s">
        <v>1353</v>
      </c>
    </row>
    <row r="142" ht="14.25" customHeight="1"/>
    <row r="143" ht="14.25" customHeight="1">
      <c r="B143" s="48" t="s">
        <v>1567</v>
      </c>
      <c r="C143" s="49"/>
      <c r="D143" s="49"/>
      <c r="E143" s="49"/>
      <c r="F143" s="49"/>
      <c r="G143" s="49"/>
      <c r="H143" s="50"/>
      <c r="I143" s="51"/>
    </row>
    <row r="144" ht="14.25" customHeight="1">
      <c r="B144" s="43" t="s">
        <v>1568</v>
      </c>
      <c r="C144" s="44"/>
      <c r="D144" s="44"/>
      <c r="E144" s="44"/>
      <c r="F144" s="44"/>
      <c r="G144" s="44"/>
      <c r="H144" s="44"/>
      <c r="I144" s="45"/>
    </row>
    <row r="145" ht="14.25" customHeight="1"/>
    <row r="146" ht="14.25" customHeight="1">
      <c r="B146" s="40" t="s">
        <v>1340</v>
      </c>
      <c r="G146" s="40" t="s">
        <v>1447</v>
      </c>
      <c r="H146" s="40" t="s">
        <v>1342</v>
      </c>
      <c r="I146" s="40" t="s">
        <v>1343</v>
      </c>
    </row>
    <row r="147" ht="14.25" customHeight="1">
      <c r="B147" s="22">
        <v>5.0</v>
      </c>
      <c r="G147" s="22" t="str">
        <f>_xludf.FORMULATEXT(H147)</f>
        <v>#NAME?</v>
      </c>
      <c r="H147" s="22">
        <f>COUNTBLANK(B147:B153)</f>
        <v>1</v>
      </c>
      <c r="I147" s="22" t="s">
        <v>1569</v>
      </c>
    </row>
    <row r="148" ht="14.25" customHeight="1">
      <c r="B148" s="22">
        <v>12.0</v>
      </c>
    </row>
    <row r="149" ht="14.25" customHeight="1">
      <c r="B149" s="22">
        <v>8.0</v>
      </c>
    </row>
    <row r="150" ht="14.25" customHeight="1">
      <c r="B150" s="22"/>
    </row>
    <row r="151" ht="14.25" customHeight="1">
      <c r="B151" s="22">
        <v>98.0</v>
      </c>
    </row>
    <row r="152" ht="14.25" customHeight="1">
      <c r="B152" s="22" t="s">
        <v>1349</v>
      </c>
    </row>
    <row r="153" ht="14.25" customHeight="1">
      <c r="B153" s="22" t="s">
        <v>1491</v>
      </c>
    </row>
    <row r="154" ht="14.25" customHeight="1"/>
    <row r="155" ht="14.25" customHeight="1"/>
    <row r="156" ht="14.25" customHeight="1">
      <c r="B156" s="53" t="s">
        <v>1353</v>
      </c>
    </row>
    <row r="157" ht="14.25" customHeight="1"/>
    <row r="158" ht="14.25" customHeight="1">
      <c r="B158" s="48" t="s">
        <v>1570</v>
      </c>
      <c r="C158" s="49"/>
      <c r="D158" s="49"/>
      <c r="E158" s="49"/>
      <c r="F158" s="49"/>
      <c r="G158" s="49"/>
      <c r="H158" s="50"/>
      <c r="I158" s="51"/>
    </row>
    <row r="159" ht="14.25" customHeight="1">
      <c r="B159" s="43" t="s">
        <v>1571</v>
      </c>
      <c r="C159" s="44"/>
      <c r="D159" s="44"/>
      <c r="E159" s="44"/>
      <c r="F159" s="44"/>
      <c r="G159" s="44"/>
      <c r="H159" s="44"/>
      <c r="I159" s="45"/>
    </row>
    <row r="160" ht="14.25" customHeight="1"/>
    <row r="161" ht="14.25" customHeight="1">
      <c r="G161" s="40" t="s">
        <v>1447</v>
      </c>
      <c r="H161" s="40" t="s">
        <v>1342</v>
      </c>
      <c r="I161" s="40" t="s">
        <v>1343</v>
      </c>
    </row>
    <row r="162" ht="14.25" customHeight="1">
      <c r="G162" s="22" t="str">
        <f t="shared" ref="G162:G165" si="8">_xludf.FORMULATEXT(H162)</f>
        <v>#NAME?</v>
      </c>
      <c r="H162" s="22">
        <f>EVEN(1.5)</f>
        <v>2</v>
      </c>
      <c r="I162" s="22" t="s">
        <v>1572</v>
      </c>
    </row>
    <row r="163" ht="14.25" customHeight="1">
      <c r="G163" s="22" t="str">
        <f t="shared" si="8"/>
        <v>#NAME?</v>
      </c>
      <c r="H163" s="22">
        <f>EVEN(3)</f>
        <v>4</v>
      </c>
      <c r="I163" s="22" t="s">
        <v>1573</v>
      </c>
    </row>
    <row r="164" ht="14.25" customHeight="1">
      <c r="G164" s="22" t="str">
        <f t="shared" si="8"/>
        <v>#NAME?</v>
      </c>
      <c r="H164" s="22">
        <f>EVEN(2)</f>
        <v>2</v>
      </c>
      <c r="I164" s="22" t="s">
        <v>1574</v>
      </c>
    </row>
    <row r="165" ht="14.25" customHeight="1">
      <c r="G165" s="22" t="str">
        <f t="shared" si="8"/>
        <v>#NAME?</v>
      </c>
      <c r="H165" s="22">
        <f>EVEN(-1)</f>
        <v>-2</v>
      </c>
      <c r="I165" s="22" t="s">
        <v>1575</v>
      </c>
    </row>
    <row r="166" ht="14.25" customHeight="1">
      <c r="B166" s="53" t="s">
        <v>1353</v>
      </c>
    </row>
    <row r="167" ht="14.25" customHeight="1">
      <c r="B167" s="53"/>
      <c r="C167" s="53"/>
    </row>
    <row r="168" ht="14.25" customHeight="1">
      <c r="B168" s="53"/>
      <c r="C168" s="53"/>
    </row>
    <row r="169" ht="14.25" customHeight="1">
      <c r="B169" s="53"/>
      <c r="C169" s="53"/>
    </row>
    <row r="170" ht="14.25" customHeight="1">
      <c r="B170" s="53"/>
      <c r="C170" s="53"/>
    </row>
    <row r="171" ht="14.25" customHeight="1">
      <c r="B171" s="53"/>
      <c r="C171" s="53"/>
    </row>
    <row r="172" ht="14.25" customHeight="1">
      <c r="B172" s="53"/>
      <c r="C172" s="53"/>
    </row>
    <row r="173" ht="14.25" customHeight="1">
      <c r="B173" s="53"/>
      <c r="C173" s="53"/>
    </row>
    <row r="174" ht="14.25" customHeight="1">
      <c r="B174" s="53"/>
      <c r="C174" s="53"/>
    </row>
    <row r="175" ht="14.25" customHeight="1"/>
    <row r="176" ht="14.25" customHeight="1">
      <c r="B176" s="48" t="s">
        <v>1576</v>
      </c>
      <c r="C176" s="49"/>
      <c r="D176" s="49"/>
      <c r="E176" s="49"/>
      <c r="F176" s="49"/>
      <c r="G176" s="49"/>
      <c r="H176" s="50"/>
      <c r="I176" s="51"/>
    </row>
    <row r="177" ht="14.25" customHeight="1">
      <c r="B177" s="43" t="s">
        <v>1577</v>
      </c>
      <c r="C177" s="44"/>
      <c r="D177" s="44"/>
      <c r="E177" s="44"/>
      <c r="F177" s="44"/>
      <c r="G177" s="44"/>
      <c r="H177" s="44"/>
      <c r="I177" s="45"/>
    </row>
    <row r="178" ht="14.25" customHeight="1"/>
    <row r="179" ht="14.25" customHeight="1">
      <c r="G179" s="40" t="s">
        <v>1447</v>
      </c>
      <c r="H179" s="40" t="s">
        <v>1342</v>
      </c>
      <c r="I179" s="40" t="s">
        <v>1343</v>
      </c>
    </row>
    <row r="180" ht="14.25" customHeight="1">
      <c r="G180" s="22" t="str">
        <f t="shared" ref="G180:G183" si="9">_xludf.FORMULATEXT(H180)</f>
        <v>#NAME?</v>
      </c>
      <c r="H180" s="22">
        <f>ODD(1.5)</f>
        <v>3</v>
      </c>
      <c r="I180" s="22" t="s">
        <v>1578</v>
      </c>
    </row>
    <row r="181" ht="14.25" customHeight="1">
      <c r="G181" s="22" t="str">
        <f t="shared" si="9"/>
        <v>#NAME?</v>
      </c>
      <c r="H181" s="22">
        <f>ODD(3)</f>
        <v>3</v>
      </c>
      <c r="I181" s="22" t="s">
        <v>1579</v>
      </c>
    </row>
    <row r="182" ht="14.25" customHeight="1">
      <c r="G182" s="22" t="str">
        <f t="shared" si="9"/>
        <v>#NAME?</v>
      </c>
      <c r="H182" s="22">
        <f>ODD(2)</f>
        <v>3</v>
      </c>
      <c r="I182" s="22" t="s">
        <v>1580</v>
      </c>
    </row>
    <row r="183" ht="14.25" customHeight="1">
      <c r="G183" s="22" t="str">
        <f t="shared" si="9"/>
        <v>#NAME?</v>
      </c>
      <c r="H183" s="22">
        <f>ODD(-1)</f>
        <v>-1</v>
      </c>
      <c r="I183" s="22" t="s">
        <v>1581</v>
      </c>
    </row>
    <row r="184" ht="14.25" customHeight="1">
      <c r="B184" s="53" t="s">
        <v>1353</v>
      </c>
    </row>
    <row r="185" ht="14.25" customHeight="1"/>
    <row r="186" ht="14.25" customHeight="1"/>
    <row r="187" ht="14.25" customHeight="1"/>
    <row r="188" ht="14.25" customHeight="1"/>
    <row r="189" ht="14.25" customHeight="1"/>
    <row r="190" ht="14.25" customHeight="1"/>
    <row r="191" ht="14.25" customHeight="1"/>
    <row r="192" ht="14.25" customHeight="1">
      <c r="B192" s="48" t="s">
        <v>1582</v>
      </c>
      <c r="C192" s="49"/>
      <c r="D192" s="49"/>
      <c r="E192" s="49"/>
      <c r="F192" s="49"/>
      <c r="G192" s="49"/>
      <c r="H192" s="50"/>
      <c r="I192" s="51"/>
    </row>
    <row r="193" ht="14.25" customHeight="1">
      <c r="B193" s="43" t="s">
        <v>1583</v>
      </c>
      <c r="C193" s="44"/>
      <c r="D193" s="44"/>
      <c r="E193" s="44"/>
      <c r="F193" s="44"/>
      <c r="G193" s="44"/>
      <c r="H193" s="44"/>
      <c r="I193" s="45"/>
    </row>
    <row r="194" ht="14.25" customHeight="1"/>
    <row r="195" ht="14.25" customHeight="1">
      <c r="G195" s="40" t="s">
        <v>1447</v>
      </c>
      <c r="H195" s="40" t="s">
        <v>1342</v>
      </c>
      <c r="I195" s="40" t="s">
        <v>1343</v>
      </c>
    </row>
    <row r="196" ht="14.25" customHeight="1">
      <c r="G196" s="22" t="str">
        <f t="shared" ref="G196:G198" si="10">_xludf.FORMULATEXT(H196)</f>
        <v>#NAME?</v>
      </c>
      <c r="H196" s="22">
        <f>INT(8.9)</f>
        <v>8</v>
      </c>
      <c r="I196" s="22" t="s">
        <v>1584</v>
      </c>
    </row>
    <row r="197" ht="14.25" customHeight="1">
      <c r="G197" s="22" t="str">
        <f t="shared" si="10"/>
        <v>#NAME?</v>
      </c>
      <c r="H197" s="22">
        <f>INT(-8.9)</f>
        <v>-9</v>
      </c>
      <c r="I197" s="22" t="s">
        <v>1585</v>
      </c>
    </row>
    <row r="198" ht="14.25" customHeight="1">
      <c r="G198" s="22" t="str">
        <f t="shared" si="10"/>
        <v>#NAME?</v>
      </c>
      <c r="H198" s="22">
        <f>INT(19.5)</f>
        <v>19</v>
      </c>
      <c r="I198" s="22" t="s">
        <v>1586</v>
      </c>
    </row>
    <row r="199" ht="14.25" customHeight="1">
      <c r="B199" s="53" t="s">
        <v>1353</v>
      </c>
    </row>
    <row r="200" ht="14.25" customHeight="1"/>
    <row r="201" ht="14.25" customHeight="1">
      <c r="B201" s="48" t="s">
        <v>1587</v>
      </c>
      <c r="C201" s="49"/>
      <c r="D201" s="49"/>
      <c r="E201" s="49"/>
      <c r="F201" s="49"/>
      <c r="G201" s="49"/>
      <c r="H201" s="50"/>
      <c r="I201" s="51"/>
    </row>
    <row r="202" ht="14.25" customHeight="1">
      <c r="B202" s="43" t="s">
        <v>1588</v>
      </c>
      <c r="C202" s="44"/>
      <c r="D202" s="44"/>
      <c r="E202" s="44"/>
      <c r="F202" s="44"/>
      <c r="G202" s="44"/>
      <c r="H202" s="44"/>
      <c r="I202" s="45"/>
    </row>
    <row r="203" ht="14.25" customHeight="1"/>
    <row r="204" ht="14.25" customHeight="1">
      <c r="B204" s="40" t="s">
        <v>1340</v>
      </c>
      <c r="C204" s="40" t="s">
        <v>1340</v>
      </c>
      <c r="G204" s="40" t="s">
        <v>1447</v>
      </c>
      <c r="H204" s="40" t="s">
        <v>1342</v>
      </c>
      <c r="I204" s="40" t="s">
        <v>1343</v>
      </c>
    </row>
    <row r="205" ht="14.25" customHeight="1">
      <c r="B205" s="22">
        <v>5.0</v>
      </c>
      <c r="C205" s="22">
        <v>3.0</v>
      </c>
      <c r="G205" s="22" t="str">
        <f t="shared" ref="G205:G206" si="11">_xludf.FORMULATEXT(H205)</f>
        <v>#NAME?</v>
      </c>
      <c r="H205" s="22">
        <f>LARGE(B205:C209, 5)</f>
        <v>5</v>
      </c>
      <c r="I205" s="52" t="s">
        <v>1589</v>
      </c>
    </row>
    <row r="206" ht="14.25" customHeight="1">
      <c r="B206" s="22">
        <v>4.0</v>
      </c>
      <c r="C206" s="22">
        <v>5.0</v>
      </c>
      <c r="G206" s="22" t="str">
        <f t="shared" si="11"/>
        <v>#NAME?</v>
      </c>
      <c r="H206" s="22">
        <f>LARGE(B205:C209, 8)</f>
        <v>4</v>
      </c>
      <c r="I206" s="22" t="s">
        <v>1590</v>
      </c>
    </row>
    <row r="207" ht="14.25" customHeight="1">
      <c r="B207" s="22">
        <v>3.0</v>
      </c>
      <c r="C207" s="22">
        <v>7.0</v>
      </c>
    </row>
    <row r="208" ht="14.25" customHeight="1">
      <c r="B208" s="22">
        <v>5.0</v>
      </c>
      <c r="C208" s="22">
        <v>7.0</v>
      </c>
    </row>
    <row r="209" ht="14.25" customHeight="1">
      <c r="B209" s="22">
        <v>10.0</v>
      </c>
      <c r="C209" s="22">
        <v>6.0</v>
      </c>
    </row>
    <row r="210" ht="14.25" customHeight="1"/>
    <row r="211" ht="14.25" customHeight="1"/>
    <row r="212" ht="14.25" customHeight="1">
      <c r="B212" s="53" t="s">
        <v>1353</v>
      </c>
    </row>
    <row r="213" ht="14.25" customHeight="1"/>
    <row r="214" ht="14.25" customHeight="1"/>
    <row r="215" ht="14.25" customHeight="1"/>
    <row r="216" ht="14.25" customHeight="1"/>
    <row r="217" ht="14.25" customHeight="1">
      <c r="B217" s="48" t="s">
        <v>1591</v>
      </c>
      <c r="C217" s="49"/>
      <c r="D217" s="49"/>
      <c r="E217" s="49"/>
      <c r="F217" s="49"/>
      <c r="G217" s="49"/>
      <c r="H217" s="50"/>
      <c r="I217" s="51"/>
    </row>
    <row r="218" ht="14.25" customHeight="1">
      <c r="B218" s="43" t="s">
        <v>1592</v>
      </c>
      <c r="C218" s="44"/>
      <c r="D218" s="44"/>
      <c r="E218" s="44"/>
      <c r="F218" s="44"/>
      <c r="G218" s="44"/>
      <c r="H218" s="44"/>
      <c r="I218" s="45"/>
    </row>
    <row r="219" ht="14.25" customHeight="1"/>
    <row r="220" ht="14.25" customHeight="1">
      <c r="B220" s="40" t="s">
        <v>1340</v>
      </c>
      <c r="C220" s="40" t="s">
        <v>1340</v>
      </c>
      <c r="G220" s="40" t="s">
        <v>1447</v>
      </c>
      <c r="H220" s="40" t="s">
        <v>1342</v>
      </c>
      <c r="I220" s="40" t="s">
        <v>1343</v>
      </c>
    </row>
    <row r="221" ht="14.25" customHeight="1">
      <c r="B221" s="22">
        <v>5.0</v>
      </c>
      <c r="C221" s="22">
        <v>3.0</v>
      </c>
      <c r="G221" s="22" t="str">
        <f t="shared" ref="G221:G222" si="12">_xludf.FORMULATEXT(H221)</f>
        <v>#NAME?</v>
      </c>
      <c r="H221" s="22">
        <f>SMALL(B221:C225, 5)</f>
        <v>5</v>
      </c>
      <c r="I221" s="52" t="s">
        <v>1593</v>
      </c>
    </row>
    <row r="222" ht="14.25" customHeight="1">
      <c r="B222" s="22">
        <v>4.0</v>
      </c>
      <c r="C222" s="22">
        <v>5.0</v>
      </c>
      <c r="G222" s="22" t="str">
        <f t="shared" si="12"/>
        <v>#NAME?</v>
      </c>
      <c r="H222" s="22">
        <f>SMALL(B221:C225, 8)</f>
        <v>7</v>
      </c>
      <c r="I222" s="22" t="s">
        <v>1594</v>
      </c>
    </row>
    <row r="223" ht="14.25" customHeight="1">
      <c r="B223" s="22">
        <v>3.0</v>
      </c>
      <c r="C223" s="22">
        <v>7.0</v>
      </c>
    </row>
    <row r="224" ht="14.25" customHeight="1">
      <c r="B224" s="22">
        <v>5.0</v>
      </c>
      <c r="C224" s="22">
        <v>7.0</v>
      </c>
    </row>
    <row r="225" ht="14.25" customHeight="1">
      <c r="B225" s="22">
        <v>10.0</v>
      </c>
      <c r="C225" s="22">
        <v>6.0</v>
      </c>
    </row>
    <row r="226" ht="14.25" customHeight="1"/>
    <row r="227" ht="14.25" customHeight="1"/>
    <row r="228" ht="14.25" customHeight="1"/>
    <row r="229" ht="14.25" customHeight="1">
      <c r="B229" s="53" t="s">
        <v>1353</v>
      </c>
    </row>
    <row r="230" ht="14.25" customHeight="1"/>
    <row r="231" ht="14.25" customHeight="1"/>
    <row r="232" ht="14.25" customHeight="1">
      <c r="B232" s="48" t="s">
        <v>1595</v>
      </c>
      <c r="C232" s="49"/>
      <c r="D232" s="49"/>
      <c r="E232" s="49"/>
      <c r="F232" s="49"/>
      <c r="G232" s="49"/>
      <c r="H232" s="50"/>
      <c r="I232" s="51"/>
    </row>
    <row r="233" ht="14.25" customHeight="1">
      <c r="B233" s="43" t="s">
        <v>1596</v>
      </c>
      <c r="C233" s="44"/>
      <c r="D233" s="44"/>
      <c r="E233" s="44"/>
      <c r="F233" s="44"/>
      <c r="G233" s="44"/>
      <c r="H233" s="44"/>
      <c r="I233" s="45"/>
    </row>
    <row r="234" ht="8.25" customHeight="1"/>
    <row r="235" ht="14.25" customHeight="1">
      <c r="B235" s="48" t="s">
        <v>1597</v>
      </c>
      <c r="C235" s="49"/>
      <c r="D235" s="49"/>
      <c r="E235" s="49"/>
      <c r="F235" s="49"/>
      <c r="G235" s="49"/>
      <c r="H235" s="50"/>
      <c r="I235" s="51"/>
    </row>
    <row r="236" ht="14.25" customHeight="1">
      <c r="B236" s="43" t="s">
        <v>1598</v>
      </c>
      <c r="C236" s="44"/>
      <c r="D236" s="44"/>
      <c r="E236" s="44"/>
      <c r="F236" s="44"/>
      <c r="G236" s="44"/>
      <c r="H236" s="44"/>
      <c r="I236" s="45"/>
    </row>
    <row r="237" ht="14.25" customHeight="1"/>
    <row r="238" ht="14.25" customHeight="1">
      <c r="B238" s="40" t="s">
        <v>1340</v>
      </c>
      <c r="C238" s="40" t="s">
        <v>1340</v>
      </c>
      <c r="G238" s="40" t="s">
        <v>1447</v>
      </c>
      <c r="H238" s="40" t="s">
        <v>1342</v>
      </c>
      <c r="I238" s="40" t="s">
        <v>1343</v>
      </c>
    </row>
    <row r="239" ht="14.25" customHeight="1">
      <c r="B239" s="22">
        <v>0.3</v>
      </c>
      <c r="C239" s="22" t="s">
        <v>1381</v>
      </c>
      <c r="G239" s="22" t="str">
        <f t="shared" ref="G239:G242" si="13">_xludf.FORMULATEXT(H239)</f>
        <v>#NAME?</v>
      </c>
      <c r="H239" s="22">
        <f>MAX(C239:C246)</f>
        <v>0.95</v>
      </c>
      <c r="I239" s="55" t="s">
        <v>1599</v>
      </c>
    </row>
    <row r="240" ht="14.25" customHeight="1">
      <c r="B240" s="22">
        <v>0.5</v>
      </c>
      <c r="C240" s="22" t="b">
        <v>1</v>
      </c>
      <c r="G240" s="22" t="str">
        <f t="shared" si="13"/>
        <v>#NAME?</v>
      </c>
      <c r="H240" s="22">
        <f>MAXA(C239:C246)</f>
        <v>1</v>
      </c>
      <c r="I240" s="55" t="s">
        <v>1600</v>
      </c>
    </row>
    <row r="241" ht="14.25" customHeight="1">
      <c r="B241" s="22">
        <v>-2.0</v>
      </c>
      <c r="C241" s="22">
        <v>0.9</v>
      </c>
      <c r="G241" s="22" t="str">
        <f t="shared" si="13"/>
        <v>#NAME?</v>
      </c>
      <c r="H241" s="22">
        <f>MAX(B239:C246)</f>
        <v>15</v>
      </c>
      <c r="I241" s="52" t="s">
        <v>1601</v>
      </c>
    </row>
    <row r="242" ht="14.25" customHeight="1">
      <c r="B242" s="22" t="s">
        <v>1491</v>
      </c>
      <c r="C242" s="22" t="b">
        <v>0</v>
      </c>
      <c r="G242" s="22" t="str">
        <f t="shared" si="13"/>
        <v>#NAME?</v>
      </c>
      <c r="H242" s="22">
        <f>MAXA(B239:C246)</f>
        <v>15</v>
      </c>
      <c r="I242" s="52" t="s">
        <v>1601</v>
      </c>
    </row>
    <row r="243" ht="14.25" customHeight="1">
      <c r="B243" s="22">
        <v>10.0</v>
      </c>
      <c r="C243" s="22">
        <v>0.78</v>
      </c>
    </row>
    <row r="244" ht="14.25" customHeight="1">
      <c r="B244" s="22">
        <v>8.0</v>
      </c>
      <c r="C244" s="22">
        <v>0.95</v>
      </c>
    </row>
    <row r="245" ht="14.25" customHeight="1">
      <c r="B245" s="22">
        <v>15.0</v>
      </c>
      <c r="C245" s="22">
        <v>0.25</v>
      </c>
    </row>
    <row r="246" ht="14.25" customHeight="1">
      <c r="B246" s="22">
        <v>6.0</v>
      </c>
      <c r="C246" s="22">
        <v>0.6</v>
      </c>
    </row>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c r="B264" s="53" t="s">
        <v>1353</v>
      </c>
    </row>
    <row r="265" ht="14.25" customHeight="1"/>
    <row r="266" ht="14.25" customHeight="1"/>
    <row r="267" ht="14.25" customHeight="1">
      <c r="B267" s="48" t="s">
        <v>1602</v>
      </c>
      <c r="C267" s="49"/>
      <c r="D267" s="49"/>
      <c r="E267" s="49"/>
      <c r="F267" s="49"/>
      <c r="G267" s="49"/>
      <c r="H267" s="50"/>
      <c r="I267" s="51"/>
    </row>
    <row r="268" ht="14.25" customHeight="1">
      <c r="B268" s="43" t="s">
        <v>1603</v>
      </c>
      <c r="C268" s="44"/>
      <c r="D268" s="44"/>
      <c r="E268" s="44"/>
      <c r="F268" s="44"/>
      <c r="G268" s="44"/>
      <c r="H268" s="44"/>
      <c r="I268" s="45"/>
    </row>
    <row r="269" ht="14.25" customHeight="1"/>
    <row r="270" ht="14.25" customHeight="1">
      <c r="B270" s="48" t="s">
        <v>1604</v>
      </c>
      <c r="C270" s="49"/>
      <c r="D270" s="49"/>
      <c r="E270" s="49"/>
      <c r="F270" s="49"/>
      <c r="G270" s="49"/>
      <c r="H270" s="50"/>
      <c r="I270" s="51"/>
    </row>
    <row r="271" ht="14.25" customHeight="1">
      <c r="B271" s="43" t="s">
        <v>1605</v>
      </c>
      <c r="C271" s="44"/>
      <c r="D271" s="44"/>
      <c r="E271" s="44"/>
      <c r="F271" s="44"/>
      <c r="G271" s="44"/>
      <c r="H271" s="44"/>
      <c r="I271" s="45"/>
    </row>
    <row r="272" ht="14.25" customHeight="1"/>
    <row r="273" ht="14.25" customHeight="1">
      <c r="B273" s="40" t="s">
        <v>1340</v>
      </c>
      <c r="C273" s="40" t="s">
        <v>1340</v>
      </c>
      <c r="G273" s="40" t="s">
        <v>1447</v>
      </c>
      <c r="H273" s="40" t="s">
        <v>1342</v>
      </c>
      <c r="I273" s="40" t="s">
        <v>1343</v>
      </c>
    </row>
    <row r="274" ht="14.25" customHeight="1">
      <c r="B274" s="22">
        <v>0.3</v>
      </c>
      <c r="C274" s="22" t="s">
        <v>1381</v>
      </c>
      <c r="G274" s="22" t="str">
        <f t="shared" ref="G274:G277" si="14">_xludf.FORMULATEXT(H274)</f>
        <v>#NAME?</v>
      </c>
      <c r="H274" s="22">
        <f>MIN(C274:C281)</f>
        <v>0.25</v>
      </c>
      <c r="I274" s="55" t="s">
        <v>1606</v>
      </c>
    </row>
    <row r="275" ht="14.25" customHeight="1">
      <c r="B275" s="22">
        <v>0.5</v>
      </c>
      <c r="C275" s="22" t="b">
        <v>1</v>
      </c>
      <c r="G275" s="22" t="str">
        <f t="shared" si="14"/>
        <v>#NAME?</v>
      </c>
      <c r="H275" s="22">
        <f>MINA(C274:C281)</f>
        <v>0</v>
      </c>
      <c r="I275" s="55" t="s">
        <v>1607</v>
      </c>
    </row>
    <row r="276" ht="14.25" customHeight="1">
      <c r="B276" s="22">
        <v>-2.0</v>
      </c>
      <c r="C276" s="22">
        <v>0.9</v>
      </c>
      <c r="G276" s="22" t="str">
        <f t="shared" si="14"/>
        <v>#NAME?</v>
      </c>
      <c r="H276" s="22">
        <f>MIN(B274:C281)</f>
        <v>-2</v>
      </c>
      <c r="I276" s="52" t="s">
        <v>1608</v>
      </c>
    </row>
    <row r="277" ht="14.25" customHeight="1">
      <c r="B277" s="22" t="s">
        <v>1491</v>
      </c>
      <c r="C277" s="22" t="b">
        <v>0</v>
      </c>
      <c r="G277" s="22" t="str">
        <f t="shared" si="14"/>
        <v>#NAME?</v>
      </c>
      <c r="H277" s="22">
        <f>MINA(B274:C281)</f>
        <v>-2</v>
      </c>
      <c r="I277" s="52" t="s">
        <v>1608</v>
      </c>
    </row>
    <row r="278" ht="14.25" customHeight="1">
      <c r="B278" s="22">
        <v>10.0</v>
      </c>
      <c r="C278" s="22">
        <v>0.78</v>
      </c>
    </row>
    <row r="279" ht="14.25" customHeight="1">
      <c r="B279" s="22">
        <v>8.0</v>
      </c>
      <c r="C279" s="22">
        <v>0.95</v>
      </c>
    </row>
    <row r="280" ht="14.25" customHeight="1">
      <c r="B280" s="22">
        <v>15.0</v>
      </c>
      <c r="C280" s="22">
        <v>0.25</v>
      </c>
    </row>
    <row r="281" ht="14.25" customHeight="1">
      <c r="B281" s="22">
        <v>6.0</v>
      </c>
      <c r="C281" s="22">
        <v>0.6</v>
      </c>
    </row>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c r="B299" s="53" t="s">
        <v>1353</v>
      </c>
    </row>
    <row r="300" ht="14.25" customHeight="1"/>
    <row r="301" ht="14.25" customHeight="1">
      <c r="B301" s="48" t="s">
        <v>1609</v>
      </c>
      <c r="C301" s="49"/>
      <c r="D301" s="49"/>
      <c r="E301" s="49"/>
      <c r="F301" s="49"/>
      <c r="G301" s="49"/>
      <c r="H301" s="50"/>
      <c r="I301" s="51"/>
    </row>
    <row r="302" ht="14.25" customHeight="1">
      <c r="B302" s="43" t="s">
        <v>1610</v>
      </c>
      <c r="C302" s="44"/>
      <c r="D302" s="44"/>
      <c r="E302" s="44"/>
      <c r="F302" s="44"/>
      <c r="G302" s="44"/>
      <c r="H302" s="44"/>
      <c r="I302" s="45"/>
    </row>
    <row r="303" ht="14.25" customHeight="1"/>
    <row r="304" ht="14.25" customHeight="1">
      <c r="G304" s="40" t="s">
        <v>1447</v>
      </c>
      <c r="H304" s="40" t="s">
        <v>1342</v>
      </c>
      <c r="I304" s="40" t="s">
        <v>1343</v>
      </c>
    </row>
    <row r="305" ht="14.25" customHeight="1">
      <c r="G305" s="22" t="str">
        <f t="shared" ref="G305:G308" si="15">_xludf.FORMULATEXT(H305)</f>
        <v>#NAME?</v>
      </c>
      <c r="H305" s="22">
        <f>MOD(25, 8)</f>
        <v>1</v>
      </c>
      <c r="I305" s="55" t="s">
        <v>1611</v>
      </c>
    </row>
    <row r="306" ht="14.25" customHeight="1">
      <c r="G306" s="22" t="str">
        <f t="shared" si="15"/>
        <v>#NAME?</v>
      </c>
      <c r="H306" s="22">
        <f>MOD(25, -8)</f>
        <v>-7</v>
      </c>
      <c r="I306" s="55" t="s">
        <v>1612</v>
      </c>
    </row>
    <row r="307" ht="14.25" customHeight="1">
      <c r="G307" s="22" t="str">
        <f t="shared" si="15"/>
        <v>#NAME?</v>
      </c>
      <c r="H307" s="22">
        <f>MOD(-25, 8)</f>
        <v>7</v>
      </c>
      <c r="I307" s="52" t="s">
        <v>1613</v>
      </c>
    </row>
    <row r="308" ht="14.25" customHeight="1">
      <c r="G308" s="22" t="str">
        <f t="shared" si="15"/>
        <v>#NAME?</v>
      </c>
      <c r="H308" s="22">
        <f>MOD(-25, -8)</f>
        <v>-1</v>
      </c>
      <c r="I308" s="52" t="s">
        <v>1612</v>
      </c>
    </row>
    <row r="309" ht="14.25" customHeight="1">
      <c r="B309" s="53" t="s">
        <v>1353</v>
      </c>
    </row>
    <row r="310" ht="14.25" customHeight="1"/>
    <row r="311" ht="14.25" customHeight="1"/>
    <row r="312" ht="38.25" customHeight="1">
      <c r="B312" s="48" t="s">
        <v>1614</v>
      </c>
      <c r="C312" s="49"/>
      <c r="D312" s="49"/>
      <c r="E312" s="49"/>
      <c r="F312" s="49"/>
      <c r="G312" s="49"/>
      <c r="H312" s="50"/>
      <c r="I312" s="51"/>
    </row>
    <row r="313" ht="14.25" customHeight="1">
      <c r="B313" s="43" t="s">
        <v>1615</v>
      </c>
      <c r="C313" s="44"/>
      <c r="D313" s="44"/>
      <c r="E313" s="44"/>
      <c r="F313" s="44"/>
      <c r="G313" s="44"/>
      <c r="H313" s="44"/>
      <c r="I313" s="45"/>
    </row>
    <row r="314" ht="14.25" customHeight="1"/>
    <row r="315" ht="14.25" customHeight="1">
      <c r="B315" s="48" t="s">
        <v>1616</v>
      </c>
      <c r="C315" s="49"/>
      <c r="D315" s="49"/>
      <c r="E315" s="49"/>
      <c r="F315" s="49"/>
      <c r="G315" s="49"/>
      <c r="H315" s="50"/>
      <c r="I315" s="51"/>
    </row>
    <row r="316" ht="14.25" customHeight="1">
      <c r="B316" s="43" t="s">
        <v>1617</v>
      </c>
      <c r="C316" s="44"/>
      <c r="D316" s="44"/>
      <c r="E316" s="44"/>
      <c r="F316" s="44"/>
      <c r="G316" s="44"/>
      <c r="H316" s="44"/>
      <c r="I316" s="45"/>
    </row>
    <row r="317" ht="14.25" customHeight="1"/>
    <row r="318" ht="14.25" customHeight="1">
      <c r="G318" s="40" t="s">
        <v>1447</v>
      </c>
      <c r="H318" s="40" t="s">
        <v>1342</v>
      </c>
      <c r="I318" s="40" t="s">
        <v>1343</v>
      </c>
    </row>
    <row r="319" ht="14.25" customHeight="1">
      <c r="G319" s="22" t="str">
        <f t="shared" ref="G319:G323" si="16">_xludf.FORMULATEXT(H319)</f>
        <v>#NAME?</v>
      </c>
      <c r="H319" s="22">
        <f t="shared" ref="H319:H321" si="17">RAND()</f>
        <v>0.2199825923</v>
      </c>
      <c r="I319" s="55" t="s">
        <v>1618</v>
      </c>
    </row>
    <row r="320" ht="14.25" customHeight="1">
      <c r="G320" s="22" t="str">
        <f t="shared" si="16"/>
        <v>#NAME?</v>
      </c>
      <c r="H320" s="22">
        <f t="shared" si="17"/>
        <v>0.2196309668</v>
      </c>
      <c r="I320" s="55" t="s">
        <v>1618</v>
      </c>
    </row>
    <row r="321" ht="14.25" customHeight="1">
      <c r="G321" s="22" t="str">
        <f t="shared" si="16"/>
        <v>#NAME?</v>
      </c>
      <c r="H321" s="22">
        <f t="shared" si="17"/>
        <v>0.6441482741</v>
      </c>
      <c r="I321" s="52" t="s">
        <v>1618</v>
      </c>
    </row>
    <row r="322" ht="14.25" customHeight="1">
      <c r="G322" s="22" t="str">
        <f t="shared" si="16"/>
        <v>#NAME?</v>
      </c>
      <c r="H322" s="22">
        <f t="shared" ref="H322:H323" si="18">RANDBETWEEN(100, 200)</f>
        <v>171</v>
      </c>
      <c r="I322" s="52" t="s">
        <v>1619</v>
      </c>
    </row>
    <row r="323" ht="14.25" customHeight="1">
      <c r="G323" s="22" t="str">
        <f t="shared" si="16"/>
        <v>#NAME?</v>
      </c>
      <c r="H323" s="22">
        <f t="shared" si="18"/>
        <v>137</v>
      </c>
      <c r="I323" s="52" t="s">
        <v>1619</v>
      </c>
    </row>
    <row r="324" ht="14.25" customHeight="1">
      <c r="B324" s="57"/>
      <c r="C324" s="57"/>
      <c r="G324" s="22"/>
      <c r="H324" s="22">
        <f>RANDBETWEEN(10, 20)*10</f>
        <v>180</v>
      </c>
      <c r="I324" s="58" t="s">
        <v>1620</v>
      </c>
    </row>
    <row r="325" ht="14.25" customHeight="1">
      <c r="B325" s="53" t="s">
        <v>1353</v>
      </c>
      <c r="G325" s="22" t="str">
        <f>_xludf.FORMULATEXT(H325)</f>
        <v>#NAME?</v>
      </c>
      <c r="H325" s="22">
        <f>RANDBETWEEN(100, 200)</f>
        <v>152</v>
      </c>
      <c r="I325" s="52" t="s">
        <v>1619</v>
      </c>
    </row>
    <row r="326" ht="14.25" customHeight="1"/>
    <row r="327" ht="14.25" customHeight="1"/>
    <row r="328" ht="14.25" customHeight="1">
      <c r="B328" s="48" t="s">
        <v>1621</v>
      </c>
      <c r="C328" s="49"/>
      <c r="D328" s="49"/>
      <c r="E328" s="49"/>
      <c r="F328" s="49"/>
      <c r="G328" s="49"/>
      <c r="H328" s="50"/>
      <c r="I328" s="51"/>
    </row>
    <row r="329" ht="14.25" customHeight="1">
      <c r="B329" s="43" t="s">
        <v>1622</v>
      </c>
      <c r="C329" s="44"/>
      <c r="D329" s="44"/>
      <c r="E329" s="44"/>
      <c r="F329" s="44"/>
      <c r="G329" s="44"/>
      <c r="H329" s="44"/>
      <c r="I329" s="45"/>
    </row>
    <row r="330" ht="14.25" customHeight="1"/>
    <row r="331" ht="14.25" customHeight="1">
      <c r="G331" s="40" t="s">
        <v>1447</v>
      </c>
      <c r="H331" s="40" t="s">
        <v>1342</v>
      </c>
      <c r="I331" s="40" t="s">
        <v>1343</v>
      </c>
    </row>
    <row r="332" ht="14.25" customHeight="1">
      <c r="G332" s="22" t="str">
        <f t="shared" ref="G332:G335" si="19">_xludf.FORMULATEXT(H332)</f>
        <v>#NAME?</v>
      </c>
      <c r="H332" s="22">
        <f>SQRT(49)</f>
        <v>7</v>
      </c>
      <c r="I332" s="55" t="s">
        <v>1623</v>
      </c>
    </row>
    <row r="333" ht="14.25" customHeight="1">
      <c r="G333" s="22" t="str">
        <f t="shared" si="19"/>
        <v>#NAME?</v>
      </c>
      <c r="H333" s="22">
        <f>SQRT(625)</f>
        <v>25</v>
      </c>
      <c r="I333" s="55" t="s">
        <v>1624</v>
      </c>
    </row>
    <row r="334" ht="14.25" customHeight="1">
      <c r="G334" s="22" t="str">
        <f t="shared" si="19"/>
        <v>#NAME?</v>
      </c>
      <c r="H334" s="22">
        <f>SQRT(50)</f>
        <v>7.071067812</v>
      </c>
      <c r="I334" s="52" t="s">
        <v>1625</v>
      </c>
    </row>
    <row r="335" ht="14.25" customHeight="1">
      <c r="B335" s="53" t="s">
        <v>1353</v>
      </c>
      <c r="G335" s="22" t="str">
        <f t="shared" si="19"/>
        <v>#NAME?</v>
      </c>
      <c r="H335" s="22" t="str">
        <f>SQRT(-49)</f>
        <v>#NUM!</v>
      </c>
      <c r="I335" s="52" t="s">
        <v>1626</v>
      </c>
    </row>
    <row r="336" ht="14.25" customHeight="1"/>
    <row r="337" ht="14.25" customHeight="1"/>
    <row r="338" ht="14.25" customHeight="1">
      <c r="B338" s="48" t="s">
        <v>1627</v>
      </c>
      <c r="C338" s="49"/>
      <c r="D338" s="49"/>
      <c r="E338" s="49"/>
      <c r="F338" s="49"/>
      <c r="G338" s="49"/>
      <c r="H338" s="50"/>
      <c r="I338" s="51"/>
    </row>
    <row r="339" ht="14.25" customHeight="1">
      <c r="B339" s="43" t="s">
        <v>1628</v>
      </c>
      <c r="C339" s="44"/>
      <c r="D339" s="44"/>
      <c r="E339" s="44"/>
      <c r="F339" s="44"/>
      <c r="G339" s="44"/>
      <c r="H339" s="44"/>
      <c r="I339" s="45"/>
    </row>
    <row r="340" ht="14.25" customHeight="1"/>
    <row r="341" ht="57.0" customHeight="1">
      <c r="B341" s="59" t="s">
        <v>1629</v>
      </c>
      <c r="C341" s="59" t="s">
        <v>1630</v>
      </c>
      <c r="D341" s="40" t="s">
        <v>1631</v>
      </c>
    </row>
    <row r="342" ht="14.25" customHeight="1">
      <c r="B342" s="22">
        <v>1.0</v>
      </c>
      <c r="C342" s="22">
        <v>101.0</v>
      </c>
      <c r="D342" s="22" t="s">
        <v>1245</v>
      </c>
    </row>
    <row r="343" ht="14.25" customHeight="1">
      <c r="B343" s="22">
        <v>2.0</v>
      </c>
      <c r="C343" s="22">
        <v>102.0</v>
      </c>
      <c r="D343" s="22" t="s">
        <v>1266</v>
      </c>
    </row>
    <row r="344" ht="14.25" customHeight="1">
      <c r="B344" s="22">
        <v>3.0</v>
      </c>
      <c r="C344" s="22">
        <v>103.0</v>
      </c>
      <c r="D344" s="22" t="s">
        <v>1276</v>
      </c>
    </row>
    <row r="345" ht="14.25" customHeight="1">
      <c r="B345" s="22">
        <v>4.0</v>
      </c>
      <c r="C345" s="22">
        <v>104.0</v>
      </c>
      <c r="D345" s="22" t="s">
        <v>1324</v>
      </c>
    </row>
    <row r="346" ht="14.25" customHeight="1">
      <c r="B346" s="22">
        <v>5.0</v>
      </c>
      <c r="C346" s="22">
        <v>105.0</v>
      </c>
      <c r="D346" s="22" t="s">
        <v>1328</v>
      </c>
    </row>
    <row r="347" ht="14.25" customHeight="1">
      <c r="B347" s="22">
        <v>6.0</v>
      </c>
      <c r="C347" s="22">
        <v>106.0</v>
      </c>
      <c r="D347" s="22" t="s">
        <v>1632</v>
      </c>
    </row>
    <row r="348" ht="14.25" customHeight="1">
      <c r="B348" s="22">
        <v>7.0</v>
      </c>
      <c r="C348" s="22">
        <v>107.0</v>
      </c>
      <c r="D348" s="22" t="s">
        <v>1633</v>
      </c>
    </row>
    <row r="349" ht="14.25" customHeight="1">
      <c r="B349" s="22">
        <v>8.0</v>
      </c>
      <c r="C349" s="22">
        <v>108.0</v>
      </c>
      <c r="D349" s="22" t="s">
        <v>1634</v>
      </c>
    </row>
    <row r="350" ht="14.25" customHeight="1">
      <c r="B350" s="22">
        <v>9.0</v>
      </c>
      <c r="C350" s="22">
        <v>109.0</v>
      </c>
      <c r="D350" s="22" t="s">
        <v>1235</v>
      </c>
    </row>
    <row r="351" ht="14.25" customHeight="1">
      <c r="B351" s="22">
        <v>10.0</v>
      </c>
      <c r="C351" s="22">
        <v>110.0</v>
      </c>
      <c r="D351" s="22" t="s">
        <v>1635</v>
      </c>
    </row>
    <row r="352" ht="14.25" customHeight="1">
      <c r="B352" s="22">
        <v>11.0</v>
      </c>
      <c r="C352" s="22">
        <v>111.0</v>
      </c>
      <c r="D352" s="22" t="s">
        <v>1636</v>
      </c>
    </row>
    <row r="353" ht="14.25" customHeight="1"/>
    <row r="354" ht="14.25" customHeight="1"/>
    <row r="355" ht="14.25" customHeight="1">
      <c r="B355" s="40" t="s">
        <v>1340</v>
      </c>
      <c r="G355" s="40" t="s">
        <v>1447</v>
      </c>
      <c r="H355" s="40" t="s">
        <v>1342</v>
      </c>
      <c r="I355" s="40" t="s">
        <v>1343</v>
      </c>
    </row>
    <row r="356" ht="14.25" customHeight="1">
      <c r="B356" s="22">
        <v>15.0</v>
      </c>
      <c r="G356" s="22" t="str">
        <f t="shared" ref="G356:G359" si="20">_xludf.FORMULATEXT(H356)</f>
        <v>#NAME?</v>
      </c>
      <c r="H356" s="22">
        <f>SUBTOTAL(109, B356:B367)</f>
        <v>542</v>
      </c>
      <c r="I356" s="52" t="s">
        <v>1637</v>
      </c>
    </row>
    <row r="357" ht="14.25" customHeight="1">
      <c r="B357" s="22">
        <v>45.0</v>
      </c>
      <c r="G357" s="22" t="str">
        <f t="shared" si="20"/>
        <v>#NAME?</v>
      </c>
      <c r="H357" s="22">
        <f>SUBTOTAL(9, B356:B367)</f>
        <v>632</v>
      </c>
      <c r="I357" s="52" t="s">
        <v>1638</v>
      </c>
    </row>
    <row r="358" ht="14.25" customHeight="1">
      <c r="B358" s="22">
        <v>78.0</v>
      </c>
      <c r="G358" s="22" t="str">
        <f t="shared" si="20"/>
        <v>#NAME?</v>
      </c>
      <c r="H358" s="22">
        <f>SUBTOTAL(101, B356:B367)</f>
        <v>54.2</v>
      </c>
      <c r="I358" s="22" t="s">
        <v>1639</v>
      </c>
    </row>
    <row r="359" ht="14.25" customHeight="1">
      <c r="B359" s="22">
        <v>89.0</v>
      </c>
      <c r="G359" s="22" t="str">
        <f t="shared" si="20"/>
        <v>#NAME?</v>
      </c>
      <c r="H359" s="22">
        <f>SUBTOTAL(1, B356:B367)</f>
        <v>52.66666667</v>
      </c>
      <c r="I359" s="22" t="s">
        <v>1640</v>
      </c>
    </row>
    <row r="360" ht="14.25" customHeight="1">
      <c r="B360" s="22">
        <v>65.0</v>
      </c>
    </row>
    <row r="361" ht="14.25" customHeight="1">
      <c r="B361" s="22">
        <v>78.0</v>
      </c>
    </row>
    <row r="362" ht="14.25" customHeight="1">
      <c r="B362" s="22">
        <v>45.0</v>
      </c>
    </row>
    <row r="363" ht="14.25" hidden="1" customHeight="1">
      <c r="B363" s="22">
        <v>12.0</v>
      </c>
    </row>
    <row r="364" ht="14.25" hidden="1" customHeight="1">
      <c r="B364" s="22">
        <v>78.0</v>
      </c>
    </row>
    <row r="365" ht="14.25" customHeight="1">
      <c r="B365" s="22">
        <v>50.0</v>
      </c>
    </row>
    <row r="366" ht="14.25" customHeight="1">
      <c r="B366" s="22">
        <v>65.0</v>
      </c>
    </row>
    <row r="367" ht="14.25" customHeight="1">
      <c r="B367" s="22">
        <v>12.0</v>
      </c>
    </row>
    <row r="368" ht="14.25" customHeight="1"/>
    <row r="369" ht="14.25" customHeight="1">
      <c r="B369" s="53" t="s">
        <v>1353</v>
      </c>
    </row>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0">
    <mergeCell ref="B15:C15"/>
    <mergeCell ref="B33:C33"/>
    <mergeCell ref="B52:C52"/>
    <mergeCell ref="B72:C72"/>
    <mergeCell ref="B90:C90"/>
    <mergeCell ref="B107:C107"/>
    <mergeCell ref="B127:C127"/>
    <mergeCell ref="B264:C264"/>
    <mergeCell ref="B299:C299"/>
    <mergeCell ref="B309:C309"/>
    <mergeCell ref="B325:C325"/>
    <mergeCell ref="B335:C335"/>
    <mergeCell ref="B369:C369"/>
    <mergeCell ref="B141:C141"/>
    <mergeCell ref="B156:C156"/>
    <mergeCell ref="B166:C166"/>
    <mergeCell ref="B184:C184"/>
    <mergeCell ref="B199:C199"/>
    <mergeCell ref="B212:C212"/>
    <mergeCell ref="B229:C229"/>
  </mergeCells>
  <hyperlinks>
    <hyperlink r:id="rId1" ref="G1"/>
    <hyperlink display="Back to LIST OF FUNCTIONS" location="'LIST OF FUNCTIONS'!A1" ref="B15"/>
    <hyperlink display="Back to LIST OF FUNCTIONS" location="'LIST OF FUNCTIONS'!A1" ref="B33"/>
    <hyperlink display="Back to LIST OF FUNCTIONS" location="'LIST OF FUNCTIONS'!A1" ref="B52"/>
    <hyperlink display="Back to LIST OF FUNCTIONS" location="'LIST OF FUNCTIONS'!A1" ref="B72"/>
    <hyperlink display="Back to LIST OF FUNCTIONS" location="'LIST OF FUNCTIONS'!A1" ref="B90"/>
    <hyperlink display="Back to LIST OF FUNCTIONS" location="'LIST OF FUNCTIONS'!A1" ref="B107"/>
    <hyperlink display="Back to LIST OF FUNCTIONS" location="'LIST OF FUNCTIONS'!A1" ref="B127"/>
    <hyperlink display="Back to LIST OF FUNCTIONS" location="'LIST OF FUNCTIONS'!A1" ref="B141"/>
    <hyperlink display="Back to LIST OF FUNCTIONS" location="'LIST OF FUNCTIONS'!A1" ref="B156"/>
    <hyperlink display="Back to LIST OF FUNCTIONS" location="'LIST OF FUNCTIONS'!A1" ref="B166"/>
    <hyperlink display="Back to LIST OF FUNCTIONS" location="'LIST OF FUNCTIONS'!A1" ref="B184"/>
    <hyperlink display="Back to LIST OF FUNCTIONS" location="'LIST OF FUNCTIONS'!A1" ref="B199"/>
    <hyperlink display="Back to LIST OF FUNCTIONS" location="'LIST OF FUNCTIONS'!A1" ref="B212"/>
    <hyperlink display="Back to LIST OF FUNCTIONS" location="'LIST OF FUNCTIONS'!A1" ref="B229"/>
    <hyperlink display="Back to LIST OF FUNCTIONS" location="'LIST OF FUNCTIONS'!A1" ref="B264"/>
    <hyperlink display="Back to LIST OF FUNCTIONS" location="'LIST OF FUNCTIONS'!A1" ref="B299"/>
    <hyperlink display="Back to LIST OF FUNCTIONS" location="'LIST OF FUNCTIONS'!A1" ref="B309"/>
    <hyperlink display="Back to LIST OF FUNCTIONS" location="'LIST OF FUNCTIONS'!A1" ref="B325"/>
    <hyperlink display="Back to LIST OF FUNCTIONS" location="'LIST OF FUNCTIONS'!A1" ref="B335"/>
    <hyperlink display="Back to LIST OF FUNCTIONS" location="'LIST OF FUNCTIONS'!A1" ref="B36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6"/>
    <col customWidth="1" min="2" max="2" width="19.71"/>
    <col customWidth="1" min="3" max="5" width="1.71"/>
    <col customWidth="1" min="6" max="6" width="35.29"/>
    <col customWidth="1" min="7" max="7" width="22.57"/>
    <col customWidth="1" min="8" max="8" width="50.0"/>
    <col customWidth="1" min="9" max="26" width="8.71"/>
  </cols>
  <sheetData>
    <row r="1" ht="14.25" customHeight="1">
      <c r="A1" s="5"/>
      <c r="B1" s="5"/>
      <c r="C1" s="5"/>
      <c r="D1" s="5"/>
      <c r="E1" s="5"/>
      <c r="F1" s="5"/>
      <c r="G1" s="30" t="s">
        <v>1335</v>
      </c>
      <c r="H1" s="5"/>
      <c r="I1" s="5"/>
      <c r="J1" s="5"/>
      <c r="K1" s="5"/>
      <c r="L1" s="5"/>
      <c r="M1" s="5"/>
      <c r="N1" s="5"/>
      <c r="O1" s="5"/>
      <c r="P1" s="5"/>
      <c r="Q1" s="5"/>
      <c r="R1" s="5"/>
      <c r="S1" s="5"/>
      <c r="T1" s="5"/>
      <c r="U1" s="5"/>
      <c r="V1" s="5"/>
      <c r="W1" s="5"/>
      <c r="X1" s="5"/>
      <c r="Y1" s="5"/>
      <c r="Z1" s="5"/>
    </row>
    <row r="2">
      <c r="B2" s="48" t="s">
        <v>1641</v>
      </c>
      <c r="C2" s="49"/>
      <c r="D2" s="49"/>
      <c r="E2" s="49"/>
      <c r="F2" s="49"/>
      <c r="G2" s="50"/>
      <c r="H2" s="51"/>
    </row>
    <row r="3" ht="14.25" customHeight="1">
      <c r="B3" s="43" t="s">
        <v>1642</v>
      </c>
      <c r="C3" s="44"/>
      <c r="D3" s="44"/>
      <c r="E3" s="44"/>
      <c r="F3" s="44"/>
      <c r="G3" s="44"/>
      <c r="H3" s="45"/>
    </row>
    <row r="4" ht="14.25" customHeight="1"/>
    <row r="5" ht="14.25" customHeight="1">
      <c r="B5" s="40" t="s">
        <v>1643</v>
      </c>
      <c r="F5" s="40" t="s">
        <v>1447</v>
      </c>
      <c r="G5" s="40" t="s">
        <v>1342</v>
      </c>
      <c r="H5" s="40" t="s">
        <v>1343</v>
      </c>
    </row>
    <row r="6" ht="14.25" customHeight="1">
      <c r="B6" s="22" t="s">
        <v>1644</v>
      </c>
      <c r="F6" s="22" t="str">
        <f t="shared" ref="F6:F11" si="1">_xludf.FORMULATEXT(G6)</f>
        <v>#NAME?</v>
      </c>
      <c r="G6" s="22">
        <f>FIND("r", B6)</f>
        <v>3</v>
      </c>
      <c r="H6" s="22" t="s">
        <v>1645</v>
      </c>
    </row>
    <row r="7" ht="14.25" customHeight="1">
      <c r="F7" s="22" t="str">
        <f t="shared" si="1"/>
        <v>#NAME?</v>
      </c>
      <c r="G7" s="22">
        <f>FIND("r", B6, 1)</f>
        <v>3</v>
      </c>
      <c r="H7" s="22" t="s">
        <v>1645</v>
      </c>
    </row>
    <row r="8" ht="14.25" customHeight="1">
      <c r="F8" s="22" t="str">
        <f t="shared" si="1"/>
        <v>#NAME?</v>
      </c>
      <c r="G8" s="22">
        <f>FIND("r", B6, 2)</f>
        <v>3</v>
      </c>
      <c r="H8" s="52" t="s">
        <v>1646</v>
      </c>
    </row>
    <row r="9" ht="14.25" customHeight="1">
      <c r="F9" s="22" t="str">
        <f t="shared" si="1"/>
        <v>#NAME?</v>
      </c>
      <c r="G9" s="22">
        <f>FIND("r", B6, 3)</f>
        <v>3</v>
      </c>
      <c r="H9" s="22" t="s">
        <v>1647</v>
      </c>
    </row>
    <row r="10" ht="14.25" customHeight="1">
      <c r="F10" s="22" t="str">
        <f t="shared" si="1"/>
        <v>#NAME?</v>
      </c>
      <c r="G10" s="22">
        <f>FIND("r", B6, 4)</f>
        <v>14</v>
      </c>
      <c r="H10" s="22" t="s">
        <v>1648</v>
      </c>
    </row>
    <row r="11" ht="14.25" customHeight="1">
      <c r="F11" s="22" t="str">
        <f t="shared" si="1"/>
        <v>#NAME?</v>
      </c>
      <c r="G11" s="22">
        <f>FIND("R", B6)</f>
        <v>16</v>
      </c>
      <c r="H11" s="22" t="s">
        <v>1649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c r="B27" s="53" t="s">
        <v>1353</v>
      </c>
    </row>
    <row r="28" ht="14.25" customHeight="1"/>
    <row r="29">
      <c r="B29" s="48" t="s">
        <v>1650</v>
      </c>
      <c r="C29" s="49"/>
      <c r="D29" s="49"/>
      <c r="E29" s="49"/>
      <c r="F29" s="49"/>
      <c r="G29" s="50"/>
      <c r="H29" s="51"/>
    </row>
    <row r="30" ht="14.25" customHeight="1">
      <c r="B30" s="43" t="s">
        <v>1651</v>
      </c>
      <c r="C30" s="44"/>
      <c r="D30" s="44"/>
      <c r="E30" s="44"/>
      <c r="F30" s="44"/>
      <c r="G30" s="44"/>
      <c r="H30" s="45"/>
    </row>
    <row r="31" ht="14.25" customHeight="1"/>
    <row r="32" ht="14.25" customHeight="1">
      <c r="B32" s="40" t="s">
        <v>1643</v>
      </c>
      <c r="F32" s="40" t="s">
        <v>1447</v>
      </c>
      <c r="G32" s="40" t="s">
        <v>1342</v>
      </c>
      <c r="H32" s="40" t="s">
        <v>1343</v>
      </c>
    </row>
    <row r="33" ht="14.25" customHeight="1">
      <c r="B33" s="22" t="s">
        <v>1644</v>
      </c>
      <c r="F33" s="22" t="str">
        <f t="shared" ref="F33:F40" si="2">_xludf.FORMULATEXT(G33)</f>
        <v>#NAME?</v>
      </c>
      <c r="G33" s="22">
        <f>SEARCH("r", B33)</f>
        <v>3</v>
      </c>
      <c r="H33" s="22" t="s">
        <v>1645</v>
      </c>
    </row>
    <row r="34" ht="14.25" customHeight="1">
      <c r="B34" s="22" t="s">
        <v>1652</v>
      </c>
      <c r="F34" s="22" t="str">
        <f t="shared" si="2"/>
        <v>#NAME?</v>
      </c>
      <c r="G34" s="22">
        <f>SEARCH("r", B33, 1)</f>
        <v>3</v>
      </c>
      <c r="H34" s="22" t="s">
        <v>1645</v>
      </c>
    </row>
    <row r="35" ht="14.25" customHeight="1">
      <c r="B35" s="22" t="s">
        <v>1653</v>
      </c>
      <c r="F35" s="22" t="str">
        <f t="shared" si="2"/>
        <v>#NAME?</v>
      </c>
      <c r="G35" s="22">
        <f>SEARCH("r", B33, 2)</f>
        <v>3</v>
      </c>
      <c r="H35" s="52" t="s">
        <v>1646</v>
      </c>
    </row>
    <row r="36" ht="14.25" customHeight="1">
      <c r="F36" s="22" t="str">
        <f t="shared" si="2"/>
        <v>#NAME?</v>
      </c>
      <c r="G36" s="22">
        <f>SEARCH("r", B33, 3)</f>
        <v>3</v>
      </c>
      <c r="H36" s="22" t="s">
        <v>1647</v>
      </c>
    </row>
    <row r="37" ht="14.25" customHeight="1">
      <c r="F37" s="22" t="str">
        <f t="shared" si="2"/>
        <v>#NAME?</v>
      </c>
      <c r="G37" s="22">
        <f>SEARCH("r", B33, 4)</f>
        <v>14</v>
      </c>
      <c r="H37" s="22" t="s">
        <v>1648</v>
      </c>
    </row>
    <row r="38" ht="14.25" customHeight="1">
      <c r="F38" s="22" t="str">
        <f t="shared" si="2"/>
        <v>#NAME?</v>
      </c>
      <c r="G38" s="22">
        <f>SEARCH("R", B33)</f>
        <v>3</v>
      </c>
      <c r="H38" s="52" t="s">
        <v>1654</v>
      </c>
    </row>
    <row r="39" ht="14.25" customHeight="1">
      <c r="F39" s="22" t="str">
        <f t="shared" si="2"/>
        <v>#NAME?</v>
      </c>
      <c r="G39" s="22">
        <f>SEARCH(" ", B34)</f>
        <v>6</v>
      </c>
      <c r="H39" s="22" t="s">
        <v>1655</v>
      </c>
    </row>
    <row r="40" ht="14.25" customHeight="1">
      <c r="F40" s="22" t="str">
        <f t="shared" si="2"/>
        <v>#NAME?</v>
      </c>
      <c r="G40" s="22">
        <f>SEARCH("""",B35)</f>
        <v>5</v>
      </c>
      <c r="H40" s="22" t="s">
        <v>1656</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c r="B56" s="53" t="s">
        <v>1353</v>
      </c>
    </row>
    <row r="57" ht="14.25" customHeight="1"/>
    <row r="58" ht="14.25" customHeight="1"/>
    <row r="59">
      <c r="B59" s="48" t="s">
        <v>1657</v>
      </c>
      <c r="C59" s="49"/>
      <c r="D59" s="49"/>
      <c r="E59" s="49"/>
      <c r="F59" s="49"/>
      <c r="G59" s="50"/>
      <c r="H59" s="51"/>
    </row>
    <row r="60" ht="14.25" customHeight="1">
      <c r="B60" s="43" t="s">
        <v>1658</v>
      </c>
      <c r="C60" s="44"/>
      <c r="D60" s="44"/>
      <c r="E60" s="44"/>
      <c r="F60" s="44"/>
      <c r="G60" s="44"/>
      <c r="H60" s="45"/>
    </row>
    <row r="61" ht="14.25" customHeight="1"/>
    <row r="62" ht="14.25" customHeight="1">
      <c r="B62" s="40" t="s">
        <v>1643</v>
      </c>
      <c r="F62" s="40" t="s">
        <v>1447</v>
      </c>
      <c r="G62" s="40" t="s">
        <v>1342</v>
      </c>
      <c r="H62" s="40" t="s">
        <v>1343</v>
      </c>
    </row>
    <row r="63" ht="14.25" customHeight="1">
      <c r="B63" s="22" t="s">
        <v>1659</v>
      </c>
      <c r="F63" s="22" t="str">
        <f t="shared" ref="F63:F66" si="3">_xludf.FORMULATEXT(G63)</f>
        <v>#NAME?</v>
      </c>
      <c r="G63" s="22" t="str">
        <f>SUBSTITUTE(B63, "Sold", "Bought")</f>
        <v>Quantity Bought Bought</v>
      </c>
      <c r="H63" s="22" t="s">
        <v>1660</v>
      </c>
    </row>
    <row r="64" ht="14.25" customHeight="1">
      <c r="B64" s="22" t="s">
        <v>1661</v>
      </c>
      <c r="F64" s="22" t="str">
        <f t="shared" si="3"/>
        <v>#NAME?</v>
      </c>
      <c r="G64" s="22" t="str">
        <f>SUBSTITUTE(B63, "Sold", "Bought", 1)</f>
        <v>Quantity Bought Sold</v>
      </c>
      <c r="H64" s="22" t="s">
        <v>1662</v>
      </c>
    </row>
    <row r="65" ht="14.25" customHeight="1">
      <c r="B65" s="22" t="s">
        <v>1663</v>
      </c>
      <c r="F65" s="22" t="str">
        <f t="shared" si="3"/>
        <v>#NAME?</v>
      </c>
      <c r="G65" s="22" t="str">
        <f>SUBSTITUTE(B63, "Sold", "Bought", 2)</f>
        <v>Quantity Sold Bought</v>
      </c>
      <c r="H65" s="22" t="s">
        <v>1664</v>
      </c>
    </row>
    <row r="66" ht="14.25" customHeight="1">
      <c r="F66" s="22" t="str">
        <f t="shared" si="3"/>
        <v>#NAME?</v>
      </c>
      <c r="G66" s="22" t="str">
        <f>SUBSTITUTE(B64, "08", "13")</f>
        <v>Year 2013</v>
      </c>
      <c r="H66" s="22" t="s">
        <v>1665</v>
      </c>
    </row>
    <row r="67" ht="14.25" customHeight="1"/>
    <row r="68" ht="14.25" customHeight="1">
      <c r="B68" s="53" t="s">
        <v>1353</v>
      </c>
    </row>
    <row r="69" ht="14.25" customHeight="1"/>
    <row r="70">
      <c r="B70" s="48" t="s">
        <v>1666</v>
      </c>
      <c r="C70" s="49"/>
      <c r="D70" s="49"/>
      <c r="E70" s="49"/>
      <c r="F70" s="49"/>
      <c r="G70" s="50"/>
      <c r="H70" s="51"/>
    </row>
    <row r="71" ht="14.25" customHeight="1">
      <c r="B71" s="43" t="s">
        <v>1667</v>
      </c>
      <c r="C71" s="44"/>
      <c r="D71" s="44"/>
      <c r="E71" s="44"/>
      <c r="F71" s="44"/>
      <c r="G71" s="44"/>
      <c r="H71" s="45"/>
    </row>
    <row r="72" ht="14.25" customHeight="1"/>
    <row r="73" ht="14.25" customHeight="1">
      <c r="B73" s="40" t="s">
        <v>1643</v>
      </c>
      <c r="F73" s="40" t="s">
        <v>1447</v>
      </c>
      <c r="G73" s="40" t="s">
        <v>1342</v>
      </c>
      <c r="H73" s="40" t="s">
        <v>1343</v>
      </c>
    </row>
    <row r="74" ht="14.25" customHeight="1">
      <c r="B74" s="22" t="s">
        <v>1668</v>
      </c>
      <c r="F74" s="22" t="str">
        <f t="shared" ref="F74:F81" si="4">_xludf.FORMULATEXT(G74)</f>
        <v>#NAME?</v>
      </c>
      <c r="G74" s="22" t="str">
        <f>REPLACE(B74, 9, 1, "Kawser")</f>
        <v>Marissa Kawserhan</v>
      </c>
      <c r="H74" s="22" t="s">
        <v>1669</v>
      </c>
    </row>
    <row r="75" ht="14.25" customHeight="1">
      <c r="B75" s="22">
        <v>2015.0</v>
      </c>
      <c r="F75" s="22" t="str">
        <f t="shared" si="4"/>
        <v>#NAME?</v>
      </c>
      <c r="G75" s="22" t="str">
        <f>REPLACE(B74, 9, 2, "Kawser")</f>
        <v>Marissa Kawseran</v>
      </c>
      <c r="H75" s="22" t="s">
        <v>1670</v>
      </c>
    </row>
    <row r="76" ht="14.25" customHeight="1">
      <c r="B76" s="22">
        <v>9.87654321E9</v>
      </c>
      <c r="F76" s="22" t="str">
        <f t="shared" si="4"/>
        <v>#NAME?</v>
      </c>
      <c r="G76" s="22" t="str">
        <f>REPLACE(B74, 9, 3, "Kawser")</f>
        <v>Marissa Kawsern</v>
      </c>
      <c r="H76" s="22" t="s">
        <v>1671</v>
      </c>
    </row>
    <row r="77" ht="14.25" customHeight="1">
      <c r="F77" s="22" t="str">
        <f t="shared" si="4"/>
        <v>#NAME?</v>
      </c>
      <c r="G77" s="22" t="str">
        <f>REPLACE(B74, 9, 4, "Kawser")</f>
        <v>Marissa Kawser</v>
      </c>
      <c r="H77" s="52" t="s">
        <v>1672</v>
      </c>
    </row>
    <row r="78" ht="14.25" customHeight="1">
      <c r="F78" s="22" t="str">
        <f t="shared" si="4"/>
        <v>#NAME?</v>
      </c>
      <c r="G78" s="22" t="str">
        <f>REPLACE(B74, 1, 1, "Kawser")</f>
        <v>Kawserarissa Khan</v>
      </c>
      <c r="H78" s="22" t="s">
        <v>1673</v>
      </c>
    </row>
    <row r="79" ht="14.25" customHeight="1">
      <c r="F79" s="22" t="str">
        <f t="shared" si="4"/>
        <v>#NAME?</v>
      </c>
      <c r="G79" s="22" t="str">
        <f>REPLACE(B74, 2, 2, "Kawser")</f>
        <v>MKawserissa Khan</v>
      </c>
      <c r="H79" s="22" t="s">
        <v>1673</v>
      </c>
    </row>
    <row r="80" ht="14.25" customHeight="1">
      <c r="F80" s="22" t="str">
        <f t="shared" si="4"/>
        <v>#NAME?</v>
      </c>
      <c r="G80" s="22" t="str">
        <f>REPLACE(B74, 3, 3, "Kawser")</f>
        <v>MaKawsersa Khan</v>
      </c>
      <c r="H80" s="22" t="s">
        <v>1673</v>
      </c>
    </row>
    <row r="81" ht="14.25" customHeight="1">
      <c r="B81" s="53" t="s">
        <v>1353</v>
      </c>
      <c r="F81" s="22" t="str">
        <f t="shared" si="4"/>
        <v>#NAME?</v>
      </c>
      <c r="G81" s="22" t="str">
        <f>REPLACE(B74, 4, 4, "Kawser")</f>
        <v>MarKawser Khan</v>
      </c>
      <c r="H81" s="22" t="s">
        <v>1673</v>
      </c>
    </row>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7:C27"/>
    <mergeCell ref="B56:C56"/>
    <mergeCell ref="B68:C68"/>
    <mergeCell ref="B81:C81"/>
  </mergeCells>
  <hyperlinks>
    <hyperlink r:id="rId1" ref="G1"/>
    <hyperlink display="Back to LIST OF FUNCTIONS" location="'LIST OF FUNCTIONS'!A1" ref="B27"/>
    <hyperlink display="Back to LIST OF FUNCTIONS" location="'LIST OF FUNCTIONS'!A1" ref="B56"/>
    <hyperlink display="Back to LIST OF FUNCTIONS" location="'LIST OF FUNCTIONS'!A1" ref="B68"/>
    <hyperlink display="Back to LIST OF FUNCTIONS" location="'LIST OF FUNCTIONS'!A1" ref="B81"/>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6"/>
    <col customWidth="1" min="2" max="2" width="12.57"/>
    <col customWidth="1" min="3" max="3" width="12.0"/>
    <col customWidth="1" min="4" max="4" width="12.57"/>
    <col customWidth="1" min="5" max="5" width="10.0"/>
    <col customWidth="1" min="6" max="6" width="12.29"/>
    <col customWidth="1" min="7" max="7" width="3.29"/>
    <col customWidth="1" min="8" max="8" width="38.14"/>
    <col customWidth="1" min="9" max="9" width="11.57"/>
    <col customWidth="1" min="10" max="10" width="54.14"/>
    <col customWidth="1" min="11" max="26" width="8.71"/>
  </cols>
  <sheetData>
    <row r="1" ht="14.25" customHeight="1">
      <c r="H1" s="30" t="s">
        <v>1335</v>
      </c>
    </row>
    <row r="2" ht="14.25" customHeight="1">
      <c r="B2" s="48" t="s">
        <v>1674</v>
      </c>
      <c r="C2" s="49"/>
      <c r="D2" s="49"/>
      <c r="E2" s="49"/>
      <c r="F2" s="49"/>
      <c r="G2" s="49"/>
      <c r="H2" s="49"/>
      <c r="I2" s="49"/>
      <c r="J2" s="60"/>
    </row>
    <row r="3" ht="14.25" customHeight="1">
      <c r="B3" s="43" t="s">
        <v>1675</v>
      </c>
      <c r="C3" s="44"/>
      <c r="D3" s="44"/>
      <c r="E3" s="44"/>
      <c r="F3" s="44"/>
      <c r="G3" s="44"/>
      <c r="H3" s="44"/>
      <c r="I3" s="44"/>
      <c r="J3" s="45"/>
    </row>
    <row r="4" ht="14.25" customHeight="1"/>
    <row r="5" ht="14.25" customHeight="1">
      <c r="B5" s="40" t="s">
        <v>1676</v>
      </c>
      <c r="C5" s="61" t="s">
        <v>1677</v>
      </c>
      <c r="D5" s="62"/>
      <c r="E5" s="63"/>
      <c r="F5" s="63"/>
    </row>
    <row r="6" ht="74.25" customHeight="1">
      <c r="B6" s="64" t="s">
        <v>1678</v>
      </c>
      <c r="C6" s="65" t="s">
        <v>1679</v>
      </c>
      <c r="D6" s="66"/>
      <c r="E6" s="66"/>
      <c r="F6" s="67"/>
      <c r="G6" s="68"/>
    </row>
    <row r="7" ht="74.25" customHeight="1">
      <c r="B7" s="64">
        <v>0.0</v>
      </c>
      <c r="C7" s="65" t="s">
        <v>1680</v>
      </c>
      <c r="D7" s="66"/>
      <c r="E7" s="66"/>
      <c r="F7" s="67"/>
      <c r="G7" s="68"/>
    </row>
    <row r="8" ht="74.25" customHeight="1">
      <c r="B8" s="64">
        <v>-1.0</v>
      </c>
      <c r="C8" s="65" t="s">
        <v>1681</v>
      </c>
      <c r="D8" s="66"/>
      <c r="E8" s="66"/>
      <c r="F8" s="67"/>
      <c r="G8" s="68"/>
    </row>
    <row r="9" ht="14.25" customHeight="1"/>
    <row r="10" ht="14.25" customHeight="1">
      <c r="B10" s="40" t="s">
        <v>1484</v>
      </c>
      <c r="C10" s="59" t="s">
        <v>1682</v>
      </c>
      <c r="D10" s="59" t="s">
        <v>1683</v>
      </c>
      <c r="E10" s="59" t="s">
        <v>1684</v>
      </c>
      <c r="H10" s="40" t="s">
        <v>1447</v>
      </c>
      <c r="I10" s="59" t="s">
        <v>1342</v>
      </c>
      <c r="J10" s="59" t="s">
        <v>1343</v>
      </c>
    </row>
    <row r="11" ht="14.25" customHeight="1">
      <c r="B11" s="22" t="s">
        <v>1363</v>
      </c>
      <c r="C11" s="22">
        <v>35.0</v>
      </c>
      <c r="D11" s="22">
        <v>45.0</v>
      </c>
      <c r="E11" s="22">
        <v>25.0</v>
      </c>
      <c r="H11" s="22" t="str">
        <f t="shared" ref="H11:H15" si="1">_xludf.FORMULATEXT(I11)</f>
        <v>#NAME?</v>
      </c>
      <c r="I11" s="22">
        <f>MATCH(41, C11:C14, 1)</f>
        <v>3</v>
      </c>
      <c r="J11" s="52" t="s">
        <v>1685</v>
      </c>
    </row>
    <row r="12" ht="14.25" customHeight="1">
      <c r="B12" s="22" t="s">
        <v>1344</v>
      </c>
      <c r="C12" s="22">
        <v>38.0</v>
      </c>
      <c r="D12" s="22">
        <v>40.0</v>
      </c>
      <c r="E12" s="22">
        <v>30.0</v>
      </c>
      <c r="H12" s="22" t="str">
        <f t="shared" si="1"/>
        <v>#NAME?</v>
      </c>
      <c r="I12" s="22" t="str">
        <f>MATCH(41, C11:C14, 0)</f>
        <v>#N/A</v>
      </c>
      <c r="J12" s="22" t="s">
        <v>1686</v>
      </c>
    </row>
    <row r="13" ht="14.25" customHeight="1">
      <c r="B13" s="22" t="s">
        <v>1495</v>
      </c>
      <c r="C13" s="22">
        <v>40.0</v>
      </c>
      <c r="D13" s="22">
        <v>38.0</v>
      </c>
      <c r="E13" s="22">
        <v>28.0</v>
      </c>
      <c r="H13" s="22" t="str">
        <f t="shared" si="1"/>
        <v>#NAME?</v>
      </c>
      <c r="I13" s="22" t="str">
        <f>MATCH(41, C11:C14, -1)</f>
        <v>#N/A</v>
      </c>
      <c r="J13" s="52" t="s">
        <v>1687</v>
      </c>
    </row>
    <row r="14" ht="55.5" customHeight="1">
      <c r="B14" s="22" t="s">
        <v>1688</v>
      </c>
      <c r="C14" s="22">
        <v>45.0</v>
      </c>
      <c r="D14" s="22">
        <v>35.0</v>
      </c>
      <c r="E14" s="22">
        <v>15.0</v>
      </c>
      <c r="H14" s="22" t="str">
        <f t="shared" si="1"/>
        <v>#NAME?</v>
      </c>
      <c r="I14" s="22">
        <f>MATCH(41, D11:D14, -1)</f>
        <v>1</v>
      </c>
      <c r="J14" s="52" t="s">
        <v>1689</v>
      </c>
    </row>
    <row r="15" ht="14.25" customHeight="1">
      <c r="H15" s="22" t="str">
        <f t="shared" si="1"/>
        <v>#NAME?</v>
      </c>
      <c r="I15" s="22">
        <f>MATCH(28, E11:E14, 0)</f>
        <v>3</v>
      </c>
      <c r="J15" s="52" t="s">
        <v>1690</v>
      </c>
    </row>
    <row r="16" ht="14.25" customHeight="1">
      <c r="B16" s="53" t="s">
        <v>1353</v>
      </c>
    </row>
    <row r="17" ht="14.25" customHeight="1"/>
    <row r="18" ht="14.25" customHeight="1">
      <c r="B18" s="48" t="s">
        <v>1691</v>
      </c>
      <c r="C18" s="49"/>
      <c r="D18" s="49"/>
      <c r="E18" s="49"/>
      <c r="F18" s="49"/>
      <c r="G18" s="49"/>
      <c r="H18" s="49"/>
      <c r="I18" s="49"/>
      <c r="J18" s="60"/>
    </row>
    <row r="19" ht="14.25" customHeight="1">
      <c r="B19" s="43" t="s">
        <v>1692</v>
      </c>
      <c r="C19" s="44"/>
      <c r="D19" s="44"/>
      <c r="E19" s="44"/>
      <c r="F19" s="44"/>
      <c r="G19" s="44"/>
      <c r="H19" s="44"/>
      <c r="I19" s="44"/>
      <c r="J19" s="45"/>
    </row>
    <row r="20" ht="14.25" customHeight="1"/>
    <row r="21" ht="14.25" customHeight="1">
      <c r="B21" s="40" t="s">
        <v>1693</v>
      </c>
      <c r="C21" s="59" t="s">
        <v>1694</v>
      </c>
      <c r="D21" s="59" t="s">
        <v>1695</v>
      </c>
      <c r="E21" s="59" t="s">
        <v>1696</v>
      </c>
      <c r="H21" s="40" t="s">
        <v>1447</v>
      </c>
      <c r="I21" s="59" t="s">
        <v>1342</v>
      </c>
      <c r="J21" s="59" t="s">
        <v>1343</v>
      </c>
    </row>
    <row r="22" ht="14.25" customHeight="1">
      <c r="B22" s="22" t="s">
        <v>1697</v>
      </c>
      <c r="C22" s="22">
        <v>10.0</v>
      </c>
      <c r="D22" s="22">
        <v>200.0</v>
      </c>
      <c r="E22" s="22" t="s">
        <v>1698</v>
      </c>
      <c r="H22" s="22" t="str">
        <f t="shared" ref="H22:H25" si="2">_xludf.FORMULATEXT(I22)</f>
        <v>#NAME?</v>
      </c>
      <c r="I22" s="22">
        <f>LOOKUP("A003", B22:B27, D22:D27)</f>
        <v>300</v>
      </c>
      <c r="J22" s="52" t="s">
        <v>1699</v>
      </c>
    </row>
    <row r="23" ht="14.25" customHeight="1">
      <c r="B23" s="22" t="s">
        <v>1700</v>
      </c>
      <c r="C23" s="22">
        <v>20.0</v>
      </c>
      <c r="D23" s="22">
        <v>500.0</v>
      </c>
      <c r="E23" s="22" t="s">
        <v>1698</v>
      </c>
      <c r="H23" s="22" t="str">
        <f t="shared" si="2"/>
        <v>#NAME?</v>
      </c>
      <c r="I23" s="22">
        <f>LOOKUP(20, C22:C27, D22:D27)</f>
        <v>500</v>
      </c>
      <c r="J23" s="52" t="s">
        <v>1701</v>
      </c>
    </row>
    <row r="24" ht="14.25" customHeight="1">
      <c r="B24" s="22" t="s">
        <v>1702</v>
      </c>
      <c r="C24" s="22">
        <v>30.0</v>
      </c>
      <c r="D24" s="22">
        <v>300.0</v>
      </c>
      <c r="E24" s="22" t="s">
        <v>1698</v>
      </c>
      <c r="H24" s="22" t="str">
        <f t="shared" si="2"/>
        <v>#NAME?</v>
      </c>
      <c r="I24" s="22">
        <f>LOOKUP(25, C22:C27, D22:D27)</f>
        <v>500</v>
      </c>
      <c r="J24" s="52" t="s">
        <v>1703</v>
      </c>
    </row>
    <row r="25" ht="14.25" customHeight="1">
      <c r="B25" s="22" t="s">
        <v>1704</v>
      </c>
      <c r="C25" s="22">
        <v>40.0</v>
      </c>
      <c r="D25" s="22">
        <v>150.0</v>
      </c>
      <c r="E25" s="22" t="s">
        <v>1698</v>
      </c>
      <c r="H25" s="22" t="str">
        <f t="shared" si="2"/>
        <v>#NAME?</v>
      </c>
      <c r="I25" s="22" t="str">
        <f>LOOKUP(5, C22:C27, D22:D27)</f>
        <v>#N/A</v>
      </c>
      <c r="J25" s="52" t="s">
        <v>1705</v>
      </c>
    </row>
    <row r="26" ht="14.25" customHeight="1">
      <c r="B26" s="22" t="s">
        <v>1706</v>
      </c>
      <c r="C26" s="22">
        <v>50.0</v>
      </c>
      <c r="D26" s="22">
        <v>225.0</v>
      </c>
      <c r="E26" s="22"/>
      <c r="H26" s="22"/>
      <c r="I26" s="22"/>
      <c r="J26" s="52"/>
    </row>
    <row r="27" ht="14.25" customHeight="1">
      <c r="B27" s="22" t="s">
        <v>1707</v>
      </c>
      <c r="C27" s="22">
        <v>60.0</v>
      </c>
      <c r="D27" s="22">
        <v>525.0</v>
      </c>
      <c r="E27" s="22"/>
    </row>
    <row r="28" ht="14.25" customHeight="1"/>
    <row r="29" ht="14.25" customHeight="1"/>
    <row r="30" ht="14.25" customHeight="1"/>
    <row r="31" ht="14.25" customHeight="1"/>
    <row r="32" ht="14.25" customHeight="1"/>
    <row r="33" ht="14.25" customHeight="1"/>
    <row r="34" ht="14.25" customHeight="1"/>
    <row r="35" ht="14.25" customHeight="1"/>
    <row r="36" ht="14.25" customHeight="1">
      <c r="B36" s="53" t="s">
        <v>1353</v>
      </c>
    </row>
    <row r="37" ht="14.25" customHeight="1"/>
    <row r="38">
      <c r="B38" s="48" t="s">
        <v>1708</v>
      </c>
      <c r="C38" s="49"/>
      <c r="D38" s="49"/>
      <c r="E38" s="49"/>
      <c r="F38" s="49"/>
      <c r="G38" s="49"/>
      <c r="H38" s="49"/>
      <c r="I38" s="49"/>
      <c r="J38" s="60"/>
    </row>
    <row r="39" ht="14.25" customHeight="1">
      <c r="B39" s="43" t="s">
        <v>1709</v>
      </c>
      <c r="C39" s="44"/>
      <c r="D39" s="44"/>
      <c r="E39" s="44"/>
      <c r="F39" s="44"/>
      <c r="G39" s="44"/>
      <c r="H39" s="44"/>
      <c r="I39" s="44"/>
      <c r="J39" s="45"/>
    </row>
    <row r="40" ht="14.25" customHeight="1"/>
    <row r="41" ht="14.25" customHeight="1">
      <c r="B41" s="40" t="s">
        <v>1710</v>
      </c>
      <c r="C41" s="40" t="s">
        <v>1711</v>
      </c>
      <c r="D41" s="59" t="s">
        <v>1712</v>
      </c>
      <c r="E41" s="59" t="s">
        <v>1713</v>
      </c>
      <c r="H41" s="40" t="s">
        <v>1447</v>
      </c>
      <c r="I41" s="59" t="s">
        <v>1342</v>
      </c>
      <c r="J41" s="59" t="s">
        <v>1343</v>
      </c>
    </row>
    <row r="42" ht="14.25" customHeight="1">
      <c r="B42" s="22" t="s">
        <v>1714</v>
      </c>
      <c r="C42" s="22">
        <v>4.0</v>
      </c>
      <c r="D42" s="22">
        <v>7.0</v>
      </c>
      <c r="E42" s="22">
        <v>9.0</v>
      </c>
      <c r="H42" s="22" t="str">
        <f t="shared" ref="H42:H44" si="3">_xludf.FORMULATEXT(I42)</f>
        <v>#NAME?</v>
      </c>
      <c r="I42" s="22">
        <f>HLOOKUP("Axles", B41:E44, 2, TRUE)</f>
        <v>4</v>
      </c>
      <c r="J42" s="52" t="s">
        <v>1715</v>
      </c>
    </row>
    <row r="43" ht="14.25" customHeight="1">
      <c r="B43" s="22" t="s">
        <v>1716</v>
      </c>
      <c r="C43" s="22">
        <v>5.0</v>
      </c>
      <c r="D43" s="22">
        <v>8.0</v>
      </c>
      <c r="E43" s="22">
        <v>10.0</v>
      </c>
      <c r="H43" s="22" t="str">
        <f t="shared" si="3"/>
        <v>#NAME?</v>
      </c>
      <c r="I43" s="22">
        <f>HLOOKUP("Bearings", C41:E44, 3, FALSE)</f>
        <v>8</v>
      </c>
      <c r="J43" s="52" t="s">
        <v>1717</v>
      </c>
    </row>
    <row r="44" ht="14.25" customHeight="1">
      <c r="B44" s="22" t="s">
        <v>1718</v>
      </c>
      <c r="C44" s="22">
        <v>6.0</v>
      </c>
      <c r="D44" s="22">
        <v>9.0</v>
      </c>
      <c r="E44" s="22">
        <v>11.0</v>
      </c>
      <c r="H44" s="22" t="str">
        <f t="shared" si="3"/>
        <v>#NAME?</v>
      </c>
      <c r="I44" s="22">
        <f>HLOOKUP("B", B41:E44, 3, TRUE)</f>
        <v>5</v>
      </c>
      <c r="J44" s="52" t="s">
        <v>1719</v>
      </c>
    </row>
    <row r="45" ht="14.25" customHeight="1"/>
    <row r="46" ht="14.25" customHeight="1"/>
    <row r="47" ht="14.25" customHeight="1"/>
    <row r="48" ht="14.25" customHeight="1"/>
    <row r="49" ht="14.25" customHeight="1"/>
    <row r="50" ht="14.25" customHeight="1"/>
    <row r="51" ht="14.25" customHeight="1"/>
    <row r="52" ht="14.25" customHeight="1">
      <c r="B52" s="53" t="s">
        <v>1353</v>
      </c>
    </row>
    <row r="53" ht="14.25" customHeight="1"/>
    <row r="54" ht="14.25" customHeight="1"/>
    <row r="55" ht="24.0" customHeight="1">
      <c r="B55" s="48" t="s">
        <v>1720</v>
      </c>
      <c r="C55" s="49"/>
      <c r="D55" s="49"/>
      <c r="E55" s="49"/>
      <c r="F55" s="49"/>
      <c r="G55" s="49"/>
      <c r="H55" s="49"/>
      <c r="I55" s="49"/>
      <c r="J55" s="60"/>
    </row>
    <row r="56" ht="14.25" customHeight="1">
      <c r="B56" s="43" t="s">
        <v>1721</v>
      </c>
      <c r="C56" s="44"/>
      <c r="D56" s="44"/>
      <c r="E56" s="44"/>
      <c r="F56" s="44"/>
      <c r="G56" s="44"/>
      <c r="H56" s="44"/>
      <c r="I56" s="44"/>
      <c r="J56" s="45"/>
    </row>
    <row r="57" ht="14.25" customHeight="1"/>
    <row r="58" ht="14.25" customHeight="1">
      <c r="B58" s="40" t="s">
        <v>1722</v>
      </c>
      <c r="C58" s="40" t="s">
        <v>1723</v>
      </c>
      <c r="D58" s="59" t="s">
        <v>1724</v>
      </c>
      <c r="E58" s="59" t="s">
        <v>1725</v>
      </c>
      <c r="F58" s="40" t="s">
        <v>1726</v>
      </c>
      <c r="H58" s="40" t="s">
        <v>1447</v>
      </c>
      <c r="I58" s="59" t="s">
        <v>1342</v>
      </c>
      <c r="J58" s="59" t="s">
        <v>1343</v>
      </c>
    </row>
    <row r="59" ht="14.25" customHeight="1">
      <c r="B59" s="22">
        <v>101.0</v>
      </c>
      <c r="C59" s="22" t="s">
        <v>1727</v>
      </c>
      <c r="D59" s="22" t="s">
        <v>1728</v>
      </c>
      <c r="E59" s="22" t="s">
        <v>1729</v>
      </c>
      <c r="F59" s="46">
        <v>25062.0</v>
      </c>
      <c r="G59" s="69"/>
      <c r="H59" s="22" t="str">
        <f t="shared" ref="H59:H62" si="4">_xludf.FORMULATEXT(I59)</f>
        <v>#NAME?</v>
      </c>
      <c r="I59" s="22" t="str">
        <f>VLOOKUP("Leal", C59:F64, 3, FALSE)</f>
        <v>Sales Rep.</v>
      </c>
      <c r="J59" s="52" t="s">
        <v>1730</v>
      </c>
    </row>
    <row r="60" ht="14.25" customHeight="1">
      <c r="B60" s="22">
        <v>105.0</v>
      </c>
      <c r="C60" s="22" t="s">
        <v>1731</v>
      </c>
      <c r="D60" s="22" t="s">
        <v>1732</v>
      </c>
      <c r="E60" s="22" t="s">
        <v>1733</v>
      </c>
      <c r="F60" s="46">
        <v>19043.0</v>
      </c>
      <c r="H60" s="22" t="str">
        <f t="shared" si="4"/>
        <v>#NAME?</v>
      </c>
      <c r="I60" s="46">
        <f>VLOOKUP(111, B59:F64, 5, FALSE)</f>
        <v>21447</v>
      </c>
      <c r="J60" s="52" t="s">
        <v>1734</v>
      </c>
    </row>
    <row r="61" ht="14.25" customHeight="1">
      <c r="B61" s="22">
        <v>108.0</v>
      </c>
      <c r="C61" s="22" t="s">
        <v>1735</v>
      </c>
      <c r="D61" s="22" t="s">
        <v>1736</v>
      </c>
      <c r="E61" s="22" t="s">
        <v>1729</v>
      </c>
      <c r="F61" s="46">
        <v>23253.0</v>
      </c>
      <c r="H61" s="22" t="str">
        <f t="shared" si="4"/>
        <v>#NAME?</v>
      </c>
      <c r="I61" s="22" t="str">
        <f>VLOOKUP(110, B59:F64, 4, FALSE)</f>
        <v>#N/A</v>
      </c>
      <c r="J61" s="52" t="s">
        <v>1737</v>
      </c>
    </row>
    <row r="62" ht="14.25" customHeight="1">
      <c r="B62" s="22">
        <v>111.0</v>
      </c>
      <c r="C62" s="22" t="s">
        <v>1738</v>
      </c>
      <c r="D62" s="22" t="s">
        <v>1739</v>
      </c>
      <c r="E62" s="22" t="s">
        <v>1740</v>
      </c>
      <c r="F62" s="46">
        <v>21447.0</v>
      </c>
      <c r="H62" s="22" t="str">
        <f t="shared" si="4"/>
        <v>#NAME?</v>
      </c>
      <c r="I62" s="22" t="str">
        <f>VLOOKUP(114, B59:F64, 4, TRUE)</f>
        <v>Manager</v>
      </c>
      <c r="J62" s="52" t="s">
        <v>1741</v>
      </c>
    </row>
    <row r="63" ht="14.25" customHeight="1">
      <c r="B63" s="22">
        <v>115.0</v>
      </c>
      <c r="C63" s="22" t="s">
        <v>1742</v>
      </c>
      <c r="D63" s="22" t="s">
        <v>1743</v>
      </c>
      <c r="E63" s="22" t="s">
        <v>1744</v>
      </c>
      <c r="F63" s="46">
        <v>20182.0</v>
      </c>
      <c r="G63" s="69"/>
    </row>
    <row r="64" ht="14.25" customHeight="1">
      <c r="B64" s="22">
        <v>120.0</v>
      </c>
      <c r="C64" s="22" t="s">
        <v>1745</v>
      </c>
      <c r="D64" s="22" t="s">
        <v>1746</v>
      </c>
      <c r="E64" s="22" t="s">
        <v>1729</v>
      </c>
      <c r="F64" s="46">
        <v>23049.0</v>
      </c>
      <c r="G64" s="69"/>
    </row>
    <row r="65" ht="14.25" customHeight="1"/>
    <row r="66" ht="14.25" customHeight="1">
      <c r="B66" s="70" t="s">
        <v>1747</v>
      </c>
      <c r="C66" s="57"/>
    </row>
    <row r="67" ht="14.25" customHeight="1">
      <c r="B67" s="71"/>
      <c r="C67" s="57"/>
    </row>
    <row r="68">
      <c r="B68" s="72" t="s">
        <v>1748</v>
      </c>
    </row>
    <row r="69" ht="14.25" customHeight="1">
      <c r="B69" s="73" t="s">
        <v>1749</v>
      </c>
      <c r="C69" s="57"/>
    </row>
    <row r="70" ht="14.25" customHeight="1">
      <c r="B70" s="73" t="s">
        <v>1750</v>
      </c>
      <c r="C70" s="57"/>
    </row>
    <row r="71" ht="14.25" customHeight="1">
      <c r="B71" s="57"/>
      <c r="C71" s="57"/>
    </row>
    <row r="72" ht="14.25" customHeight="1">
      <c r="B72" s="57"/>
      <c r="C72" s="57"/>
    </row>
    <row r="73" ht="14.25" customHeight="1">
      <c r="B73" s="57"/>
      <c r="C73" s="57"/>
    </row>
    <row r="74" ht="14.25" customHeight="1">
      <c r="B74" s="53" t="s">
        <v>1353</v>
      </c>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sheetData>
  <mergeCells count="9">
    <mergeCell ref="B74:C74"/>
    <mergeCell ref="B68:P68"/>
    <mergeCell ref="C5:D5"/>
    <mergeCell ref="C6:F6"/>
    <mergeCell ref="C7:F7"/>
    <mergeCell ref="C8:F8"/>
    <mergeCell ref="B16:C16"/>
    <mergeCell ref="B36:C36"/>
    <mergeCell ref="B52:C52"/>
  </mergeCells>
  <hyperlinks>
    <hyperlink r:id="rId1" ref="H1"/>
    <hyperlink display="Back to LIST OF FUNCTIONS" location="'LIST OF FUNCTIONS'!A1" ref="B16"/>
    <hyperlink display="Back to LIST OF FUNCTIONS" location="'LIST OF FUNCTIONS'!A1" ref="B36"/>
    <hyperlink display="Back to LIST OF FUNCTIONS" location="'LIST OF FUNCTIONS'!A1" ref="B52"/>
    <hyperlink display="Back to LIST OF FUNCTIONS" location="'LIST OF FUNCTIONS'!A1" ref="B74"/>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43"/>
    <col customWidth="1" min="2" max="2" width="30.86"/>
    <col customWidth="1" min="3" max="3" width="11.43"/>
    <col customWidth="1" min="4" max="4" width="10.0"/>
    <col customWidth="1" min="5" max="5" width="9.14"/>
    <col customWidth="1" min="6" max="6" width="3.86"/>
    <col customWidth="1" min="7" max="7" width="38.0"/>
    <col customWidth="1" min="8" max="8" width="18.43"/>
    <col customWidth="1" min="9" max="9" width="39.86"/>
    <col customWidth="1" min="10" max="26" width="9.14"/>
  </cols>
  <sheetData>
    <row r="1" ht="13.5" customHeight="1">
      <c r="A1" s="19"/>
      <c r="B1" s="19"/>
      <c r="C1" s="19"/>
      <c r="D1" s="19"/>
      <c r="E1" s="19"/>
      <c r="F1" s="19"/>
      <c r="G1" s="30" t="s">
        <v>1335</v>
      </c>
      <c r="H1" s="19"/>
      <c r="I1" s="19"/>
      <c r="J1" s="19"/>
      <c r="K1" s="19"/>
      <c r="L1" s="19"/>
      <c r="M1" s="19"/>
      <c r="N1" s="19"/>
      <c r="O1" s="19"/>
      <c r="P1" s="19"/>
      <c r="Q1" s="19"/>
      <c r="R1" s="19"/>
      <c r="S1" s="19"/>
      <c r="T1" s="19"/>
      <c r="U1" s="19"/>
      <c r="V1" s="19"/>
      <c r="W1" s="19"/>
      <c r="X1" s="19"/>
      <c r="Y1" s="19"/>
      <c r="Z1" s="19"/>
    </row>
    <row r="2" ht="13.5" customHeight="1">
      <c r="A2" s="19"/>
      <c r="B2" s="48" t="s">
        <v>1751</v>
      </c>
      <c r="C2" s="49"/>
      <c r="D2" s="49"/>
      <c r="E2" s="49"/>
      <c r="F2" s="49"/>
      <c r="G2" s="49"/>
      <c r="H2" s="49"/>
      <c r="I2" s="51"/>
      <c r="J2" s="19"/>
      <c r="K2" s="19"/>
      <c r="L2" s="19"/>
      <c r="M2" s="19"/>
      <c r="N2" s="19"/>
      <c r="O2" s="19"/>
      <c r="P2" s="19"/>
      <c r="Q2" s="19"/>
      <c r="R2" s="19"/>
      <c r="S2" s="19"/>
      <c r="T2" s="19"/>
      <c r="U2" s="19"/>
      <c r="V2" s="19"/>
      <c r="W2" s="19"/>
      <c r="X2" s="19"/>
      <c r="Y2" s="19"/>
      <c r="Z2" s="19"/>
    </row>
    <row r="3" ht="13.5" customHeight="1">
      <c r="A3" s="19"/>
      <c r="B3" s="43" t="s">
        <v>1752</v>
      </c>
      <c r="C3" s="44"/>
      <c r="D3" s="44"/>
      <c r="E3" s="44"/>
      <c r="F3" s="44"/>
      <c r="G3" s="44"/>
      <c r="H3" s="44"/>
      <c r="I3" s="45"/>
      <c r="J3" s="19"/>
      <c r="K3" s="19"/>
      <c r="L3" s="19"/>
      <c r="M3" s="19"/>
      <c r="N3" s="19"/>
      <c r="O3" s="19"/>
      <c r="P3" s="19"/>
      <c r="Q3" s="19"/>
      <c r="R3" s="19"/>
      <c r="S3" s="19"/>
      <c r="T3" s="19"/>
      <c r="U3" s="19"/>
      <c r="V3" s="19"/>
      <c r="W3" s="19"/>
      <c r="X3" s="19"/>
      <c r="Y3" s="19"/>
      <c r="Z3" s="19"/>
    </row>
    <row r="4"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row>
    <row r="5" ht="13.5" customHeight="1">
      <c r="A5" s="19"/>
      <c r="B5" s="74" t="s">
        <v>1753</v>
      </c>
      <c r="C5" s="75" t="s">
        <v>1754</v>
      </c>
      <c r="D5" s="76"/>
      <c r="E5" s="76"/>
      <c r="F5" s="19"/>
      <c r="G5" s="40" t="s">
        <v>1447</v>
      </c>
      <c r="H5" s="59" t="s">
        <v>1342</v>
      </c>
      <c r="I5" s="59" t="s">
        <v>1343</v>
      </c>
      <c r="J5" s="19"/>
      <c r="K5" s="19"/>
      <c r="L5" s="19"/>
      <c r="M5" s="19"/>
      <c r="N5" s="19"/>
      <c r="O5" s="19"/>
      <c r="P5" s="19"/>
      <c r="Q5" s="19"/>
      <c r="R5" s="19"/>
      <c r="S5" s="19"/>
      <c r="T5" s="19"/>
      <c r="U5" s="19"/>
      <c r="V5" s="19"/>
      <c r="W5" s="19"/>
      <c r="X5" s="19"/>
      <c r="Y5" s="19"/>
      <c r="Z5" s="19"/>
    </row>
    <row r="6" ht="13.5" customHeight="1">
      <c r="A6" s="19"/>
      <c r="B6" s="77" t="s">
        <v>1755</v>
      </c>
      <c r="C6" s="78" t="s">
        <v>1756</v>
      </c>
      <c r="D6" s="32"/>
      <c r="E6" s="33"/>
      <c r="F6" s="19"/>
      <c r="G6" s="22" t="str">
        <f t="shared" ref="G6:G10" si="1">_xludf.FORMULATEXT(H6)</f>
        <v>#NAME?</v>
      </c>
      <c r="H6" s="22" t="str">
        <f>ADDRESS(2,3)</f>
        <v>$C$2</v>
      </c>
      <c r="I6" s="52" t="s">
        <v>1757</v>
      </c>
      <c r="J6" s="19"/>
      <c r="K6" s="19"/>
      <c r="L6" s="19"/>
      <c r="M6" s="19"/>
      <c r="N6" s="19"/>
      <c r="O6" s="19"/>
      <c r="P6" s="19"/>
      <c r="Q6" s="19"/>
      <c r="R6" s="19"/>
      <c r="S6" s="19"/>
      <c r="T6" s="19"/>
      <c r="U6" s="19"/>
      <c r="V6" s="19"/>
      <c r="W6" s="19"/>
      <c r="X6" s="19"/>
      <c r="Y6" s="19"/>
      <c r="Z6" s="19"/>
    </row>
    <row r="7" ht="13.5" customHeight="1">
      <c r="A7" s="19"/>
      <c r="B7" s="77">
        <v>2.0</v>
      </c>
      <c r="C7" s="79" t="s">
        <v>1758</v>
      </c>
      <c r="D7" s="79"/>
      <c r="E7" s="79"/>
      <c r="F7" s="19"/>
      <c r="G7" s="22" t="str">
        <f t="shared" si="1"/>
        <v>#NAME?</v>
      </c>
      <c r="H7" s="46" t="str">
        <f>ADDRESS(2,3,2)</f>
        <v>C$2</v>
      </c>
      <c r="I7" s="52" t="s">
        <v>1759</v>
      </c>
      <c r="J7" s="19"/>
      <c r="K7" s="19"/>
      <c r="L7" s="19"/>
      <c r="M7" s="19"/>
      <c r="N7" s="19"/>
      <c r="O7" s="19"/>
      <c r="P7" s="19"/>
      <c r="Q7" s="19"/>
      <c r="R7" s="19"/>
      <c r="S7" s="19"/>
      <c r="T7" s="19"/>
      <c r="U7" s="19"/>
      <c r="V7" s="19"/>
      <c r="W7" s="19"/>
      <c r="X7" s="19"/>
      <c r="Y7" s="19"/>
      <c r="Z7" s="19"/>
    </row>
    <row r="8" ht="13.5" customHeight="1">
      <c r="A8" s="19"/>
      <c r="B8" s="77">
        <v>3.0</v>
      </c>
      <c r="C8" s="22" t="s">
        <v>1760</v>
      </c>
      <c r="D8" s="22"/>
      <c r="E8" s="22"/>
      <c r="F8" s="19"/>
      <c r="G8" s="22" t="str">
        <f t="shared" si="1"/>
        <v>#NAME?</v>
      </c>
      <c r="H8" s="22" t="str">
        <f>ADDRESS(2,3,2,FALSE)</f>
        <v>R2C[3]</v>
      </c>
      <c r="I8" s="52" t="s">
        <v>1761</v>
      </c>
      <c r="J8" s="19"/>
      <c r="K8" s="19"/>
      <c r="L8" s="19"/>
      <c r="M8" s="19"/>
      <c r="N8" s="19"/>
      <c r="O8" s="19"/>
      <c r="P8" s="19"/>
      <c r="Q8" s="19"/>
      <c r="R8" s="19"/>
      <c r="S8" s="19"/>
      <c r="T8" s="19"/>
      <c r="U8" s="19"/>
      <c r="V8" s="19"/>
      <c r="W8" s="19"/>
      <c r="X8" s="19"/>
      <c r="Y8" s="19"/>
      <c r="Z8" s="19"/>
    </row>
    <row r="9" ht="13.5" customHeight="1">
      <c r="A9" s="19"/>
      <c r="B9" s="77">
        <v>4.0</v>
      </c>
      <c r="C9" s="80" t="s">
        <v>1762</v>
      </c>
      <c r="D9" s="81"/>
      <c r="E9" s="82"/>
      <c r="F9" s="19"/>
      <c r="G9" s="22" t="str">
        <f t="shared" si="1"/>
        <v>#NAME?</v>
      </c>
      <c r="H9" s="22" t="str">
        <f>ADDRESS(2,3,1,FALSE,"[Book1]Sheet1")</f>
        <v>'[Book1]Sheet1'!R2C3</v>
      </c>
      <c r="I9" s="52" t="s">
        <v>1763</v>
      </c>
      <c r="J9" s="19"/>
      <c r="K9" s="19"/>
      <c r="L9" s="19"/>
      <c r="M9" s="19"/>
      <c r="N9" s="19"/>
      <c r="O9" s="19"/>
      <c r="P9" s="19"/>
      <c r="Q9" s="19"/>
      <c r="R9" s="19"/>
      <c r="S9" s="19"/>
      <c r="T9" s="19"/>
      <c r="U9" s="19"/>
      <c r="V9" s="19"/>
      <c r="W9" s="19"/>
      <c r="X9" s="19"/>
      <c r="Y9" s="19"/>
      <c r="Z9" s="19"/>
    </row>
    <row r="10" ht="13.5" customHeight="1">
      <c r="A10" s="19"/>
      <c r="B10" s="19"/>
      <c r="C10" s="19"/>
      <c r="D10" s="19"/>
      <c r="E10" s="19"/>
      <c r="F10" s="19"/>
      <c r="G10" s="22" t="str">
        <f t="shared" si="1"/>
        <v>#NAME?</v>
      </c>
      <c r="H10" s="46" t="str">
        <f>ADDRESS(2,3,4,FALSE,"EXCEL SHEET")</f>
        <v>'EXCEL SHEET'!R[2]C[3]</v>
      </c>
      <c r="I10" s="52" t="s">
        <v>1764</v>
      </c>
      <c r="J10" s="19"/>
      <c r="K10" s="19"/>
      <c r="L10" s="19"/>
      <c r="M10" s="19"/>
      <c r="N10" s="19"/>
      <c r="O10" s="19"/>
      <c r="P10" s="19"/>
      <c r="Q10" s="19"/>
      <c r="R10" s="19"/>
      <c r="S10" s="19"/>
      <c r="T10" s="19"/>
      <c r="U10" s="19"/>
      <c r="V10" s="19"/>
      <c r="W10" s="19"/>
      <c r="X10" s="19"/>
      <c r="Y10" s="19"/>
      <c r="Z10" s="19"/>
    </row>
    <row r="11" ht="13.5" customHeight="1">
      <c r="A11" s="19"/>
      <c r="B11" s="83" t="s">
        <v>1765</v>
      </c>
      <c r="C11" s="84"/>
      <c r="D11" s="85" t="s">
        <v>1766</v>
      </c>
      <c r="E11" s="86"/>
      <c r="F11" s="19"/>
      <c r="G11" s="19"/>
      <c r="H11" s="19"/>
      <c r="I11" s="19"/>
      <c r="J11" s="19"/>
      <c r="K11" s="19"/>
      <c r="L11" s="19"/>
      <c r="M11" s="19"/>
      <c r="N11" s="19"/>
      <c r="O11" s="19"/>
      <c r="P11" s="19"/>
      <c r="Q11" s="19"/>
      <c r="R11" s="19"/>
      <c r="S11" s="19"/>
      <c r="T11" s="19"/>
      <c r="U11" s="19"/>
      <c r="V11" s="19"/>
      <c r="W11" s="19"/>
      <c r="X11" s="19"/>
      <c r="Y11" s="19"/>
      <c r="Z11" s="19"/>
    </row>
    <row r="12" ht="13.5" customHeight="1">
      <c r="A12" s="19"/>
      <c r="B12" s="77" t="s">
        <v>1767</v>
      </c>
      <c r="C12" s="67"/>
      <c r="D12" s="81" t="s">
        <v>1768</v>
      </c>
      <c r="E12" s="82"/>
      <c r="F12" s="19"/>
      <c r="G12" s="19"/>
      <c r="H12" s="19"/>
      <c r="I12" s="19"/>
      <c r="J12" s="19"/>
      <c r="K12" s="19"/>
      <c r="L12" s="19"/>
      <c r="M12" s="19"/>
      <c r="N12" s="19"/>
      <c r="O12" s="19"/>
      <c r="P12" s="19"/>
      <c r="Q12" s="19"/>
      <c r="R12" s="19"/>
      <c r="S12" s="19"/>
      <c r="T12" s="19"/>
      <c r="U12" s="19"/>
      <c r="V12" s="19"/>
      <c r="W12" s="19"/>
      <c r="X12" s="19"/>
      <c r="Y12" s="19"/>
      <c r="Z12" s="19"/>
    </row>
    <row r="13" ht="13.5" customHeight="1">
      <c r="A13" s="19"/>
      <c r="B13" s="77" t="b">
        <v>0</v>
      </c>
      <c r="C13" s="82"/>
      <c r="D13" s="78" t="s">
        <v>1769</v>
      </c>
      <c r="E13" s="82"/>
      <c r="F13" s="19"/>
      <c r="G13" s="19"/>
      <c r="H13" s="19"/>
      <c r="I13" s="19"/>
      <c r="J13" s="19"/>
      <c r="K13" s="19"/>
      <c r="L13" s="19"/>
      <c r="M13" s="19"/>
      <c r="N13" s="19"/>
      <c r="O13" s="19"/>
      <c r="P13" s="19"/>
      <c r="Q13" s="19"/>
      <c r="R13" s="19"/>
      <c r="S13" s="19"/>
      <c r="T13" s="19"/>
      <c r="U13" s="19"/>
      <c r="V13" s="19"/>
      <c r="W13" s="19"/>
      <c r="X13" s="19"/>
      <c r="Y13" s="19"/>
      <c r="Z13" s="19"/>
    </row>
    <row r="14"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3.5" customHeight="1">
      <c r="A15" s="19"/>
      <c r="B15" s="53" t="s">
        <v>1353</v>
      </c>
      <c r="D15" s="19"/>
      <c r="E15" s="19"/>
      <c r="F15" s="19"/>
      <c r="G15" s="19"/>
      <c r="H15" s="19"/>
      <c r="I15" s="19"/>
      <c r="J15" s="19"/>
      <c r="K15" s="19"/>
      <c r="L15" s="19"/>
      <c r="M15" s="19"/>
      <c r="N15" s="19"/>
      <c r="O15" s="19"/>
      <c r="P15" s="19"/>
      <c r="Q15" s="19"/>
      <c r="R15" s="19"/>
      <c r="S15" s="19"/>
      <c r="T15" s="19"/>
      <c r="U15" s="19"/>
      <c r="V15" s="19"/>
      <c r="W15" s="19"/>
      <c r="X15" s="19"/>
      <c r="Y15" s="19"/>
      <c r="Z15" s="19"/>
    </row>
    <row r="16"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3.5" customHeight="1">
      <c r="A17" s="19"/>
      <c r="B17" s="48" t="s">
        <v>1770</v>
      </c>
      <c r="C17" s="49"/>
      <c r="D17" s="49"/>
      <c r="E17" s="49"/>
      <c r="F17" s="49"/>
      <c r="G17" s="49"/>
      <c r="H17" s="49"/>
      <c r="I17" s="51"/>
      <c r="J17" s="19"/>
      <c r="K17" s="19"/>
      <c r="L17" s="19"/>
      <c r="M17" s="19"/>
      <c r="N17" s="19"/>
      <c r="O17" s="19"/>
      <c r="P17" s="19"/>
      <c r="Q17" s="19"/>
      <c r="R17" s="19"/>
      <c r="S17" s="19"/>
      <c r="T17" s="19"/>
      <c r="U17" s="19"/>
      <c r="V17" s="19"/>
      <c r="W17" s="19"/>
      <c r="X17" s="19"/>
      <c r="Y17" s="19"/>
      <c r="Z17" s="19"/>
    </row>
    <row r="18" ht="13.5" customHeight="1">
      <c r="A18" s="19"/>
      <c r="B18" s="43" t="s">
        <v>1771</v>
      </c>
      <c r="C18" s="44"/>
      <c r="D18" s="44"/>
      <c r="E18" s="44"/>
      <c r="F18" s="44"/>
      <c r="G18" s="44"/>
      <c r="H18" s="44"/>
      <c r="I18" s="45"/>
      <c r="J18" s="19"/>
      <c r="K18" s="19"/>
      <c r="L18" s="19"/>
      <c r="M18" s="19"/>
      <c r="N18" s="19"/>
      <c r="O18" s="19"/>
      <c r="P18" s="19"/>
      <c r="Q18" s="19"/>
      <c r="R18" s="19"/>
      <c r="S18" s="19"/>
      <c r="T18" s="19"/>
      <c r="U18" s="19"/>
      <c r="V18" s="19"/>
      <c r="W18" s="19"/>
      <c r="X18" s="19"/>
      <c r="Y18" s="19"/>
      <c r="Z18" s="19"/>
    </row>
    <row r="19"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3.5" customHeight="1">
      <c r="A20" s="19"/>
      <c r="B20" s="40" t="s">
        <v>1643</v>
      </c>
      <c r="C20" s="19"/>
      <c r="D20" s="19"/>
      <c r="E20" s="19"/>
      <c r="F20" s="19"/>
      <c r="G20" s="40" t="s">
        <v>1447</v>
      </c>
      <c r="H20" s="59" t="s">
        <v>1342</v>
      </c>
      <c r="I20" s="59" t="s">
        <v>1343</v>
      </c>
      <c r="J20" s="19"/>
      <c r="K20" s="19"/>
      <c r="L20" s="19"/>
      <c r="M20" s="19"/>
      <c r="N20" s="19"/>
      <c r="O20" s="19"/>
      <c r="P20" s="19"/>
      <c r="Q20" s="19"/>
      <c r="R20" s="19"/>
      <c r="S20" s="19"/>
      <c r="T20" s="19"/>
      <c r="U20" s="19"/>
      <c r="V20" s="19"/>
      <c r="W20" s="19"/>
      <c r="X20" s="19"/>
      <c r="Y20" s="19"/>
      <c r="Z20" s="19"/>
    </row>
    <row r="21" ht="13.5" customHeight="1">
      <c r="A21" s="19"/>
      <c r="B21" s="22" t="s">
        <v>1491</v>
      </c>
      <c r="C21" s="19"/>
      <c r="D21" s="19"/>
      <c r="E21" s="19"/>
      <c r="F21" s="19"/>
      <c r="G21" s="22" t="str">
        <f t="shared" ref="G21:G22" si="2">_xludf.FORMULATEXT(H21)</f>
        <v>#NAME?</v>
      </c>
      <c r="H21" s="22" t="str">
        <f>CHOOSE(3, B21, B22, B23, B24, B25, B26)</f>
        <v>Excel BI</v>
      </c>
      <c r="I21" s="52" t="s">
        <v>1772</v>
      </c>
      <c r="J21" s="19"/>
      <c r="K21" s="19"/>
      <c r="L21" s="19"/>
      <c r="M21" s="19"/>
      <c r="N21" s="19"/>
      <c r="O21" s="19"/>
      <c r="P21" s="19"/>
      <c r="Q21" s="19"/>
      <c r="R21" s="19"/>
      <c r="S21" s="19"/>
      <c r="T21" s="19"/>
      <c r="U21" s="19"/>
      <c r="V21" s="19"/>
      <c r="W21" s="19"/>
      <c r="X21" s="19"/>
      <c r="Y21" s="19"/>
      <c r="Z21" s="19"/>
    </row>
    <row r="22" ht="13.5" customHeight="1">
      <c r="A22" s="19"/>
      <c r="B22" s="22" t="s">
        <v>1773</v>
      </c>
      <c r="C22" s="19"/>
      <c r="D22" s="19"/>
      <c r="E22" s="19"/>
      <c r="F22" s="19"/>
      <c r="G22" s="22" t="str">
        <f t="shared" si="2"/>
        <v>#NAME?</v>
      </c>
      <c r="H22" s="46" t="str">
        <f>CHOOSE(5, B21, B22, B23, B24, B25, B26)</f>
        <v>Power Pivot</v>
      </c>
      <c r="I22" s="52" t="s">
        <v>1774</v>
      </c>
      <c r="J22" s="19"/>
      <c r="K22" s="19"/>
      <c r="L22" s="19"/>
      <c r="M22" s="19"/>
      <c r="N22" s="19"/>
      <c r="O22" s="19"/>
      <c r="P22" s="19"/>
      <c r="Q22" s="19"/>
      <c r="R22" s="19"/>
      <c r="S22" s="19"/>
      <c r="T22" s="19"/>
      <c r="U22" s="19"/>
      <c r="V22" s="19"/>
      <c r="W22" s="19"/>
      <c r="X22" s="19"/>
      <c r="Y22" s="19"/>
      <c r="Z22" s="19"/>
    </row>
    <row r="23" ht="13.5" customHeight="1">
      <c r="A23" s="19"/>
      <c r="B23" s="22" t="s">
        <v>1775</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3.5" customHeight="1">
      <c r="A24" s="19"/>
      <c r="B24" s="22" t="s">
        <v>1776</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3.5" customHeight="1">
      <c r="A25" s="19"/>
      <c r="B25" s="22" t="s">
        <v>1777</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3.5" customHeight="1">
      <c r="A26" s="19"/>
      <c r="B26" s="22" t="s">
        <v>1778</v>
      </c>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3.5" customHeight="1">
      <c r="A33" s="19"/>
      <c r="B33" s="53" t="s">
        <v>1353</v>
      </c>
      <c r="D33" s="19"/>
      <c r="E33" s="19"/>
      <c r="F33" s="19"/>
      <c r="G33" s="19"/>
      <c r="H33" s="19"/>
      <c r="I33" s="19"/>
      <c r="J33" s="19"/>
      <c r="K33" s="19"/>
      <c r="L33" s="19"/>
      <c r="M33" s="19"/>
      <c r="N33" s="19"/>
      <c r="O33" s="19"/>
      <c r="P33" s="19"/>
      <c r="Q33" s="19"/>
      <c r="R33" s="19"/>
      <c r="S33" s="19"/>
      <c r="T33" s="19"/>
      <c r="U33" s="19"/>
      <c r="V33" s="19"/>
      <c r="W33" s="19"/>
      <c r="X33" s="19"/>
      <c r="Y33" s="19"/>
      <c r="Z33" s="19"/>
    </row>
    <row r="34"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3.5" customHeight="1">
      <c r="A36" s="19"/>
      <c r="B36" s="48" t="s">
        <v>1779</v>
      </c>
      <c r="C36" s="48" t="s">
        <v>1780</v>
      </c>
      <c r="D36" s="48"/>
      <c r="E36" s="48"/>
      <c r="F36" s="48"/>
      <c r="G36" s="31"/>
      <c r="H36" s="87"/>
      <c r="I36" s="88"/>
      <c r="J36" s="19"/>
      <c r="K36" s="19"/>
      <c r="L36" s="19"/>
      <c r="M36" s="19"/>
      <c r="N36" s="19"/>
      <c r="O36" s="19"/>
      <c r="P36" s="19"/>
      <c r="Q36" s="19"/>
      <c r="R36" s="19"/>
      <c r="S36" s="19"/>
      <c r="T36" s="19"/>
      <c r="U36" s="19"/>
      <c r="V36" s="19"/>
      <c r="W36" s="19"/>
      <c r="X36" s="19"/>
      <c r="Y36" s="19"/>
      <c r="Z36" s="19"/>
    </row>
    <row r="37" ht="15.0" customHeight="1">
      <c r="A37" s="19"/>
      <c r="B37" s="43" t="s">
        <v>1781</v>
      </c>
      <c r="C37" s="44"/>
      <c r="D37" s="44"/>
      <c r="E37" s="44"/>
      <c r="F37" s="44"/>
      <c r="G37" s="44"/>
      <c r="H37" s="44"/>
      <c r="I37" s="44"/>
      <c r="J37" s="19"/>
      <c r="K37" s="19"/>
      <c r="L37" s="19"/>
      <c r="M37" s="19"/>
      <c r="N37" s="19"/>
      <c r="O37" s="19"/>
      <c r="P37" s="19"/>
      <c r="Q37" s="19"/>
      <c r="R37" s="19"/>
      <c r="S37" s="19"/>
      <c r="T37" s="19"/>
      <c r="U37" s="19"/>
      <c r="V37" s="19"/>
      <c r="W37" s="19"/>
      <c r="X37" s="19"/>
      <c r="Y37" s="19"/>
      <c r="Z37" s="19"/>
    </row>
    <row r="38" ht="13.5" customHeight="1">
      <c r="A38" s="19"/>
      <c r="B38" s="31" t="s">
        <v>1782</v>
      </c>
      <c r="C38" s="48" t="s">
        <v>1783</v>
      </c>
      <c r="D38" s="48"/>
      <c r="E38" s="48"/>
      <c r="F38" s="48"/>
      <c r="G38" s="48"/>
      <c r="H38" s="31"/>
      <c r="I38" s="89"/>
      <c r="J38" s="19"/>
      <c r="K38" s="19"/>
      <c r="L38" s="19"/>
      <c r="M38" s="19"/>
      <c r="N38" s="19"/>
      <c r="O38" s="19"/>
      <c r="P38" s="19"/>
      <c r="Q38" s="19"/>
      <c r="R38" s="19"/>
      <c r="S38" s="19"/>
      <c r="T38" s="19"/>
      <c r="U38" s="19"/>
      <c r="V38" s="19"/>
      <c r="W38" s="19"/>
      <c r="X38" s="19"/>
      <c r="Y38" s="19"/>
      <c r="Z38" s="19"/>
    </row>
    <row r="39" ht="15.0" customHeight="1">
      <c r="A39" s="19"/>
      <c r="B39" s="43" t="s">
        <v>1784</v>
      </c>
      <c r="C39" s="44"/>
      <c r="D39" s="44"/>
      <c r="E39" s="44"/>
      <c r="F39" s="44"/>
      <c r="G39" s="44"/>
      <c r="H39" s="44"/>
      <c r="I39" s="45"/>
      <c r="J39" s="19"/>
      <c r="K39" s="19"/>
      <c r="L39" s="19"/>
      <c r="M39" s="19"/>
      <c r="N39" s="19"/>
      <c r="O39" s="19"/>
      <c r="P39" s="19"/>
      <c r="Q39" s="19"/>
      <c r="R39" s="19"/>
      <c r="S39" s="19"/>
      <c r="T39" s="19"/>
      <c r="U39" s="19"/>
      <c r="V39" s="19"/>
      <c r="W39" s="19"/>
      <c r="X39" s="19"/>
      <c r="Y39" s="19"/>
      <c r="Z39" s="19"/>
    </row>
    <row r="40" ht="13.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3.5" customHeight="1">
      <c r="A41" s="19"/>
      <c r="B41" s="90" t="s">
        <v>1785</v>
      </c>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3.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3.5" customHeight="1">
      <c r="A43" s="19"/>
      <c r="B43" s="40" t="s">
        <v>1643</v>
      </c>
      <c r="C43" s="40" t="s">
        <v>1643</v>
      </c>
      <c r="D43" s="19"/>
      <c r="E43" s="19"/>
      <c r="F43" s="19"/>
      <c r="G43" s="40" t="s">
        <v>1447</v>
      </c>
      <c r="H43" s="59" t="s">
        <v>1342</v>
      </c>
      <c r="I43" s="59" t="s">
        <v>1343</v>
      </c>
      <c r="J43" s="19"/>
      <c r="K43" s="19"/>
      <c r="L43" s="19"/>
      <c r="M43" s="19"/>
      <c r="N43" s="19"/>
      <c r="O43" s="19"/>
      <c r="P43" s="19"/>
      <c r="Q43" s="19"/>
      <c r="R43" s="19"/>
      <c r="S43" s="19"/>
      <c r="T43" s="19"/>
      <c r="U43" s="19"/>
      <c r="V43" s="19"/>
      <c r="W43" s="19"/>
      <c r="X43" s="19"/>
      <c r="Y43" s="19"/>
      <c r="Z43" s="19"/>
    </row>
    <row r="44" ht="13.5" customHeight="1">
      <c r="A44" s="19"/>
      <c r="B44" s="22" t="s">
        <v>1786</v>
      </c>
      <c r="C44" s="22" t="s">
        <v>1787</v>
      </c>
      <c r="D44" s="19"/>
      <c r="E44" s="19"/>
      <c r="F44" s="19"/>
      <c r="G44" s="22" t="str">
        <f t="shared" ref="G44:G46" si="3">_xludf.FORMULATEXT(H44)</f>
        <v>#NAME?</v>
      </c>
      <c r="H44" s="22" t="str">
        <f t="array" ref="H44">INDEX(B44:C45, 2, 2)</f>
        <v>Pears</v>
      </c>
      <c r="I44" s="52" t="s">
        <v>1788</v>
      </c>
      <c r="J44" s="19"/>
      <c r="K44" s="19"/>
      <c r="L44" s="19"/>
      <c r="M44" s="19"/>
      <c r="N44" s="19"/>
      <c r="O44" s="19"/>
      <c r="P44" s="19"/>
      <c r="Q44" s="19"/>
      <c r="R44" s="19"/>
      <c r="S44" s="19"/>
      <c r="T44" s="19"/>
      <c r="U44" s="19"/>
      <c r="V44" s="19"/>
      <c r="W44" s="19"/>
      <c r="X44" s="19"/>
      <c r="Y44" s="19"/>
      <c r="Z44" s="19"/>
    </row>
    <row r="45" ht="13.5" customHeight="1">
      <c r="A45" s="19"/>
      <c r="B45" s="22" t="s">
        <v>1789</v>
      </c>
      <c r="C45" s="22" t="s">
        <v>1688</v>
      </c>
      <c r="D45" s="19"/>
      <c r="E45" s="19"/>
      <c r="F45" s="19"/>
      <c r="G45" s="22" t="str">
        <f t="shared" si="3"/>
        <v>#NAME?</v>
      </c>
      <c r="H45" s="46" t="str">
        <f t="array" ref="H45:H46">INDEX(B44:C45, 0, 1)</f>
        <v>Apples</v>
      </c>
      <c r="I45" s="52" t="s">
        <v>1790</v>
      </c>
      <c r="J45" s="19"/>
      <c r="K45" s="19"/>
      <c r="L45" s="19"/>
      <c r="M45" s="19"/>
      <c r="N45" s="19"/>
      <c r="O45" s="19"/>
      <c r="P45" s="19"/>
      <c r="Q45" s="19"/>
      <c r="R45" s="19"/>
      <c r="S45" s="19"/>
      <c r="T45" s="19"/>
      <c r="U45" s="19"/>
      <c r="V45" s="19"/>
      <c r="W45" s="19"/>
      <c r="X45" s="19"/>
      <c r="Y45" s="19"/>
      <c r="Z45" s="19"/>
    </row>
    <row r="46" ht="13.5" customHeight="1">
      <c r="A46" s="19"/>
      <c r="B46" s="19"/>
      <c r="C46" s="19"/>
      <c r="D46" s="19"/>
      <c r="E46" s="19"/>
      <c r="F46" s="19"/>
      <c r="G46" s="22" t="str">
        <f t="shared" si="3"/>
        <v>#NAME?</v>
      </c>
      <c r="H46" s="46" t="s">
        <v>1789</v>
      </c>
      <c r="I46" s="52" t="s">
        <v>1790</v>
      </c>
      <c r="J46" s="19"/>
      <c r="K46" s="19"/>
      <c r="L46" s="19"/>
      <c r="M46" s="19"/>
      <c r="N46" s="19"/>
      <c r="O46" s="19"/>
      <c r="P46" s="19"/>
      <c r="Q46" s="19"/>
      <c r="R46" s="19"/>
      <c r="S46" s="19"/>
      <c r="T46" s="19"/>
      <c r="U46" s="19"/>
      <c r="V46" s="19"/>
      <c r="W46" s="19"/>
      <c r="X46" s="19"/>
      <c r="Y46" s="19"/>
      <c r="Z46" s="19"/>
    </row>
    <row r="47" ht="13.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3.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3.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3.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3.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3.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3.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3.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3.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3.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3.5" customHeight="1">
      <c r="A61" s="19"/>
      <c r="B61" s="90" t="s">
        <v>1791</v>
      </c>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3.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3.5" customHeight="1">
      <c r="A63" s="19"/>
      <c r="B63" s="40" t="s">
        <v>1792</v>
      </c>
      <c r="C63" s="59" t="s">
        <v>1793</v>
      </c>
      <c r="D63" s="59" t="s">
        <v>1794</v>
      </c>
      <c r="E63" s="19"/>
      <c r="F63" s="19"/>
      <c r="G63" s="40" t="s">
        <v>1447</v>
      </c>
      <c r="H63" s="59" t="s">
        <v>1342</v>
      </c>
      <c r="I63" s="59" t="s">
        <v>1343</v>
      </c>
      <c r="J63" s="19"/>
      <c r="K63" s="19"/>
      <c r="L63" s="19"/>
      <c r="M63" s="19"/>
      <c r="N63" s="19"/>
      <c r="O63" s="19"/>
      <c r="P63" s="19"/>
      <c r="Q63" s="19"/>
      <c r="R63" s="19"/>
      <c r="S63" s="19"/>
      <c r="T63" s="19"/>
      <c r="U63" s="19"/>
      <c r="V63" s="19"/>
      <c r="W63" s="19"/>
      <c r="X63" s="19"/>
      <c r="Y63" s="19"/>
      <c r="Z63" s="19"/>
    </row>
    <row r="64" ht="13.5" customHeight="1">
      <c r="A64" s="19"/>
      <c r="B64" s="22" t="s">
        <v>1786</v>
      </c>
      <c r="C64" s="91">
        <v>0.69</v>
      </c>
      <c r="D64" s="22">
        <v>40.0</v>
      </c>
      <c r="E64" s="19"/>
      <c r="F64" s="19"/>
      <c r="G64" s="22" t="str">
        <f t="shared" ref="G64:G66" si="4">_xludf.FORMULATEXT(H64)</f>
        <v>#NAME?</v>
      </c>
      <c r="H64" s="91">
        <f t="array" ref="H64">INDEX(B64:D68, 3, 3)</f>
        <v>15</v>
      </c>
      <c r="I64" s="52" t="s">
        <v>1795</v>
      </c>
      <c r="J64" s="19"/>
      <c r="K64" s="19"/>
      <c r="L64" s="19"/>
      <c r="M64" s="19"/>
      <c r="N64" s="19"/>
      <c r="O64" s="19"/>
      <c r="P64" s="19"/>
      <c r="Q64" s="19"/>
      <c r="R64" s="19"/>
      <c r="S64" s="19"/>
      <c r="T64" s="19"/>
      <c r="U64" s="19"/>
      <c r="V64" s="19"/>
      <c r="W64" s="19"/>
      <c r="X64" s="19"/>
      <c r="Y64" s="19"/>
      <c r="Z64" s="19"/>
    </row>
    <row r="65" ht="13.5" customHeight="1">
      <c r="A65" s="19"/>
      <c r="B65" s="22" t="s">
        <v>1789</v>
      </c>
      <c r="C65" s="91">
        <v>0.34</v>
      </c>
      <c r="D65" s="22">
        <v>38.0</v>
      </c>
      <c r="E65" s="19"/>
      <c r="F65" s="19"/>
      <c r="G65" s="22" t="str">
        <f t="shared" si="4"/>
        <v>#NAME?</v>
      </c>
      <c r="H65" s="91" t="str">
        <f>INDEX((B64:D68, B71:D74), 3, 2, 2)</f>
        <v>#ERROR!</v>
      </c>
      <c r="I65" s="52" t="s">
        <v>1796</v>
      </c>
      <c r="J65" s="19"/>
      <c r="K65" s="19"/>
      <c r="L65" s="19"/>
      <c r="M65" s="19"/>
      <c r="N65" s="19"/>
      <c r="O65" s="19"/>
      <c r="P65" s="19"/>
      <c r="Q65" s="19"/>
      <c r="R65" s="19"/>
      <c r="S65" s="19"/>
      <c r="T65" s="19"/>
      <c r="U65" s="19"/>
      <c r="V65" s="19"/>
      <c r="W65" s="19"/>
      <c r="X65" s="19"/>
      <c r="Y65" s="19"/>
      <c r="Z65" s="19"/>
    </row>
    <row r="66" ht="13.5" customHeight="1">
      <c r="A66" s="19"/>
      <c r="B66" s="22" t="s">
        <v>1787</v>
      </c>
      <c r="C66" s="91">
        <v>0.55</v>
      </c>
      <c r="D66" s="22">
        <v>15.0</v>
      </c>
      <c r="E66" s="19"/>
      <c r="F66" s="19"/>
      <c r="G66" s="22" t="str">
        <f t="shared" si="4"/>
        <v>#NAME?</v>
      </c>
      <c r="H66" s="91">
        <f t="array" ref="H66">SUM(D64:INDEX(B64:D68,5,3))</f>
        <v>158</v>
      </c>
      <c r="I66" s="52" t="s">
        <v>1797</v>
      </c>
      <c r="J66" s="19"/>
      <c r="K66" s="19"/>
      <c r="L66" s="19"/>
      <c r="M66" s="19"/>
      <c r="N66" s="19"/>
      <c r="O66" s="19"/>
      <c r="P66" s="19"/>
      <c r="Q66" s="19"/>
      <c r="R66" s="19"/>
      <c r="S66" s="19"/>
      <c r="T66" s="19"/>
      <c r="U66" s="19"/>
      <c r="V66" s="19"/>
      <c r="W66" s="19"/>
      <c r="X66" s="19"/>
      <c r="Y66" s="19"/>
      <c r="Z66" s="19"/>
    </row>
    <row r="67" ht="13.5" customHeight="1">
      <c r="A67" s="19"/>
      <c r="B67" s="22" t="s">
        <v>1798</v>
      </c>
      <c r="C67" s="91">
        <v>0.25</v>
      </c>
      <c r="D67" s="22">
        <v>25.0</v>
      </c>
      <c r="E67" s="19"/>
      <c r="F67" s="19"/>
      <c r="G67" s="19"/>
      <c r="H67" s="19"/>
      <c r="I67" s="19"/>
      <c r="J67" s="19"/>
      <c r="K67" s="19"/>
      <c r="L67" s="19"/>
      <c r="M67" s="19"/>
      <c r="N67" s="19"/>
      <c r="O67" s="19"/>
      <c r="P67" s="19"/>
      <c r="Q67" s="19"/>
      <c r="R67" s="19"/>
      <c r="S67" s="19"/>
      <c r="T67" s="19"/>
      <c r="U67" s="19"/>
      <c r="V67" s="19"/>
      <c r="W67" s="19"/>
      <c r="X67" s="19"/>
      <c r="Y67" s="19"/>
      <c r="Z67" s="19"/>
    </row>
    <row r="68" ht="13.5" customHeight="1">
      <c r="A68" s="19"/>
      <c r="B68" s="22" t="s">
        <v>1688</v>
      </c>
      <c r="C68" s="91">
        <v>0.59</v>
      </c>
      <c r="D68" s="22">
        <v>40.0</v>
      </c>
      <c r="E68" s="19"/>
      <c r="F68" s="19"/>
      <c r="G68" s="19"/>
      <c r="H68" s="19"/>
      <c r="I68" s="19"/>
      <c r="J68" s="19"/>
      <c r="K68" s="19"/>
      <c r="L68" s="19"/>
      <c r="M68" s="19"/>
      <c r="N68" s="19"/>
      <c r="O68" s="19"/>
      <c r="P68" s="19"/>
      <c r="Q68" s="19"/>
      <c r="R68" s="19"/>
      <c r="S68" s="19"/>
      <c r="T68" s="19"/>
      <c r="U68" s="19"/>
      <c r="V68" s="19"/>
      <c r="W68" s="19"/>
      <c r="X68" s="19"/>
      <c r="Y68" s="19"/>
      <c r="Z68" s="19"/>
    </row>
    <row r="69" ht="13.5" customHeight="1">
      <c r="A69" s="19"/>
      <c r="E69" s="19"/>
      <c r="F69" s="19"/>
      <c r="G69" s="19"/>
      <c r="H69" s="19"/>
      <c r="I69" s="19"/>
      <c r="J69" s="19"/>
      <c r="K69" s="19"/>
      <c r="L69" s="19"/>
      <c r="M69" s="19"/>
      <c r="N69" s="19"/>
      <c r="O69" s="19"/>
      <c r="P69" s="19"/>
      <c r="Q69" s="19"/>
      <c r="R69" s="19"/>
      <c r="S69" s="19"/>
      <c r="T69" s="19"/>
      <c r="U69" s="19"/>
      <c r="V69" s="19"/>
      <c r="W69" s="19"/>
      <c r="X69" s="19"/>
      <c r="Y69" s="19"/>
      <c r="Z69" s="19"/>
    </row>
    <row r="70" ht="13.5" customHeight="1">
      <c r="A70" s="19"/>
      <c r="B70" s="40" t="s">
        <v>1799</v>
      </c>
      <c r="C70" s="59" t="s">
        <v>1793</v>
      </c>
      <c r="D70" s="59" t="s">
        <v>1794</v>
      </c>
      <c r="E70" s="19"/>
      <c r="F70" s="19"/>
      <c r="G70" s="19"/>
      <c r="H70" s="19"/>
      <c r="I70" s="19"/>
      <c r="J70" s="19"/>
      <c r="K70" s="19"/>
      <c r="L70" s="19"/>
      <c r="M70" s="19"/>
      <c r="N70" s="19"/>
      <c r="O70" s="19"/>
      <c r="P70" s="19"/>
      <c r="Q70" s="19"/>
      <c r="R70" s="19"/>
      <c r="S70" s="19"/>
      <c r="T70" s="19"/>
      <c r="U70" s="19"/>
      <c r="V70" s="19"/>
      <c r="W70" s="19"/>
      <c r="X70" s="19"/>
      <c r="Y70" s="19"/>
      <c r="Z70" s="19"/>
    </row>
    <row r="71" ht="13.5" customHeight="1">
      <c r="A71" s="19"/>
      <c r="B71" s="22" t="s">
        <v>1800</v>
      </c>
      <c r="C71" s="91">
        <v>2.8</v>
      </c>
      <c r="D71" s="22">
        <v>10.0</v>
      </c>
      <c r="E71" s="19"/>
      <c r="F71" s="19"/>
      <c r="G71" s="19"/>
      <c r="H71" s="19"/>
      <c r="I71" s="19"/>
      <c r="J71" s="19"/>
      <c r="K71" s="19"/>
      <c r="L71" s="19"/>
      <c r="M71" s="19"/>
      <c r="N71" s="19"/>
      <c r="O71" s="19"/>
      <c r="P71" s="19"/>
      <c r="Q71" s="19"/>
      <c r="R71" s="19"/>
      <c r="S71" s="19"/>
      <c r="T71" s="19"/>
      <c r="U71" s="19"/>
      <c r="V71" s="19"/>
      <c r="W71" s="19"/>
      <c r="X71" s="19"/>
      <c r="Y71" s="19"/>
      <c r="Z71" s="19"/>
    </row>
    <row r="72" ht="13.5" customHeight="1">
      <c r="A72" s="19"/>
      <c r="B72" s="22" t="s">
        <v>1801</v>
      </c>
      <c r="C72" s="91">
        <v>3.55</v>
      </c>
      <c r="D72" s="22">
        <v>16.0</v>
      </c>
      <c r="E72" s="19"/>
      <c r="F72" s="19"/>
      <c r="G72" s="19"/>
      <c r="H72" s="19"/>
      <c r="I72" s="19"/>
      <c r="J72" s="19"/>
      <c r="K72" s="19"/>
      <c r="L72" s="19"/>
      <c r="M72" s="19"/>
      <c r="N72" s="19"/>
      <c r="O72" s="19"/>
      <c r="P72" s="19"/>
      <c r="Q72" s="19"/>
      <c r="R72" s="19"/>
      <c r="S72" s="19"/>
      <c r="T72" s="19"/>
      <c r="U72" s="19"/>
      <c r="V72" s="19"/>
      <c r="W72" s="19"/>
      <c r="X72" s="19"/>
      <c r="Y72" s="19"/>
      <c r="Z72" s="19"/>
    </row>
    <row r="73" ht="13.5" customHeight="1">
      <c r="A73" s="19"/>
      <c r="B73" s="22" t="s">
        <v>1802</v>
      </c>
      <c r="C73" s="91">
        <v>1.25</v>
      </c>
      <c r="D73" s="22">
        <v>20.0</v>
      </c>
      <c r="E73" s="19"/>
      <c r="F73" s="19"/>
      <c r="G73" s="19"/>
      <c r="H73" s="19"/>
      <c r="I73" s="19"/>
      <c r="J73" s="19"/>
      <c r="K73" s="19"/>
      <c r="L73" s="19"/>
      <c r="M73" s="19"/>
      <c r="N73" s="19"/>
      <c r="O73" s="19"/>
      <c r="P73" s="19"/>
      <c r="Q73" s="19"/>
      <c r="R73" s="19"/>
      <c r="S73" s="19"/>
      <c r="T73" s="19"/>
      <c r="U73" s="19"/>
      <c r="V73" s="19"/>
      <c r="W73" s="19"/>
      <c r="X73" s="19"/>
      <c r="Y73" s="19"/>
      <c r="Z73" s="19"/>
    </row>
    <row r="74" ht="13.5" customHeight="1">
      <c r="A74" s="19"/>
      <c r="B74" s="22" t="s">
        <v>1803</v>
      </c>
      <c r="C74" s="91">
        <v>1.75</v>
      </c>
      <c r="D74" s="22">
        <v>12.0</v>
      </c>
      <c r="E74" s="19"/>
      <c r="F74" s="19"/>
      <c r="G74" s="19"/>
      <c r="H74" s="19"/>
      <c r="I74" s="19"/>
      <c r="J74" s="19"/>
      <c r="K74" s="19"/>
      <c r="L74" s="19"/>
      <c r="M74" s="19"/>
      <c r="N74" s="19"/>
      <c r="O74" s="19"/>
      <c r="P74" s="19"/>
      <c r="Q74" s="19"/>
      <c r="R74" s="19"/>
      <c r="S74" s="19"/>
      <c r="T74" s="19"/>
      <c r="U74" s="19"/>
      <c r="V74" s="19"/>
      <c r="W74" s="19"/>
      <c r="X74" s="19"/>
      <c r="Y74" s="19"/>
      <c r="Z74" s="19"/>
    </row>
    <row r="75"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3.5" customHeight="1">
      <c r="A83" s="19"/>
      <c r="B83" s="53" t="s">
        <v>1353</v>
      </c>
      <c r="D83" s="19"/>
      <c r="E83" s="19"/>
      <c r="F83" s="19"/>
      <c r="G83" s="19"/>
      <c r="H83" s="19"/>
      <c r="I83" s="19"/>
      <c r="J83" s="19"/>
      <c r="K83" s="19"/>
      <c r="L83" s="19"/>
      <c r="M83" s="19"/>
      <c r="N83" s="19"/>
      <c r="O83" s="19"/>
      <c r="P83" s="19"/>
      <c r="Q83" s="19"/>
      <c r="R83" s="19"/>
      <c r="S83" s="19"/>
      <c r="T83" s="19"/>
      <c r="U83" s="19"/>
      <c r="V83" s="19"/>
      <c r="W83" s="19"/>
      <c r="X83" s="19"/>
      <c r="Y83" s="19"/>
      <c r="Z83" s="19"/>
    </row>
    <row r="84"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3.5" customHeight="1">
      <c r="A85" s="19"/>
      <c r="B85" s="48" t="s">
        <v>1804</v>
      </c>
      <c r="C85" s="49"/>
      <c r="D85" s="49"/>
      <c r="E85" s="49"/>
      <c r="F85" s="49"/>
      <c r="G85" s="49"/>
      <c r="H85" s="49"/>
      <c r="I85" s="51"/>
      <c r="J85" s="19"/>
      <c r="K85" s="19"/>
      <c r="L85" s="19"/>
      <c r="M85" s="19"/>
      <c r="N85" s="19"/>
      <c r="O85" s="19"/>
      <c r="P85" s="19"/>
      <c r="Q85" s="19"/>
      <c r="R85" s="19"/>
      <c r="S85" s="19"/>
      <c r="T85" s="19"/>
      <c r="U85" s="19"/>
      <c r="V85" s="19"/>
      <c r="W85" s="19"/>
      <c r="X85" s="19"/>
      <c r="Y85" s="19"/>
      <c r="Z85" s="19"/>
    </row>
    <row r="86" ht="13.5" customHeight="1">
      <c r="A86" s="19"/>
      <c r="B86" s="43" t="s">
        <v>1805</v>
      </c>
      <c r="C86" s="44"/>
      <c r="D86" s="44"/>
      <c r="E86" s="44"/>
      <c r="F86" s="44"/>
      <c r="G86" s="44"/>
      <c r="H86" s="44"/>
      <c r="I86" s="45"/>
      <c r="J86" s="19"/>
      <c r="K86" s="19"/>
      <c r="L86" s="19"/>
      <c r="M86" s="19"/>
      <c r="N86" s="19"/>
      <c r="O86" s="19"/>
      <c r="P86" s="19"/>
      <c r="Q86" s="19"/>
      <c r="R86" s="19"/>
      <c r="S86" s="19"/>
      <c r="T86" s="19"/>
      <c r="U86" s="19"/>
      <c r="V86" s="19"/>
      <c r="W86" s="19"/>
      <c r="X86" s="19"/>
      <c r="Y86" s="19"/>
      <c r="Z86" s="19"/>
    </row>
    <row r="87"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3.5" customHeight="1">
      <c r="A88" s="19"/>
      <c r="B88" s="40" t="s">
        <v>1643</v>
      </c>
      <c r="C88" s="59" t="s">
        <v>1340</v>
      </c>
      <c r="D88" s="19"/>
      <c r="E88" s="19"/>
      <c r="F88" s="19"/>
      <c r="G88" s="40" t="s">
        <v>1447</v>
      </c>
      <c r="H88" s="59" t="s">
        <v>1342</v>
      </c>
      <c r="I88" s="59" t="s">
        <v>1343</v>
      </c>
      <c r="J88" s="19"/>
      <c r="K88" s="19"/>
      <c r="L88" s="19"/>
      <c r="M88" s="19"/>
      <c r="N88" s="19"/>
      <c r="O88" s="19"/>
      <c r="P88" s="19"/>
      <c r="Q88" s="19"/>
      <c r="R88" s="19"/>
      <c r="S88" s="19"/>
      <c r="T88" s="19"/>
      <c r="U88" s="19"/>
      <c r="V88" s="19"/>
      <c r="W88" s="19"/>
      <c r="X88" s="19"/>
      <c r="Y88" s="19"/>
      <c r="Z88" s="19"/>
    </row>
    <row r="89" ht="13.5" customHeight="1">
      <c r="A89" s="19"/>
      <c r="B89" s="22" t="s">
        <v>1806</v>
      </c>
      <c r="C89" s="92" t="s">
        <v>1491</v>
      </c>
      <c r="D89" s="19"/>
      <c r="E89" s="19"/>
      <c r="F89" s="19"/>
      <c r="G89" s="22" t="str">
        <f t="shared" ref="G89:G94" si="5">_xludf.FORMULATEXT(H89)</f>
        <v>#NAME?</v>
      </c>
      <c r="H89" s="91" t="str">
        <f>INDIRECT(B89)</f>
        <v>Marissa</v>
      </c>
      <c r="I89" s="52" t="s">
        <v>1807</v>
      </c>
      <c r="J89" s="19"/>
      <c r="K89" s="19"/>
      <c r="L89" s="19"/>
      <c r="M89" s="19"/>
      <c r="N89" s="19"/>
      <c r="O89" s="19"/>
      <c r="P89" s="19"/>
      <c r="Q89" s="19"/>
      <c r="R89" s="19"/>
      <c r="S89" s="19"/>
      <c r="T89" s="19"/>
      <c r="U89" s="19"/>
      <c r="V89" s="19"/>
      <c r="W89" s="19"/>
      <c r="X89" s="19"/>
      <c r="Y89" s="19"/>
      <c r="Z89" s="19"/>
    </row>
    <row r="90" ht="13.5" customHeight="1">
      <c r="A90" s="19"/>
      <c r="B90" s="22" t="s">
        <v>267</v>
      </c>
      <c r="C90" s="92" t="s">
        <v>1494</v>
      </c>
      <c r="D90" s="19"/>
      <c r="E90" s="19"/>
      <c r="F90" s="19"/>
      <c r="G90" s="22" t="str">
        <f t="shared" si="5"/>
        <v>#NAME?</v>
      </c>
      <c r="H90" s="91" t="str">
        <f>INDIRECT("C90")</f>
        <v>Kawser</v>
      </c>
      <c r="I90" s="22" t="s">
        <v>1808</v>
      </c>
      <c r="J90" s="19"/>
      <c r="K90" s="19"/>
      <c r="L90" s="19"/>
      <c r="M90" s="19"/>
      <c r="N90" s="19"/>
      <c r="O90" s="19"/>
      <c r="P90" s="19"/>
      <c r="Q90" s="19"/>
      <c r="R90" s="19"/>
      <c r="S90" s="19"/>
      <c r="T90" s="19"/>
      <c r="U90" s="19"/>
      <c r="V90" s="19"/>
      <c r="W90" s="19"/>
      <c r="X90" s="19"/>
      <c r="Y90" s="19"/>
      <c r="Z90" s="19"/>
    </row>
    <row r="91" ht="13.5" customHeight="1">
      <c r="A91" s="19"/>
      <c r="B91" s="22" t="s">
        <v>187</v>
      </c>
      <c r="C91" s="92" t="s">
        <v>1773</v>
      </c>
      <c r="D91" s="19"/>
      <c r="E91" s="19"/>
      <c r="F91" s="19"/>
      <c r="G91" s="22" t="str">
        <f t="shared" si="5"/>
        <v>#NAME?</v>
      </c>
      <c r="H91" s="91" t="str">
        <f t="shared" ref="H91:H92" si="6">INDIRECT(B91)</f>
        <v>Excel</v>
      </c>
      <c r="I91" s="52" t="s">
        <v>1809</v>
      </c>
      <c r="J91" s="19"/>
      <c r="K91" s="19"/>
      <c r="L91" s="19"/>
      <c r="M91" s="19"/>
      <c r="N91" s="19"/>
      <c r="O91" s="19"/>
      <c r="P91" s="19"/>
      <c r="Q91" s="19"/>
      <c r="R91" s="19"/>
      <c r="S91" s="19"/>
      <c r="T91" s="19"/>
      <c r="U91" s="19"/>
      <c r="V91" s="19"/>
      <c r="W91" s="19"/>
      <c r="X91" s="19"/>
      <c r="Y91" s="19"/>
      <c r="Z91" s="19"/>
    </row>
    <row r="92" ht="13.5" customHeight="1">
      <c r="A92" s="19"/>
      <c r="B92" s="22" t="s">
        <v>1810</v>
      </c>
      <c r="C92" s="92">
        <v>90000.0</v>
      </c>
      <c r="D92" s="19"/>
      <c r="E92" s="19"/>
      <c r="F92" s="19"/>
      <c r="G92" s="22" t="str">
        <f t="shared" si="5"/>
        <v>#NAME?</v>
      </c>
      <c r="H92" s="91">
        <f t="shared" si="6"/>
        <v>90000</v>
      </c>
      <c r="I92" s="52" t="s">
        <v>1811</v>
      </c>
      <c r="J92" s="19"/>
      <c r="K92" s="19"/>
      <c r="L92" s="19"/>
      <c r="M92" s="19"/>
      <c r="N92" s="19"/>
      <c r="O92" s="19"/>
      <c r="P92" s="19"/>
      <c r="Q92" s="19"/>
      <c r="R92" s="19"/>
      <c r="S92" s="19"/>
      <c r="T92" s="19"/>
      <c r="U92" s="19"/>
      <c r="V92" s="19"/>
      <c r="W92" s="19"/>
      <c r="X92" s="19"/>
      <c r="Y92" s="19"/>
      <c r="Z92" s="19"/>
    </row>
    <row r="93" ht="13.5" customHeight="1">
      <c r="A93" s="19"/>
      <c r="B93" s="23">
        <v>93.0</v>
      </c>
      <c r="C93" s="92">
        <v>850.0</v>
      </c>
      <c r="D93" s="19"/>
      <c r="E93" s="19"/>
      <c r="F93" s="19"/>
      <c r="G93" s="22" t="str">
        <f t="shared" si="5"/>
        <v>#NAME?</v>
      </c>
      <c r="H93" s="91">
        <f>INDIRECT("C"&amp;B93)</f>
        <v>850</v>
      </c>
      <c r="I93" s="52" t="s">
        <v>1812</v>
      </c>
      <c r="J93" s="19"/>
      <c r="K93" s="19"/>
      <c r="L93" s="19"/>
      <c r="M93" s="19"/>
      <c r="N93" s="19"/>
      <c r="O93" s="19"/>
      <c r="P93" s="19"/>
      <c r="Q93" s="19"/>
      <c r="R93" s="19"/>
      <c r="S93" s="19"/>
      <c r="T93" s="19"/>
      <c r="U93" s="19"/>
      <c r="V93" s="19"/>
      <c r="W93" s="19"/>
      <c r="X93" s="19"/>
      <c r="Y93" s="19"/>
      <c r="Z93" s="19"/>
    </row>
    <row r="94" ht="13.5" customHeight="1">
      <c r="A94" s="19"/>
      <c r="B94" s="19"/>
      <c r="C94" s="19"/>
      <c r="D94" s="19"/>
      <c r="E94" s="19"/>
      <c r="F94" s="19"/>
      <c r="G94" s="22" t="str">
        <f t="shared" si="5"/>
        <v>#NAME?</v>
      </c>
      <c r="H94" s="91">
        <f>SUM(INDIRECT("C92:C93"))</f>
        <v>90850</v>
      </c>
      <c r="I94" s="52" t="s">
        <v>1813</v>
      </c>
      <c r="J94" s="19"/>
      <c r="K94" s="19"/>
      <c r="L94" s="19"/>
      <c r="M94" s="19"/>
      <c r="N94" s="19"/>
      <c r="O94" s="19"/>
      <c r="P94" s="19"/>
      <c r="Q94" s="19"/>
      <c r="R94" s="19"/>
      <c r="S94" s="19"/>
      <c r="T94" s="19"/>
      <c r="U94" s="19"/>
      <c r="V94" s="19"/>
      <c r="W94" s="19"/>
      <c r="X94" s="19"/>
      <c r="Y94" s="19"/>
      <c r="Z94" s="19"/>
    </row>
    <row r="95" ht="13.5" customHeight="1">
      <c r="A95" s="19"/>
      <c r="B95" s="53" t="s">
        <v>1353</v>
      </c>
      <c r="D95" s="19"/>
      <c r="E95" s="19"/>
      <c r="F95" s="19"/>
      <c r="G95" s="19"/>
      <c r="H95" s="19"/>
      <c r="I95" s="19"/>
      <c r="J95" s="19"/>
      <c r="K95" s="19"/>
      <c r="L95" s="19"/>
      <c r="M95" s="19"/>
      <c r="N95" s="19"/>
      <c r="O95" s="19"/>
      <c r="P95" s="19"/>
      <c r="Q95" s="19"/>
      <c r="R95" s="19"/>
      <c r="S95" s="19"/>
      <c r="T95" s="19"/>
      <c r="U95" s="19"/>
      <c r="V95" s="19"/>
      <c r="W95" s="19"/>
      <c r="X95" s="19"/>
      <c r="Y95" s="19"/>
      <c r="Z95" s="19"/>
    </row>
    <row r="9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48" t="s">
        <v>1814</v>
      </c>
      <c r="C97" s="49"/>
      <c r="D97" s="49"/>
      <c r="E97" s="49"/>
      <c r="F97" s="49"/>
      <c r="G97" s="49"/>
      <c r="H97" s="49"/>
      <c r="I97" s="51"/>
      <c r="J97" s="19"/>
      <c r="K97" s="19"/>
      <c r="L97" s="19"/>
      <c r="M97" s="19"/>
      <c r="N97" s="19"/>
      <c r="O97" s="19"/>
      <c r="P97" s="19"/>
      <c r="Q97" s="19"/>
      <c r="R97" s="19"/>
      <c r="S97" s="19"/>
      <c r="T97" s="19"/>
      <c r="U97" s="19"/>
      <c r="V97" s="19"/>
      <c r="W97" s="19"/>
      <c r="X97" s="19"/>
      <c r="Y97" s="19"/>
      <c r="Z97" s="19"/>
    </row>
    <row r="98" ht="13.5" customHeight="1">
      <c r="A98" s="19"/>
      <c r="B98" s="43" t="s">
        <v>1815</v>
      </c>
      <c r="C98" s="44"/>
      <c r="D98" s="44"/>
      <c r="E98" s="44"/>
      <c r="F98" s="44"/>
      <c r="G98" s="44"/>
      <c r="H98" s="44"/>
      <c r="I98" s="45"/>
      <c r="J98" s="19"/>
      <c r="K98" s="19"/>
      <c r="L98" s="19"/>
      <c r="M98" s="19"/>
      <c r="N98" s="19"/>
      <c r="O98" s="19"/>
      <c r="P98" s="19"/>
      <c r="Q98" s="19"/>
      <c r="R98" s="19"/>
      <c r="S98" s="19"/>
      <c r="T98" s="19"/>
      <c r="U98" s="19"/>
      <c r="V98" s="19"/>
      <c r="W98" s="19"/>
      <c r="X98" s="19"/>
      <c r="Y98" s="19"/>
      <c r="Z98" s="19"/>
    </row>
    <row r="99"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3.5" customHeight="1">
      <c r="A100" s="19"/>
      <c r="B100" s="40" t="s">
        <v>1643</v>
      </c>
      <c r="C100" s="59" t="s">
        <v>1643</v>
      </c>
      <c r="D100" s="59" t="s">
        <v>1643</v>
      </c>
      <c r="E100" s="19"/>
      <c r="F100" s="19"/>
      <c r="G100" s="40" t="s">
        <v>1447</v>
      </c>
      <c r="H100" s="59" t="s">
        <v>1342</v>
      </c>
      <c r="I100" s="59" t="s">
        <v>1343</v>
      </c>
      <c r="J100" s="19"/>
      <c r="K100" s="19"/>
      <c r="L100" s="19"/>
      <c r="M100" s="19"/>
      <c r="N100" s="19"/>
      <c r="O100" s="19"/>
      <c r="P100" s="19"/>
      <c r="Q100" s="19"/>
      <c r="R100" s="19"/>
      <c r="S100" s="19"/>
      <c r="T100" s="19"/>
      <c r="U100" s="19"/>
      <c r="V100" s="19"/>
      <c r="W100" s="19"/>
      <c r="X100" s="19"/>
      <c r="Y100" s="19"/>
      <c r="Z100" s="19"/>
    </row>
    <row r="101" ht="13.5" customHeight="1">
      <c r="A101" s="19"/>
      <c r="B101" s="22">
        <v>15.0</v>
      </c>
      <c r="C101" s="93">
        <v>25.0</v>
      </c>
      <c r="D101" s="93">
        <v>8.0</v>
      </c>
      <c r="E101" s="19"/>
      <c r="F101" s="19"/>
      <c r="G101" s="22" t="str">
        <f t="shared" ref="G101:G103" si="7">_xludf.FORMULATEXT(H101)</f>
        <v>#NAME?</v>
      </c>
      <c r="H101" s="22">
        <f>OFFSET(B104, -2, 2, 1, 1)</f>
        <v>7</v>
      </c>
      <c r="I101" s="52" t="s">
        <v>1816</v>
      </c>
      <c r="J101" s="19"/>
      <c r="K101" s="19"/>
      <c r="L101" s="19"/>
      <c r="M101" s="19"/>
      <c r="N101" s="19"/>
      <c r="O101" s="19"/>
      <c r="P101" s="19"/>
      <c r="Q101" s="19"/>
      <c r="R101" s="19"/>
      <c r="S101" s="19"/>
      <c r="T101" s="19"/>
      <c r="U101" s="19"/>
      <c r="V101" s="19"/>
      <c r="W101" s="19"/>
      <c r="X101" s="19"/>
      <c r="Y101" s="19"/>
      <c r="Z101" s="19"/>
    </row>
    <row r="102" ht="13.5" customHeight="1">
      <c r="A102" s="19"/>
      <c r="B102" s="22">
        <v>20.0</v>
      </c>
      <c r="C102" s="93">
        <v>31.0</v>
      </c>
      <c r="D102" s="93">
        <v>7.0</v>
      </c>
      <c r="E102" s="19"/>
      <c r="F102" s="19"/>
      <c r="G102" s="22" t="str">
        <f t="shared" si="7"/>
        <v>#NAME?</v>
      </c>
      <c r="H102" s="22">
        <f>SUM(OFFSET(B106, -3, 1, 2,2))</f>
        <v>54</v>
      </c>
      <c r="I102" s="22" t="s">
        <v>1817</v>
      </c>
      <c r="J102" s="19"/>
      <c r="K102" s="19"/>
      <c r="L102" s="19"/>
      <c r="M102" s="19"/>
      <c r="N102" s="19"/>
      <c r="O102" s="19"/>
      <c r="P102" s="19"/>
      <c r="Q102" s="19"/>
      <c r="R102" s="19"/>
      <c r="S102" s="19"/>
      <c r="T102" s="19"/>
      <c r="U102" s="19"/>
      <c r="V102" s="19"/>
      <c r="W102" s="19"/>
      <c r="X102" s="19"/>
      <c r="Y102" s="19"/>
      <c r="Z102" s="19"/>
    </row>
    <row r="103" ht="13.5" customHeight="1">
      <c r="A103" s="19"/>
      <c r="B103" s="22">
        <v>25.0</v>
      </c>
      <c r="C103" s="93">
        <v>12.0</v>
      </c>
      <c r="D103" s="93">
        <v>9.0</v>
      </c>
      <c r="E103" s="19"/>
      <c r="F103" s="19"/>
      <c r="G103" s="22" t="str">
        <f t="shared" si="7"/>
        <v>#NAME?</v>
      </c>
      <c r="H103" s="22">
        <f>SUM(OFFSET(B101, 0, 0, 8, 3))</f>
        <v>402</v>
      </c>
      <c r="I103" s="52" t="s">
        <v>1818</v>
      </c>
      <c r="J103" s="19"/>
      <c r="K103" s="19"/>
      <c r="L103" s="19"/>
      <c r="M103" s="19"/>
      <c r="N103" s="19"/>
      <c r="O103" s="19"/>
      <c r="P103" s="19"/>
      <c r="Q103" s="19"/>
      <c r="R103" s="19"/>
      <c r="S103" s="19"/>
      <c r="T103" s="19"/>
      <c r="U103" s="19"/>
      <c r="V103" s="19"/>
      <c r="W103" s="19"/>
      <c r="X103" s="19"/>
      <c r="Y103" s="19"/>
      <c r="Z103" s="19"/>
    </row>
    <row r="104" ht="13.5" customHeight="1">
      <c r="A104" s="19"/>
      <c r="B104" s="22">
        <v>9.0</v>
      </c>
      <c r="C104" s="93">
        <v>18.0</v>
      </c>
      <c r="D104" s="93">
        <v>15.0</v>
      </c>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3.5" customHeight="1">
      <c r="A105" s="19"/>
      <c r="B105" s="22">
        <v>11.0</v>
      </c>
      <c r="C105" s="93">
        <v>18.0</v>
      </c>
      <c r="D105" s="93">
        <v>14.0</v>
      </c>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3.5" customHeight="1">
      <c r="A106" s="19"/>
      <c r="B106" s="22">
        <v>18.0</v>
      </c>
      <c r="C106" s="93">
        <v>10.0</v>
      </c>
      <c r="D106" s="93">
        <v>16.0</v>
      </c>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3.5" customHeight="1">
      <c r="A107" s="19"/>
      <c r="B107" s="22">
        <v>18.0</v>
      </c>
      <c r="C107" s="93">
        <v>20.0</v>
      </c>
      <c r="D107" s="93">
        <v>17.0</v>
      </c>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3.5" customHeight="1">
      <c r="A108" s="19"/>
      <c r="B108" s="22">
        <v>15.0</v>
      </c>
      <c r="C108" s="93">
        <v>15.0</v>
      </c>
      <c r="D108" s="93">
        <v>36.0</v>
      </c>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3.5" customHeight="1">
      <c r="A113" s="19"/>
      <c r="B113" s="53" t="s">
        <v>1353</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7">
    <mergeCell ref="B11:C11"/>
    <mergeCell ref="B12:C12"/>
    <mergeCell ref="B15:C15"/>
    <mergeCell ref="B33:C33"/>
    <mergeCell ref="B83:C83"/>
    <mergeCell ref="B95:C95"/>
    <mergeCell ref="B113:C113"/>
  </mergeCells>
  <hyperlinks>
    <hyperlink r:id="rId1" ref="G1"/>
    <hyperlink display="Back to LIST OF FUNCTIONS" location="'LIST OF FUNCTIONS'!A1" ref="B15"/>
    <hyperlink display="Back to LIST OF FUNCTIONS" location="'LIST OF FUNCTIONS'!A1" ref="B33"/>
    <hyperlink display="Back to LIST OF FUNCTIONS" location="'LIST OF FUNCTIONS'!A1" ref="B83"/>
    <hyperlink display="Back to LIST OF FUNCTIONS" location="'LIST OF FUNCTIONS'!A1" ref="B95"/>
    <hyperlink display="Back to LIST OF FUNCTIONS" location="'LIST OF FUNCTIONS'!A1" ref="B113"/>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22.29"/>
    <col customWidth="1" min="3" max="3" width="10.71"/>
    <col customWidth="1" min="4" max="5" width="10.43"/>
    <col customWidth="1" min="6" max="6" width="3.86"/>
    <col customWidth="1" min="7" max="7" width="33.0"/>
    <col customWidth="1" min="8" max="8" width="18.86"/>
    <col customWidth="1" min="9" max="9" width="40.14"/>
    <col customWidth="1" min="10" max="26" width="8.71"/>
  </cols>
  <sheetData>
    <row r="1" ht="14.25" customHeight="1">
      <c r="A1" s="5"/>
      <c r="G1" s="30" t="s">
        <v>1335</v>
      </c>
    </row>
    <row r="2" ht="14.25" customHeight="1">
      <c r="B2" s="48" t="s">
        <v>1819</v>
      </c>
      <c r="C2" s="49"/>
      <c r="D2" s="49"/>
      <c r="E2" s="49"/>
      <c r="F2" s="49"/>
      <c r="G2" s="50"/>
      <c r="H2" s="32"/>
      <c r="I2" s="88"/>
    </row>
    <row r="3" ht="14.25" customHeight="1">
      <c r="B3" s="43" t="s">
        <v>1820</v>
      </c>
      <c r="C3" s="44"/>
      <c r="D3" s="44"/>
      <c r="E3" s="44"/>
      <c r="F3" s="44"/>
      <c r="G3" s="44"/>
      <c r="H3" s="44"/>
      <c r="I3" s="45"/>
    </row>
    <row r="4" ht="14.25" customHeight="1"/>
    <row r="5" ht="14.25" customHeight="1">
      <c r="B5" s="40" t="s">
        <v>1821</v>
      </c>
      <c r="C5" s="40" t="s">
        <v>1710</v>
      </c>
      <c r="D5" s="40" t="s">
        <v>1822</v>
      </c>
      <c r="G5" s="40" t="s">
        <v>1447</v>
      </c>
      <c r="H5" s="40" t="s">
        <v>1342</v>
      </c>
      <c r="I5" s="40" t="s">
        <v>1343</v>
      </c>
    </row>
    <row r="6" ht="14.25" customHeight="1">
      <c r="B6" s="22">
        <v>2015.0</v>
      </c>
      <c r="C6" s="22">
        <v>10.0</v>
      </c>
      <c r="D6" s="52">
        <v>15.0</v>
      </c>
      <c r="G6" s="22" t="str">
        <f t="shared" ref="G6:G8" si="1">_xludf.FORMULATEXT(H6)</f>
        <v>#NAME?</v>
      </c>
      <c r="H6" s="46">
        <f>DATE(B6, C6, D6)</f>
        <v>42292</v>
      </c>
      <c r="I6" s="52" t="s">
        <v>1823</v>
      </c>
    </row>
    <row r="7" ht="14.25" customHeight="1">
      <c r="B7" s="22">
        <v>2010.0</v>
      </c>
      <c r="C7" s="22">
        <v>5.0</v>
      </c>
      <c r="D7" s="52">
        <v>25.0</v>
      </c>
      <c r="G7" s="22" t="str">
        <f t="shared" si="1"/>
        <v>#NAME?</v>
      </c>
      <c r="H7" s="46">
        <f>DATE(2010, C7, D7)</f>
        <v>40323</v>
      </c>
      <c r="I7" s="52" t="s">
        <v>1823</v>
      </c>
    </row>
    <row r="8" ht="14.25" customHeight="1">
      <c r="B8" s="22">
        <v>1805.0</v>
      </c>
      <c r="C8" s="22">
        <v>8.0</v>
      </c>
      <c r="D8" s="52">
        <v>23.0</v>
      </c>
      <c r="G8" s="22" t="str">
        <f t="shared" si="1"/>
        <v>#NAME?</v>
      </c>
      <c r="H8" s="46">
        <f>DATE(B8, C8, D8)</f>
        <v>659499</v>
      </c>
      <c r="I8" s="52" t="s">
        <v>1824</v>
      </c>
    </row>
    <row r="9" ht="14.25" customHeight="1"/>
    <row r="10" ht="14.25" customHeight="1"/>
    <row r="11" ht="14.25" customHeight="1">
      <c r="B11" s="53" t="s">
        <v>1353</v>
      </c>
    </row>
    <row r="12" ht="14.25" customHeight="1">
      <c r="G12" s="5"/>
    </row>
    <row r="13" ht="14.25" customHeight="1">
      <c r="B13" s="48" t="s">
        <v>1825</v>
      </c>
      <c r="C13" s="49"/>
      <c r="D13" s="49"/>
      <c r="E13" s="49"/>
      <c r="F13" s="49"/>
      <c r="G13" s="50"/>
      <c r="H13" s="32"/>
      <c r="I13" s="88"/>
    </row>
    <row r="14" ht="14.25" customHeight="1">
      <c r="B14" s="43" t="s">
        <v>1826</v>
      </c>
      <c r="C14" s="44"/>
      <c r="D14" s="44"/>
      <c r="E14" s="44"/>
      <c r="F14" s="44"/>
      <c r="G14" s="44"/>
      <c r="H14" s="44"/>
      <c r="I14" s="45"/>
    </row>
    <row r="15" ht="14.25" customHeight="1"/>
    <row r="16" ht="14.25" customHeight="1">
      <c r="G16" s="40" t="s">
        <v>1447</v>
      </c>
      <c r="H16" s="40" t="s">
        <v>1342</v>
      </c>
      <c r="I16" s="40" t="s">
        <v>1343</v>
      </c>
    </row>
    <row r="17" ht="14.25" customHeight="1">
      <c r="G17" s="22" t="str">
        <f t="shared" ref="G17:G19" si="2">_xludf.FORMULATEXT(H17)</f>
        <v>#NAME?</v>
      </c>
      <c r="H17" s="46" t="str">
        <f>DATEVALUE("25/10/2015")</f>
        <v>#VALUE!</v>
      </c>
      <c r="I17" s="52" t="s">
        <v>1827</v>
      </c>
    </row>
    <row r="18" ht="14.25" customHeight="1">
      <c r="G18" s="22" t="str">
        <f t="shared" si="2"/>
        <v>#NAME?</v>
      </c>
      <c r="H18" s="46">
        <f>DATEVALUE("22 May, 2015")</f>
        <v>42146</v>
      </c>
      <c r="I18" s="52" t="s">
        <v>1828</v>
      </c>
    </row>
    <row r="19" ht="14.25" customHeight="1">
      <c r="G19" s="22" t="str">
        <f t="shared" si="2"/>
        <v>#NAME?</v>
      </c>
      <c r="H19" s="46">
        <f>DATEVALUE("22-May-2015")</f>
        <v>42146</v>
      </c>
      <c r="I19" s="52" t="s">
        <v>1829</v>
      </c>
    </row>
    <row r="20" ht="14.25" customHeight="1">
      <c r="B20" s="53" t="s">
        <v>1353</v>
      </c>
    </row>
    <row r="21" ht="14.25" customHeight="1"/>
    <row r="22" ht="14.25" customHeight="1">
      <c r="B22" s="48" t="s">
        <v>1830</v>
      </c>
      <c r="C22" s="49"/>
      <c r="D22" s="49"/>
      <c r="E22" s="49"/>
      <c r="F22" s="49"/>
      <c r="G22" s="50"/>
      <c r="H22" s="32"/>
      <c r="I22" s="88"/>
    </row>
    <row r="23" ht="14.25" customHeight="1">
      <c r="B23" s="43" t="s">
        <v>1831</v>
      </c>
      <c r="C23" s="44"/>
      <c r="D23" s="44"/>
      <c r="E23" s="44"/>
      <c r="F23" s="44"/>
      <c r="G23" s="44"/>
      <c r="H23" s="44"/>
      <c r="I23" s="45"/>
    </row>
    <row r="24" ht="14.25" customHeight="1"/>
    <row r="25" ht="14.25" customHeight="1">
      <c r="B25" s="40" t="s">
        <v>1832</v>
      </c>
      <c r="C25" s="40" t="s">
        <v>1833</v>
      </c>
      <c r="D25" s="40" t="s">
        <v>1834</v>
      </c>
      <c r="G25" s="40" t="s">
        <v>1447</v>
      </c>
      <c r="H25" s="40" t="s">
        <v>1342</v>
      </c>
      <c r="I25" s="40" t="s">
        <v>1343</v>
      </c>
    </row>
    <row r="26" ht="14.25" customHeight="1">
      <c r="B26" s="22">
        <v>12.0</v>
      </c>
      <c r="C26" s="46">
        <v>30.0</v>
      </c>
      <c r="D26" s="52">
        <v>30.0</v>
      </c>
      <c r="G26" s="22" t="str">
        <f t="shared" ref="G26:G28" si="3">_xludf.FORMULATEXT(H26)</f>
        <v>#NAME?</v>
      </c>
      <c r="H26" s="94">
        <f>TIME(B26, C26, D26)</f>
        <v>0.5211805556</v>
      </c>
      <c r="I26" s="52" t="s">
        <v>1835</v>
      </c>
    </row>
    <row r="27" ht="14.25" customHeight="1">
      <c r="B27" s="22">
        <v>16.0</v>
      </c>
      <c r="C27" s="46">
        <v>45.0</v>
      </c>
      <c r="D27" s="52">
        <v>30.0</v>
      </c>
      <c r="G27" s="22" t="str">
        <f t="shared" si="3"/>
        <v>#NAME?</v>
      </c>
      <c r="H27" s="95">
        <f t="shared" ref="H27:H28" si="4">TIME(B27,C27,D27)</f>
        <v>0.6982638889</v>
      </c>
      <c r="I27" s="52" t="s">
        <v>1836</v>
      </c>
    </row>
    <row r="28" ht="14.25" customHeight="1">
      <c r="B28" s="22">
        <v>16.0</v>
      </c>
      <c r="C28" s="46">
        <v>48.0</v>
      </c>
      <c r="D28" s="52">
        <v>15.0</v>
      </c>
      <c r="G28" s="22" t="str">
        <f t="shared" si="3"/>
        <v>#NAME?</v>
      </c>
      <c r="H28" s="95">
        <f t="shared" si="4"/>
        <v>0.7001736111</v>
      </c>
      <c r="I28" s="52" t="s">
        <v>1836</v>
      </c>
    </row>
    <row r="29" ht="14.25" customHeight="1"/>
    <row r="30" ht="14.25" customHeight="1"/>
    <row r="31" ht="14.25" customHeight="1"/>
    <row r="32" ht="14.25" customHeight="1"/>
    <row r="33" ht="14.25" customHeight="1"/>
    <row r="34" ht="14.25" customHeight="1">
      <c r="B34" s="53" t="s">
        <v>1353</v>
      </c>
    </row>
    <row r="35" ht="14.25" customHeight="1"/>
    <row r="36" ht="14.25" customHeight="1"/>
    <row r="37" ht="14.25" customHeight="1">
      <c r="B37" s="48" t="s">
        <v>1837</v>
      </c>
      <c r="C37" s="49"/>
      <c r="D37" s="49"/>
      <c r="E37" s="49"/>
      <c r="F37" s="49"/>
      <c r="G37" s="50"/>
      <c r="H37" s="32"/>
      <c r="I37" s="96"/>
      <c r="J37" s="97"/>
      <c r="K37" s="98"/>
    </row>
    <row r="38" ht="14.25" customHeight="1">
      <c r="B38" s="43" t="s">
        <v>1838</v>
      </c>
      <c r="C38" s="44"/>
      <c r="D38" s="44"/>
      <c r="E38" s="44"/>
      <c r="F38" s="44"/>
      <c r="G38" s="44"/>
      <c r="H38" s="44"/>
      <c r="I38" s="43"/>
      <c r="J38" s="99"/>
      <c r="K38" s="100"/>
    </row>
    <row r="39" ht="14.25" customHeight="1"/>
    <row r="40" ht="14.25" customHeight="1">
      <c r="G40" s="40" t="s">
        <v>1447</v>
      </c>
      <c r="H40" s="40" t="s">
        <v>1342</v>
      </c>
      <c r="I40" s="40" t="s">
        <v>1343</v>
      </c>
    </row>
    <row r="41" ht="14.25" customHeight="1">
      <c r="G41" s="22" t="str">
        <f t="shared" ref="G41:G42" si="5">_xludf.FORMULATEXT(H41)</f>
        <v>#NAME?</v>
      </c>
      <c r="H41" s="95">
        <f>TIMEVALUE("2:50 PM")</f>
        <v>0.6180555556</v>
      </c>
      <c r="I41" s="52" t="s">
        <v>1839</v>
      </c>
    </row>
    <row r="42" ht="14.25" customHeight="1">
      <c r="G42" s="22" t="str">
        <f t="shared" si="5"/>
        <v>#NAME?</v>
      </c>
      <c r="H42" s="22">
        <f>TIMEVALUE("22-August-2015 2:50 PM")</f>
        <v>0.6180555556</v>
      </c>
      <c r="I42" s="52" t="s">
        <v>1840</v>
      </c>
    </row>
    <row r="43" ht="14.25" customHeight="1"/>
    <row r="44" ht="14.25" customHeight="1"/>
    <row r="45" ht="14.25" customHeight="1"/>
    <row r="46" ht="14.25" customHeight="1"/>
    <row r="47" ht="14.25" customHeight="1"/>
    <row r="48" ht="14.25" customHeight="1"/>
    <row r="49" ht="14.25" customHeight="1">
      <c r="B49" s="53" t="s">
        <v>1353</v>
      </c>
    </row>
    <row r="50" ht="14.25" customHeight="1"/>
    <row r="51" ht="14.25" customHeight="1">
      <c r="B51" s="48" t="s">
        <v>1841</v>
      </c>
      <c r="C51" s="49"/>
      <c r="D51" s="49"/>
      <c r="E51" s="49"/>
      <c r="F51" s="49"/>
      <c r="G51" s="50"/>
      <c r="H51" s="32"/>
      <c r="I51" s="88"/>
    </row>
    <row r="52" ht="14.25" customHeight="1">
      <c r="B52" s="43" t="s">
        <v>1842</v>
      </c>
      <c r="C52" s="44"/>
      <c r="D52" s="44"/>
      <c r="E52" s="44"/>
      <c r="F52" s="44"/>
      <c r="G52" s="44"/>
      <c r="H52" s="44"/>
      <c r="I52" s="45"/>
    </row>
    <row r="53" ht="14.25" customHeight="1"/>
    <row r="54" ht="14.25" customHeight="1">
      <c r="G54" s="40" t="s">
        <v>1447</v>
      </c>
      <c r="H54" s="40" t="s">
        <v>1342</v>
      </c>
      <c r="I54" s="40" t="s">
        <v>1343</v>
      </c>
    </row>
    <row r="55" ht="14.25" customHeight="1">
      <c r="G55" s="22" t="str">
        <f t="shared" ref="G55:G56" si="6">_xludf.FORMULATEXT(H55)</f>
        <v>#NAME?</v>
      </c>
      <c r="H55" s="47">
        <f>NOW()</f>
        <v>45489.13359</v>
      </c>
      <c r="I55" s="52" t="s">
        <v>1843</v>
      </c>
    </row>
    <row r="56" ht="14.25" customHeight="1">
      <c r="G56" s="22" t="str">
        <f t="shared" si="6"/>
        <v>#NAME?</v>
      </c>
      <c r="H56" s="47">
        <f>NOW()+7</f>
        <v>45496.13359</v>
      </c>
      <c r="I56" s="52" t="s">
        <v>1844</v>
      </c>
    </row>
    <row r="57" ht="14.25" customHeight="1"/>
    <row r="58" ht="14.25" customHeight="1"/>
    <row r="59" ht="14.25" customHeight="1"/>
    <row r="60" ht="14.25" customHeight="1"/>
    <row r="61" ht="14.25" customHeight="1"/>
    <row r="62" ht="14.25" customHeight="1"/>
    <row r="63" ht="14.25" customHeight="1"/>
    <row r="64" ht="14.25" customHeight="1"/>
    <row r="65" ht="14.25" customHeight="1">
      <c r="B65" s="53" t="s">
        <v>1353</v>
      </c>
    </row>
    <row r="66" ht="14.25" customHeight="1"/>
    <row r="67" ht="14.25" customHeight="1">
      <c r="B67" s="48" t="s">
        <v>1845</v>
      </c>
      <c r="C67" s="49"/>
      <c r="D67" s="49"/>
      <c r="E67" s="49"/>
      <c r="F67" s="49"/>
      <c r="G67" s="50"/>
      <c r="H67" s="32"/>
      <c r="I67" s="88"/>
    </row>
    <row r="68" ht="14.25" customHeight="1">
      <c r="B68" s="43" t="s">
        <v>1846</v>
      </c>
      <c r="C68" s="44"/>
      <c r="D68" s="44"/>
      <c r="E68" s="44"/>
      <c r="F68" s="44"/>
      <c r="G68" s="44"/>
      <c r="H68" s="44"/>
      <c r="I68" s="45"/>
    </row>
    <row r="69" ht="14.25" customHeight="1"/>
    <row r="70" ht="14.25" customHeight="1">
      <c r="G70" s="40" t="s">
        <v>1447</v>
      </c>
      <c r="H70" s="40" t="s">
        <v>1342</v>
      </c>
      <c r="I70" s="40" t="s">
        <v>1343</v>
      </c>
    </row>
    <row r="71" ht="14.25" customHeight="1">
      <c r="G71" s="22"/>
      <c r="H71" s="46">
        <f>TODAY()</f>
        <v>45489</v>
      </c>
      <c r="I71" s="52" t="s">
        <v>1847</v>
      </c>
    </row>
    <row r="72" ht="14.25" customHeight="1">
      <c r="G72" s="22"/>
      <c r="H72" s="46">
        <f>TODAY()+7</f>
        <v>45496</v>
      </c>
      <c r="I72" s="52" t="s">
        <v>1848</v>
      </c>
    </row>
    <row r="73" ht="14.25" customHeight="1">
      <c r="B73" s="53" t="s">
        <v>1353</v>
      </c>
    </row>
    <row r="74" ht="14.25" customHeight="1"/>
    <row r="75" ht="14.25" customHeight="1">
      <c r="B75" s="48" t="s">
        <v>1849</v>
      </c>
      <c r="C75" s="49"/>
      <c r="D75" s="49"/>
      <c r="E75" s="49"/>
      <c r="F75" s="49"/>
      <c r="G75" s="50"/>
      <c r="H75" s="32"/>
      <c r="I75" s="88"/>
    </row>
    <row r="76" ht="14.25" customHeight="1">
      <c r="B76" s="43" t="s">
        <v>1850</v>
      </c>
      <c r="C76" s="44"/>
      <c r="D76" s="44"/>
      <c r="E76" s="44"/>
      <c r="F76" s="44"/>
      <c r="G76" s="44"/>
      <c r="H76" s="44"/>
      <c r="I76" s="45"/>
    </row>
    <row r="77" ht="14.25" customHeight="1"/>
    <row r="78" ht="14.25" customHeight="1">
      <c r="B78" s="40" t="s">
        <v>1851</v>
      </c>
      <c r="C78" s="83" t="s">
        <v>1852</v>
      </c>
      <c r="D78" s="66"/>
      <c r="E78" s="66"/>
      <c r="F78" s="66"/>
      <c r="G78" s="67"/>
      <c r="H78" s="40" t="s">
        <v>1447</v>
      </c>
      <c r="I78" s="40" t="s">
        <v>1342</v>
      </c>
    </row>
    <row r="79" ht="14.25" customHeight="1">
      <c r="B79" s="22" t="s">
        <v>1853</v>
      </c>
      <c r="C79" s="46" t="s">
        <v>1854</v>
      </c>
      <c r="D79" s="52"/>
      <c r="E79" s="22"/>
      <c r="F79" s="46"/>
      <c r="G79" s="52"/>
      <c r="H79" s="22" t="str">
        <f t="shared" ref="H79:H84" si="7">_xludf.FORMULATEXT(I79)</f>
        <v>#NAME?</v>
      </c>
      <c r="I79" s="22">
        <f>YEAR(NOW())</f>
        <v>2024</v>
      </c>
    </row>
    <row r="80" ht="14.25" customHeight="1">
      <c r="B80" s="22" t="s">
        <v>1855</v>
      </c>
      <c r="C80" s="46" t="s">
        <v>1856</v>
      </c>
      <c r="D80" s="52"/>
      <c r="E80" s="22"/>
      <c r="F80" s="46"/>
      <c r="G80" s="52"/>
      <c r="H80" s="22" t="str">
        <f t="shared" si="7"/>
        <v>#NAME?</v>
      </c>
      <c r="I80" s="22">
        <f>MONTH(NOW())</f>
        <v>7</v>
      </c>
    </row>
    <row r="81" ht="14.25" customHeight="1">
      <c r="B81" s="22" t="s">
        <v>1857</v>
      </c>
      <c r="C81" s="46" t="s">
        <v>1858</v>
      </c>
      <c r="D81" s="52"/>
      <c r="E81" s="22"/>
      <c r="F81" s="46"/>
      <c r="G81" s="52"/>
      <c r="H81" s="22" t="str">
        <f t="shared" si="7"/>
        <v>#NAME?</v>
      </c>
      <c r="I81" s="22">
        <f>DAY(NOW())</f>
        <v>16</v>
      </c>
    </row>
    <row r="82" ht="14.25" customHeight="1">
      <c r="B82" s="22" t="s">
        <v>1859</v>
      </c>
      <c r="C82" s="46" t="s">
        <v>1860</v>
      </c>
      <c r="D82" s="52"/>
      <c r="E82" s="22"/>
      <c r="F82" s="46"/>
      <c r="G82" s="52"/>
      <c r="H82" s="22" t="str">
        <f t="shared" si="7"/>
        <v>#NAME?</v>
      </c>
      <c r="I82" s="22">
        <f>HOUR(NOW())</f>
        <v>3</v>
      </c>
    </row>
    <row r="83" ht="14.25" customHeight="1">
      <c r="B83" s="22" t="s">
        <v>1861</v>
      </c>
      <c r="C83" s="46" t="s">
        <v>1862</v>
      </c>
      <c r="D83" s="52"/>
      <c r="E83" s="22"/>
      <c r="F83" s="101"/>
      <c r="G83" s="102"/>
      <c r="H83" s="22" t="str">
        <f t="shared" si="7"/>
        <v>#NAME?</v>
      </c>
      <c r="I83" s="22">
        <f>MINUTE(NOW())</f>
        <v>12</v>
      </c>
    </row>
    <row r="84" ht="14.25" customHeight="1">
      <c r="B84" s="22" t="s">
        <v>1863</v>
      </c>
      <c r="C84" s="46" t="s">
        <v>1864</v>
      </c>
      <c r="D84" s="52"/>
      <c r="E84" s="22"/>
      <c r="F84" s="101"/>
      <c r="G84" s="102"/>
      <c r="H84" s="22" t="str">
        <f t="shared" si="7"/>
        <v>#NAME?</v>
      </c>
      <c r="I84" s="22">
        <f>SECOND(NOW())</f>
        <v>22</v>
      </c>
    </row>
    <row r="85" ht="14.25" customHeight="1"/>
    <row r="86" ht="14.25" customHeight="1"/>
    <row r="87" ht="14.25" customHeight="1"/>
    <row r="88" ht="14.25" customHeight="1"/>
    <row r="89" ht="14.25" customHeight="1"/>
    <row r="90" ht="14.25" customHeight="1"/>
    <row r="91" ht="14.25" customHeight="1"/>
    <row r="92" ht="14.25" customHeight="1"/>
    <row r="93" ht="14.25" customHeight="1">
      <c r="B93" s="53" t="s">
        <v>1353</v>
      </c>
    </row>
    <row r="94" ht="14.25" customHeight="1"/>
    <row r="95" ht="14.25" customHeight="1">
      <c r="B95" s="48" t="s">
        <v>1865</v>
      </c>
      <c r="C95" s="49"/>
      <c r="D95" s="49"/>
      <c r="E95" s="49"/>
      <c r="F95" s="49"/>
      <c r="G95" s="50"/>
      <c r="H95" s="32"/>
      <c r="I95" s="88"/>
    </row>
    <row r="96" ht="14.25" customHeight="1">
      <c r="B96" s="43" t="s">
        <v>1866</v>
      </c>
      <c r="C96" s="44"/>
      <c r="D96" s="44"/>
      <c r="E96" s="44"/>
      <c r="F96" s="44"/>
      <c r="G96" s="44"/>
      <c r="H96" s="44"/>
      <c r="I96" s="45"/>
    </row>
    <row r="97" ht="14.25" customHeight="1"/>
    <row r="98" ht="14.25" customHeight="1">
      <c r="B98" s="74" t="s">
        <v>1867</v>
      </c>
      <c r="C98" s="83" t="s">
        <v>1868</v>
      </c>
      <c r="D98" s="66"/>
      <c r="E98" s="66"/>
      <c r="F98" s="66"/>
      <c r="G98" s="67"/>
      <c r="H98" s="74" t="s">
        <v>1447</v>
      </c>
      <c r="I98" s="40" t="s">
        <v>1342</v>
      </c>
      <c r="J98" s="83" t="s">
        <v>1343</v>
      </c>
      <c r="K98" s="66"/>
      <c r="L98" s="66"/>
      <c r="M98" s="67"/>
    </row>
    <row r="99" ht="27.0" customHeight="1">
      <c r="B99" s="103" t="s">
        <v>1678</v>
      </c>
      <c r="C99" s="104" t="s">
        <v>1869</v>
      </c>
      <c r="D99" s="66"/>
      <c r="E99" s="66"/>
      <c r="F99" s="66"/>
      <c r="G99" s="67"/>
      <c r="H99" s="22" t="str">
        <f t="shared" ref="H99:H100" si="8">_xludf.FORMULATEXT(I99)</f>
        <v>#NAME?</v>
      </c>
      <c r="I99" s="22">
        <f>WEEKDAY(NOW())</f>
        <v>3</v>
      </c>
      <c r="J99" s="105" t="s">
        <v>1870</v>
      </c>
      <c r="K99" s="66"/>
      <c r="L99" s="66"/>
      <c r="M99" s="67"/>
    </row>
    <row r="100" ht="27.0" customHeight="1">
      <c r="B100" s="103">
        <v>2.0</v>
      </c>
      <c r="C100" s="46" t="s">
        <v>1871</v>
      </c>
      <c r="D100" s="52"/>
      <c r="E100" s="22"/>
      <c r="F100" s="46"/>
      <c r="G100" s="52"/>
      <c r="H100" s="22" t="str">
        <f t="shared" si="8"/>
        <v>#NAME?</v>
      </c>
      <c r="I100" s="22">
        <f>WEEKDAY(NOW(), 16)</f>
        <v>4</v>
      </c>
      <c r="J100" s="106" t="s">
        <v>1872</v>
      </c>
      <c r="K100" s="66"/>
      <c r="L100" s="66"/>
      <c r="M100" s="67"/>
    </row>
    <row r="101" ht="14.25" customHeight="1">
      <c r="B101" s="103">
        <v>3.0</v>
      </c>
      <c r="C101" s="46" t="s">
        <v>1873</v>
      </c>
      <c r="D101" s="52"/>
      <c r="E101" s="22"/>
      <c r="F101" s="46"/>
      <c r="G101" s="52"/>
      <c r="J101" s="5"/>
    </row>
    <row r="102" ht="14.25" customHeight="1">
      <c r="B102" s="103">
        <v>11.0</v>
      </c>
      <c r="C102" s="46" t="s">
        <v>1871</v>
      </c>
      <c r="D102" s="52"/>
      <c r="E102" s="22"/>
      <c r="F102" s="46"/>
      <c r="G102" s="52"/>
      <c r="J102" s="5"/>
    </row>
    <row r="103" ht="14.25" customHeight="1">
      <c r="B103" s="103">
        <v>12.0</v>
      </c>
      <c r="C103" s="46" t="s">
        <v>1874</v>
      </c>
      <c r="D103" s="52"/>
      <c r="E103" s="22"/>
      <c r="F103" s="46"/>
      <c r="G103" s="52"/>
      <c r="J103" s="5"/>
    </row>
    <row r="104" ht="14.25" customHeight="1">
      <c r="B104" s="103">
        <v>13.0</v>
      </c>
      <c r="C104" s="46" t="s">
        <v>1875</v>
      </c>
      <c r="D104" s="52"/>
      <c r="E104" s="22"/>
      <c r="F104" s="46"/>
      <c r="G104" s="52"/>
      <c r="J104" s="5"/>
    </row>
    <row r="105" ht="14.25" customHeight="1">
      <c r="B105" s="103">
        <v>14.0</v>
      </c>
      <c r="C105" s="46" t="s">
        <v>1876</v>
      </c>
      <c r="D105" s="52"/>
      <c r="E105" s="22"/>
      <c r="F105" s="46"/>
      <c r="G105" s="52"/>
    </row>
    <row r="106" ht="14.25" customHeight="1">
      <c r="B106" s="103">
        <v>15.0</v>
      </c>
      <c r="C106" s="46" t="s">
        <v>1877</v>
      </c>
      <c r="D106" s="52"/>
      <c r="E106" s="22"/>
      <c r="F106" s="46"/>
      <c r="G106" s="52"/>
    </row>
    <row r="107" ht="14.25" customHeight="1">
      <c r="B107" s="103">
        <v>16.0</v>
      </c>
      <c r="C107" s="46" t="s">
        <v>1878</v>
      </c>
      <c r="D107" s="52"/>
      <c r="E107" s="22"/>
      <c r="F107" s="46"/>
      <c r="G107" s="52"/>
    </row>
    <row r="108" ht="14.25" customHeight="1">
      <c r="B108" s="103">
        <v>17.0</v>
      </c>
      <c r="C108" s="46" t="s">
        <v>1879</v>
      </c>
      <c r="D108" s="52"/>
      <c r="E108" s="22"/>
      <c r="F108" s="46"/>
      <c r="G108" s="52"/>
    </row>
    <row r="109" ht="14.25" customHeight="1"/>
    <row r="110" ht="14.25" customHeight="1"/>
    <row r="111" ht="14.25" customHeight="1"/>
    <row r="112" ht="14.25" customHeight="1"/>
    <row r="113" ht="14.25" customHeight="1"/>
    <row r="114" ht="14.25" customHeight="1"/>
    <row r="115" ht="14.25" customHeight="1"/>
    <row r="116" ht="14.25" customHeight="1">
      <c r="B116" s="53" t="s">
        <v>1353</v>
      </c>
    </row>
    <row r="117" ht="14.25" customHeight="1"/>
    <row r="118" ht="14.25" customHeight="1">
      <c r="B118" s="48" t="s">
        <v>1880</v>
      </c>
      <c r="C118" s="49"/>
      <c r="D118" s="49"/>
      <c r="E118" s="49"/>
      <c r="F118" s="49"/>
      <c r="G118" s="50"/>
      <c r="H118" s="32"/>
      <c r="I118" s="88"/>
    </row>
    <row r="119" ht="14.25" customHeight="1">
      <c r="B119" s="43" t="s">
        <v>1881</v>
      </c>
      <c r="C119" s="44"/>
      <c r="D119" s="44"/>
      <c r="E119" s="44"/>
      <c r="F119" s="44"/>
      <c r="G119" s="44"/>
      <c r="H119" s="44"/>
      <c r="I119" s="45"/>
    </row>
    <row r="120" ht="14.25" customHeight="1"/>
    <row r="121" ht="14.25" customHeight="1">
      <c r="B121" s="40" t="s">
        <v>1882</v>
      </c>
      <c r="C121" s="40" t="s">
        <v>1883</v>
      </c>
      <c r="G121" s="40" t="s">
        <v>1447</v>
      </c>
      <c r="H121" s="40" t="s">
        <v>1342</v>
      </c>
      <c r="I121" s="40" t="s">
        <v>1343</v>
      </c>
    </row>
    <row r="122" ht="14.25" customHeight="1">
      <c r="B122" s="46">
        <v>42310.0</v>
      </c>
      <c r="C122" s="46">
        <v>29779.0</v>
      </c>
      <c r="G122" s="46" t="str">
        <f t="shared" ref="G122:G123" si="9">_xludf.FORMULATEXT(H122)</f>
        <v>#NAME?</v>
      </c>
      <c r="H122" s="22" t="str">
        <f>_xludf.DAYS(B122, C122)</f>
        <v>#NAME?</v>
      </c>
      <c r="I122" s="46" t="s">
        <v>1884</v>
      </c>
    </row>
    <row r="123" ht="14.25" customHeight="1">
      <c r="G123" s="46" t="str">
        <f t="shared" si="9"/>
        <v>#NAME?</v>
      </c>
      <c r="H123" s="22" t="str">
        <f>_xludf.DAYS("2 Nov, 2015", "12 July, 1981")</f>
        <v>#NAME?</v>
      </c>
      <c r="I123" s="46" t="s">
        <v>1884</v>
      </c>
    </row>
    <row r="124" ht="14.25" customHeight="1">
      <c r="B124" s="53"/>
    </row>
    <row r="125" ht="14.25" customHeight="1"/>
    <row r="126" ht="14.25" customHeight="1"/>
    <row r="127" ht="14.25" customHeight="1"/>
    <row r="128" ht="14.25" customHeight="1"/>
    <row r="129" ht="14.25" customHeight="1"/>
    <row r="130" ht="14.25" customHeight="1"/>
    <row r="131" ht="14.25" customHeight="1"/>
    <row r="132" ht="14.25" customHeight="1">
      <c r="B132" s="53" t="s">
        <v>1353</v>
      </c>
    </row>
    <row r="133" ht="14.25" customHeight="1"/>
    <row r="134" ht="14.25" customHeight="1">
      <c r="B134" s="48" t="s">
        <v>1885</v>
      </c>
      <c r="C134" s="49"/>
      <c r="D134" s="49"/>
      <c r="E134" s="49"/>
      <c r="F134" s="49"/>
      <c r="G134" s="50"/>
      <c r="H134" s="32"/>
      <c r="I134" s="88"/>
    </row>
    <row r="135" ht="14.25" customHeight="1">
      <c r="B135" s="43" t="s">
        <v>1886</v>
      </c>
      <c r="C135" s="44"/>
      <c r="D135" s="44"/>
      <c r="E135" s="44"/>
      <c r="F135" s="44"/>
      <c r="G135" s="44"/>
      <c r="H135" s="44"/>
      <c r="I135" s="45"/>
    </row>
    <row r="136" ht="14.25" customHeight="1"/>
    <row r="137" ht="14.25" customHeight="1">
      <c r="B137" s="40" t="s">
        <v>1887</v>
      </c>
      <c r="C137" s="85" t="s">
        <v>1888</v>
      </c>
      <c r="D137" s="107"/>
      <c r="G137" s="40" t="s">
        <v>1447</v>
      </c>
      <c r="H137" s="40" t="s">
        <v>1342</v>
      </c>
      <c r="I137" s="40" t="s">
        <v>1343</v>
      </c>
    </row>
    <row r="138" ht="14.25" customHeight="1">
      <c r="B138" s="46">
        <v>40918.0</v>
      </c>
      <c r="C138" s="108" t="s">
        <v>1889</v>
      </c>
      <c r="D138" s="67"/>
      <c r="G138" s="22" t="str">
        <f t="shared" ref="G138:G139" si="10">_xludf.FORMULATEXT(H138)</f>
        <v>#NAME?</v>
      </c>
      <c r="H138" s="22">
        <f>NETWORKDAYS(B138, B139)</f>
        <v>496</v>
      </c>
      <c r="I138" s="52" t="s">
        <v>1890</v>
      </c>
    </row>
    <row r="139" ht="14.25" customHeight="1">
      <c r="B139" s="46">
        <v>41611.0</v>
      </c>
      <c r="C139" s="108" t="s">
        <v>1891</v>
      </c>
      <c r="D139" s="67"/>
      <c r="G139" s="22" t="str">
        <f t="shared" si="10"/>
        <v>#NAME?</v>
      </c>
      <c r="H139" s="22">
        <f>NETWORKDAYS(B138, B139, B140:B142)</f>
        <v>493</v>
      </c>
      <c r="I139" s="52" t="s">
        <v>1892</v>
      </c>
    </row>
    <row r="140" ht="14.25" customHeight="1">
      <c r="B140" s="46">
        <v>41235.0</v>
      </c>
      <c r="C140" s="108" t="s">
        <v>1893</v>
      </c>
      <c r="D140" s="67"/>
    </row>
    <row r="141" ht="14.25" customHeight="1">
      <c r="B141" s="46">
        <v>41011.0</v>
      </c>
      <c r="C141" s="108" t="s">
        <v>1893</v>
      </c>
      <c r="D141" s="67"/>
    </row>
    <row r="142" ht="14.25" customHeight="1">
      <c r="B142" s="46">
        <v>41295.0</v>
      </c>
      <c r="C142" s="108" t="s">
        <v>1893</v>
      </c>
      <c r="D142" s="67"/>
    </row>
    <row r="143" ht="14.25" customHeight="1"/>
    <row r="144" ht="14.25" customHeight="1"/>
    <row r="145" ht="14.25" customHeight="1">
      <c r="B145" s="53" t="s">
        <v>1353</v>
      </c>
    </row>
    <row r="146" ht="14.25" customHeight="1"/>
    <row r="147" ht="14.25" customHeight="1"/>
    <row r="148" ht="14.25" customHeight="1"/>
    <row r="149" ht="14.25" customHeight="1">
      <c r="B149" s="48" t="s">
        <v>1894</v>
      </c>
      <c r="C149" s="49"/>
      <c r="D149" s="49"/>
      <c r="E149" s="49"/>
      <c r="F149" s="49"/>
      <c r="G149" s="50"/>
      <c r="H149" s="32"/>
      <c r="I149" s="88"/>
    </row>
    <row r="150" ht="14.25" customHeight="1">
      <c r="B150" s="43" t="s">
        <v>1895</v>
      </c>
      <c r="C150" s="44"/>
      <c r="D150" s="44"/>
      <c r="E150" s="44"/>
      <c r="F150" s="44"/>
      <c r="G150" s="44"/>
      <c r="H150" s="44"/>
      <c r="I150" s="45"/>
    </row>
    <row r="151" ht="14.25" customHeight="1"/>
    <row r="152" ht="14.25" customHeight="1">
      <c r="B152" s="40" t="s">
        <v>1883</v>
      </c>
      <c r="C152" s="46">
        <v>41945.0</v>
      </c>
      <c r="D152" s="46"/>
      <c r="E152" s="46"/>
      <c r="G152" s="40" t="s">
        <v>1447</v>
      </c>
      <c r="H152" s="40" t="s">
        <v>1342</v>
      </c>
      <c r="I152" s="40" t="s">
        <v>1343</v>
      </c>
    </row>
    <row r="153" ht="14.25" customHeight="1">
      <c r="B153" s="40" t="s">
        <v>1896</v>
      </c>
      <c r="C153" s="22">
        <v>200.0</v>
      </c>
      <c r="D153" s="46"/>
      <c r="E153" s="46"/>
      <c r="G153" s="22" t="str">
        <f t="shared" ref="G153:G154" si="11">_xludf.FORMULATEXT(H153)</f>
        <v>#NAME?</v>
      </c>
      <c r="H153" s="46">
        <f>WORKDAY(C152, C153)</f>
        <v>42223</v>
      </c>
      <c r="I153" s="109" t="s">
        <v>1897</v>
      </c>
    </row>
    <row r="154" ht="14.25" customHeight="1">
      <c r="B154" s="40" t="s">
        <v>1898</v>
      </c>
      <c r="C154" s="46">
        <v>42262.0</v>
      </c>
      <c r="D154" s="46">
        <v>41989.0</v>
      </c>
      <c r="E154" s="46">
        <v>41724.0</v>
      </c>
      <c r="G154" s="22" t="str">
        <f t="shared" si="11"/>
        <v>#NAME?</v>
      </c>
      <c r="H154" s="46">
        <f>WORKDAY(C152, C153, C154:E154)</f>
        <v>42226</v>
      </c>
      <c r="I154" s="109" t="s">
        <v>1899</v>
      </c>
    </row>
    <row r="155" ht="14.25" customHeight="1"/>
    <row r="156" ht="14.25" customHeight="1"/>
    <row r="157" ht="14.25" customHeight="1"/>
    <row r="158" ht="14.25" customHeight="1"/>
    <row r="159" ht="14.25" customHeight="1"/>
    <row r="160" ht="14.25" customHeight="1"/>
    <row r="161" ht="14.25" customHeight="1"/>
    <row r="162" ht="14.25" customHeight="1"/>
    <row r="163" ht="14.25" customHeight="1">
      <c r="B163" s="53" t="s">
        <v>1353</v>
      </c>
    </row>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
    <mergeCell ref="B11:C11"/>
    <mergeCell ref="B20:C20"/>
    <mergeCell ref="B34:C34"/>
    <mergeCell ref="B49:C49"/>
    <mergeCell ref="B65:C65"/>
    <mergeCell ref="B73:C73"/>
    <mergeCell ref="C78:G78"/>
    <mergeCell ref="B93:C93"/>
    <mergeCell ref="C98:G98"/>
    <mergeCell ref="J98:M98"/>
    <mergeCell ref="C99:G99"/>
    <mergeCell ref="J99:M99"/>
    <mergeCell ref="J100:M100"/>
    <mergeCell ref="J101:M101"/>
    <mergeCell ref="C139:D139"/>
    <mergeCell ref="C140:D140"/>
    <mergeCell ref="C141:D141"/>
    <mergeCell ref="C142:D142"/>
    <mergeCell ref="B145:C145"/>
    <mergeCell ref="B163:C163"/>
    <mergeCell ref="J102:M102"/>
    <mergeCell ref="J103:M103"/>
    <mergeCell ref="J104:M104"/>
    <mergeCell ref="B116:C116"/>
    <mergeCell ref="B124:C124"/>
    <mergeCell ref="B132:C132"/>
    <mergeCell ref="C138:D138"/>
  </mergeCells>
  <hyperlinks>
    <hyperlink r:id="rId1" ref="G1"/>
    <hyperlink display="Back to LIST OF FUNCTIONS" location="'LIST OF FUNCTIONS'!A1" ref="B11"/>
    <hyperlink display="Back to LIST OF FUNCTIONS" location="'LIST OF FUNCTIONS'!A1" ref="B20"/>
    <hyperlink display="Back to LIST OF FUNCTIONS" location="'LIST OF FUNCTIONS'!A1" ref="B34"/>
    <hyperlink display="Back to LIST OF FUNCTIONS" location="'LIST OF FUNCTIONS'!A1" ref="B49"/>
    <hyperlink display="Back to LIST OF FUNCTIONS" location="'LIST OF FUNCTIONS'!A1" ref="B65"/>
    <hyperlink display="Back to LIST OF FUNCTIONS" location="'LIST OF FUNCTIONS'!A1" ref="B73"/>
    <hyperlink display="Back to LIST OF FUNCTIONS" location="'LIST OF FUNCTIONS'!A1" ref="B93"/>
    <hyperlink display="Back to LIST OF FUNCTIONS" location="'LIST OF FUNCTIONS'!A1" ref="B116"/>
    <hyperlink display="Back to LIST OF FUNCTIONS" location="'LIST OF FUNCTIONS'!A1" ref="B132"/>
    <hyperlink display="Back to LIST OF FUNCTIONS" location="'LIST OF FUNCTIONS'!A1" ref="B145"/>
    <hyperlink display="Back to LIST OF FUNCTIONS" location="'LIST OF FUNCTIONS'!A1" ref="B163"/>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6"/>
    <col customWidth="1" min="2" max="2" width="21.71"/>
    <col customWidth="1" min="3" max="3" width="11.86"/>
    <col customWidth="1" min="4" max="4" width="9.86"/>
    <col customWidth="1" min="5" max="6" width="6.14"/>
    <col customWidth="1" min="7" max="7" width="26.43"/>
    <col customWidth="1" min="8" max="8" width="16.29"/>
    <col customWidth="1" min="9" max="9" width="42.86"/>
    <col customWidth="1" min="10" max="26" width="9.14"/>
  </cols>
  <sheetData>
    <row r="1" ht="13.5" customHeight="1">
      <c r="A1" s="19"/>
      <c r="B1" s="19"/>
      <c r="C1" s="19"/>
      <c r="D1" s="19"/>
      <c r="E1" s="19"/>
      <c r="F1" s="19"/>
      <c r="G1" s="30" t="s">
        <v>1335</v>
      </c>
      <c r="H1" s="19"/>
      <c r="I1" s="19"/>
      <c r="J1" s="19"/>
      <c r="K1" s="19"/>
      <c r="L1" s="19"/>
      <c r="M1" s="19"/>
      <c r="N1" s="19"/>
      <c r="O1" s="19"/>
      <c r="P1" s="19"/>
      <c r="Q1" s="19"/>
      <c r="R1" s="19"/>
      <c r="S1" s="19"/>
      <c r="T1" s="19"/>
      <c r="U1" s="19"/>
      <c r="V1" s="19"/>
      <c r="W1" s="19"/>
      <c r="X1" s="19"/>
      <c r="Y1" s="19"/>
      <c r="Z1" s="19"/>
    </row>
    <row r="2" ht="13.5" customHeight="1">
      <c r="A2" s="19"/>
      <c r="B2" s="48" t="s">
        <v>1900</v>
      </c>
      <c r="C2" s="49"/>
      <c r="D2" s="49"/>
      <c r="E2" s="49"/>
      <c r="F2" s="49"/>
      <c r="G2" s="49"/>
      <c r="H2" s="49"/>
      <c r="I2" s="51"/>
      <c r="J2" s="19"/>
      <c r="K2" s="19"/>
      <c r="L2" s="19"/>
      <c r="M2" s="19"/>
      <c r="N2" s="19"/>
      <c r="O2" s="19"/>
      <c r="P2" s="19"/>
      <c r="Q2" s="19"/>
      <c r="R2" s="19"/>
      <c r="S2" s="19"/>
      <c r="T2" s="19"/>
      <c r="U2" s="19"/>
      <c r="V2" s="19"/>
      <c r="W2" s="19"/>
      <c r="X2" s="19"/>
      <c r="Y2" s="19"/>
      <c r="Z2" s="19"/>
    </row>
    <row r="3" ht="13.5" customHeight="1">
      <c r="A3" s="19"/>
      <c r="B3" s="43" t="s">
        <v>1901</v>
      </c>
      <c r="C3" s="44"/>
      <c r="D3" s="44"/>
      <c r="E3" s="44"/>
      <c r="F3" s="44"/>
      <c r="G3" s="44"/>
      <c r="H3" s="44"/>
      <c r="I3" s="45"/>
      <c r="J3" s="19"/>
      <c r="K3" s="19"/>
      <c r="L3" s="19"/>
      <c r="M3" s="19"/>
      <c r="N3" s="19"/>
      <c r="O3" s="19"/>
      <c r="P3" s="19"/>
      <c r="Q3" s="19"/>
      <c r="R3" s="19"/>
      <c r="S3" s="19"/>
      <c r="T3" s="19"/>
      <c r="U3" s="19"/>
      <c r="V3" s="19"/>
      <c r="W3" s="19"/>
      <c r="X3" s="19"/>
      <c r="Y3" s="19"/>
      <c r="Z3" s="19"/>
    </row>
    <row r="4"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row>
    <row r="5" ht="13.5" customHeight="1">
      <c r="A5" s="19"/>
      <c r="B5" s="19"/>
      <c r="C5" s="19"/>
      <c r="D5" s="19"/>
      <c r="E5" s="19"/>
      <c r="F5" s="19"/>
      <c r="G5" s="40" t="s">
        <v>1447</v>
      </c>
      <c r="H5" s="59" t="s">
        <v>1342</v>
      </c>
      <c r="I5" s="59" t="s">
        <v>1343</v>
      </c>
      <c r="J5" s="19"/>
      <c r="K5" s="19"/>
      <c r="L5" s="19"/>
      <c r="M5" s="19"/>
      <c r="N5" s="19"/>
      <c r="O5" s="19"/>
      <c r="P5" s="19"/>
      <c r="Q5" s="19"/>
      <c r="R5" s="19"/>
      <c r="S5" s="19"/>
      <c r="T5" s="19"/>
      <c r="U5" s="19"/>
      <c r="V5" s="19"/>
      <c r="W5" s="19"/>
      <c r="X5" s="19"/>
      <c r="Y5" s="19"/>
      <c r="Z5" s="19"/>
    </row>
    <row r="6" ht="13.5" customHeight="1">
      <c r="A6" s="19"/>
      <c r="B6" s="19"/>
      <c r="C6" s="19"/>
      <c r="D6" s="19"/>
      <c r="E6" s="19"/>
      <c r="F6" s="19"/>
      <c r="G6" s="22" t="str">
        <f t="shared" ref="G6:G8" si="1">_xludf.FORMULATEXT(H6)</f>
        <v>#NAME?</v>
      </c>
      <c r="H6" s="22" t="str">
        <f>AREAS(B2:D4)</f>
        <v>#NAME?</v>
      </c>
      <c r="I6" s="22" t="s">
        <v>1902</v>
      </c>
      <c r="J6" s="19"/>
      <c r="K6" s="19"/>
      <c r="L6" s="19"/>
      <c r="M6" s="19"/>
      <c r="N6" s="19"/>
      <c r="O6" s="19"/>
      <c r="P6" s="19"/>
      <c r="Q6" s="19"/>
      <c r="R6" s="19"/>
      <c r="S6" s="19"/>
      <c r="T6" s="19"/>
      <c r="U6" s="19"/>
      <c r="V6" s="19"/>
      <c r="W6" s="19"/>
      <c r="X6" s="19"/>
      <c r="Y6" s="19"/>
      <c r="Z6" s="19"/>
    </row>
    <row r="7" ht="13.5" customHeight="1">
      <c r="A7" s="19"/>
      <c r="B7" s="19"/>
      <c r="C7" s="19"/>
      <c r="D7" s="19"/>
      <c r="E7" s="19"/>
      <c r="F7" s="19"/>
      <c r="G7" s="22" t="str">
        <f t="shared" si="1"/>
        <v>#NAME?</v>
      </c>
      <c r="H7" s="22" t="str">
        <f>AREAS((B2:D4,E5,F6:I9))</f>
        <v>#ERROR!</v>
      </c>
      <c r="I7" s="22" t="s">
        <v>1902</v>
      </c>
      <c r="J7" s="19"/>
      <c r="K7" s="19"/>
      <c r="L7" s="19"/>
      <c r="M7" s="19"/>
      <c r="N7" s="19"/>
      <c r="O7" s="19"/>
      <c r="P7" s="19"/>
      <c r="Q7" s="19"/>
      <c r="R7" s="19"/>
      <c r="S7" s="19"/>
      <c r="T7" s="19"/>
      <c r="U7" s="19"/>
      <c r="V7" s="19"/>
      <c r="W7" s="19"/>
      <c r="X7" s="19"/>
      <c r="Y7" s="19"/>
      <c r="Z7" s="19"/>
    </row>
    <row r="8" ht="13.5" customHeight="1">
      <c r="A8" s="19"/>
      <c r="B8" s="53" t="s">
        <v>1353</v>
      </c>
      <c r="D8" s="19"/>
      <c r="E8" s="19"/>
      <c r="F8" s="19"/>
      <c r="G8" s="22" t="str">
        <f t="shared" si="1"/>
        <v>#NAME?</v>
      </c>
      <c r="H8" s="22" t="str">
        <f>AREAS(B2:D4 B2)</f>
        <v>#ERROR!</v>
      </c>
      <c r="I8" s="22" t="s">
        <v>1902</v>
      </c>
      <c r="J8" s="19"/>
      <c r="K8" s="19"/>
      <c r="L8" s="19"/>
      <c r="M8" s="19"/>
      <c r="N8" s="19"/>
      <c r="O8" s="19"/>
      <c r="P8" s="19"/>
      <c r="Q8" s="19"/>
      <c r="R8" s="19"/>
      <c r="S8" s="19"/>
      <c r="T8" s="19"/>
      <c r="U8" s="19"/>
      <c r="V8" s="19"/>
      <c r="W8" s="19"/>
      <c r="X8" s="19"/>
      <c r="Y8" s="19"/>
      <c r="Z8" s="19"/>
    </row>
    <row r="9"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ht="13.5" customHeight="1">
      <c r="A10" s="19"/>
      <c r="B10" s="48" t="s">
        <v>1903</v>
      </c>
      <c r="C10" s="49"/>
      <c r="D10" s="49"/>
      <c r="E10" s="49"/>
      <c r="F10" s="49"/>
      <c r="G10" s="49"/>
      <c r="H10" s="49"/>
      <c r="I10" s="51"/>
      <c r="J10" s="19"/>
      <c r="K10" s="19"/>
      <c r="L10" s="19"/>
      <c r="M10" s="19"/>
      <c r="N10" s="19"/>
      <c r="O10" s="19"/>
      <c r="P10" s="19"/>
      <c r="Q10" s="19"/>
      <c r="R10" s="19"/>
      <c r="S10" s="19"/>
      <c r="T10" s="19"/>
      <c r="U10" s="19"/>
      <c r="V10" s="19"/>
      <c r="W10" s="19"/>
      <c r="X10" s="19"/>
      <c r="Y10" s="19"/>
      <c r="Z10" s="19"/>
    </row>
    <row r="11" ht="13.5" customHeight="1">
      <c r="A11" s="19"/>
      <c r="B11" s="43" t="s">
        <v>1904</v>
      </c>
      <c r="C11" s="44"/>
      <c r="D11" s="44"/>
      <c r="E11" s="44"/>
      <c r="F11" s="44"/>
      <c r="G11" s="44"/>
      <c r="H11" s="44"/>
      <c r="I11" s="45"/>
      <c r="J11" s="19"/>
      <c r="K11" s="19"/>
      <c r="L11" s="19"/>
      <c r="M11" s="19"/>
      <c r="N11" s="19"/>
      <c r="O11" s="19"/>
      <c r="P11" s="19"/>
      <c r="Q11" s="19"/>
      <c r="R11" s="19"/>
      <c r="S11" s="19"/>
      <c r="T11" s="19"/>
      <c r="U11" s="19"/>
      <c r="V11" s="19"/>
      <c r="W11" s="19"/>
      <c r="X11" s="19"/>
      <c r="Y11" s="19"/>
      <c r="Z11" s="19"/>
    </row>
    <row r="12"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3.5" customHeight="1">
      <c r="A13" s="19"/>
      <c r="B13" s="19"/>
      <c r="C13" s="19"/>
      <c r="D13" s="19"/>
      <c r="E13" s="19"/>
      <c r="F13" s="19"/>
      <c r="G13" s="40" t="s">
        <v>1447</v>
      </c>
      <c r="H13" s="59" t="s">
        <v>1342</v>
      </c>
      <c r="I13" s="59" t="s">
        <v>1343</v>
      </c>
      <c r="J13" s="19"/>
      <c r="K13" s="19"/>
      <c r="L13" s="19"/>
      <c r="M13" s="19"/>
      <c r="N13" s="19"/>
      <c r="O13" s="19"/>
      <c r="P13" s="19"/>
      <c r="Q13" s="19"/>
      <c r="R13" s="19"/>
      <c r="S13" s="19"/>
      <c r="T13" s="19"/>
      <c r="U13" s="19"/>
      <c r="V13" s="19"/>
      <c r="W13" s="19"/>
      <c r="X13" s="19"/>
      <c r="Y13" s="19"/>
      <c r="Z13" s="19"/>
    </row>
    <row r="14" ht="13.5" customHeight="1">
      <c r="A14" s="19"/>
      <c r="B14" s="19"/>
      <c r="C14" s="19"/>
      <c r="D14" s="19"/>
      <c r="E14" s="19"/>
      <c r="F14" s="19"/>
      <c r="G14" s="22" t="str">
        <f t="shared" ref="G14:G15" si="2">_xludf.FORMULATEXT(H14)</f>
        <v>#NAME?</v>
      </c>
      <c r="H14" s="22" t="str">
        <f>CHAR(65)</f>
        <v>A</v>
      </c>
      <c r="I14" s="52" t="s">
        <v>1905</v>
      </c>
      <c r="J14" s="19"/>
      <c r="K14" s="19"/>
      <c r="L14" s="19"/>
      <c r="M14" s="19"/>
      <c r="N14" s="19"/>
      <c r="O14" s="19"/>
      <c r="P14" s="19"/>
      <c r="Q14" s="19"/>
      <c r="R14" s="19"/>
      <c r="S14" s="19"/>
      <c r="T14" s="19"/>
      <c r="U14" s="19"/>
      <c r="V14" s="19"/>
      <c r="W14" s="19"/>
      <c r="X14" s="19"/>
      <c r="Y14" s="19"/>
      <c r="Z14" s="19"/>
    </row>
    <row r="15" ht="13.5" customHeight="1">
      <c r="A15" s="19"/>
      <c r="B15" s="53" t="s">
        <v>1353</v>
      </c>
      <c r="D15" s="19"/>
      <c r="E15" s="19"/>
      <c r="F15" s="19"/>
      <c r="G15" s="22" t="str">
        <f t="shared" si="2"/>
        <v>#NAME?</v>
      </c>
      <c r="H15" s="22" t="str">
        <f>CHAR(33)</f>
        <v>!</v>
      </c>
      <c r="I15" s="52" t="s">
        <v>1906</v>
      </c>
      <c r="J15" s="19"/>
      <c r="K15" s="19"/>
      <c r="L15" s="19"/>
      <c r="M15" s="19"/>
      <c r="N15" s="19"/>
      <c r="O15" s="19"/>
      <c r="P15" s="19"/>
      <c r="Q15" s="19"/>
      <c r="R15" s="19"/>
      <c r="S15" s="19"/>
      <c r="T15" s="19"/>
      <c r="U15" s="19"/>
      <c r="V15" s="19"/>
      <c r="W15" s="19"/>
      <c r="X15" s="19"/>
      <c r="Y15" s="19"/>
      <c r="Z15" s="19"/>
    </row>
    <row r="16"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3.5" customHeight="1">
      <c r="A17" s="19"/>
      <c r="B17" s="48" t="s">
        <v>1907</v>
      </c>
      <c r="C17" s="49"/>
      <c r="D17" s="49"/>
      <c r="E17" s="49"/>
      <c r="F17" s="49"/>
      <c r="G17" s="49"/>
      <c r="H17" s="49"/>
      <c r="I17" s="51"/>
      <c r="J17" s="19"/>
      <c r="K17" s="19"/>
      <c r="L17" s="19"/>
      <c r="M17" s="19"/>
      <c r="N17" s="19"/>
      <c r="O17" s="19"/>
      <c r="P17" s="19"/>
      <c r="Q17" s="19"/>
      <c r="R17" s="19"/>
      <c r="S17" s="19"/>
      <c r="T17" s="19"/>
      <c r="U17" s="19"/>
      <c r="V17" s="19"/>
      <c r="W17" s="19"/>
      <c r="X17" s="19"/>
      <c r="Y17" s="19"/>
      <c r="Z17" s="19"/>
    </row>
    <row r="18" ht="13.5" customHeight="1">
      <c r="A18" s="19"/>
      <c r="B18" s="43" t="s">
        <v>1908</v>
      </c>
      <c r="C18" s="44"/>
      <c r="D18" s="44"/>
      <c r="E18" s="44"/>
      <c r="F18" s="44"/>
      <c r="G18" s="44"/>
      <c r="H18" s="44"/>
      <c r="I18" s="45"/>
      <c r="J18" s="19"/>
      <c r="K18" s="19"/>
      <c r="L18" s="19"/>
      <c r="M18" s="19"/>
      <c r="N18" s="19"/>
      <c r="O18" s="19"/>
      <c r="P18" s="19"/>
      <c r="Q18" s="19"/>
      <c r="R18" s="19"/>
      <c r="S18" s="19"/>
      <c r="T18" s="19"/>
      <c r="U18" s="19"/>
      <c r="V18" s="19"/>
      <c r="W18" s="19"/>
      <c r="X18" s="19"/>
      <c r="Y18" s="19"/>
      <c r="Z18" s="19"/>
    </row>
    <row r="19"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3.5" customHeight="1">
      <c r="A20" s="19"/>
      <c r="B20" s="19"/>
      <c r="C20" s="19"/>
      <c r="D20" s="19"/>
      <c r="E20" s="19"/>
      <c r="F20" s="19"/>
      <c r="G20" s="40" t="s">
        <v>1447</v>
      </c>
      <c r="H20" s="59" t="s">
        <v>1342</v>
      </c>
      <c r="I20" s="59" t="s">
        <v>1343</v>
      </c>
      <c r="J20" s="19"/>
      <c r="K20" s="19"/>
      <c r="L20" s="19"/>
      <c r="M20" s="19"/>
      <c r="N20" s="19"/>
      <c r="O20" s="19"/>
      <c r="P20" s="19"/>
      <c r="Q20" s="19"/>
      <c r="R20" s="19"/>
      <c r="S20" s="19"/>
      <c r="T20" s="19"/>
      <c r="U20" s="19"/>
      <c r="V20" s="19"/>
      <c r="W20" s="19"/>
      <c r="X20" s="19"/>
      <c r="Y20" s="19"/>
      <c r="Z20" s="19"/>
    </row>
    <row r="21" ht="13.5" customHeight="1">
      <c r="A21" s="19"/>
      <c r="B21" s="19"/>
      <c r="C21" s="19"/>
      <c r="D21" s="19"/>
      <c r="E21" s="19"/>
      <c r="F21" s="19"/>
      <c r="G21" s="22" t="str">
        <f t="shared" ref="G21:G24" si="3">_xludf.FORMULATEXT(H21)</f>
        <v>#NAME?</v>
      </c>
      <c r="H21" s="22">
        <f>CODE("A")</f>
        <v>65</v>
      </c>
      <c r="I21" s="52" t="s">
        <v>1909</v>
      </c>
      <c r="J21" s="19"/>
      <c r="K21" s="19"/>
      <c r="L21" s="19"/>
      <c r="M21" s="19"/>
      <c r="N21" s="19"/>
      <c r="O21" s="19"/>
      <c r="P21" s="19"/>
      <c r="Q21" s="19"/>
      <c r="R21" s="19"/>
      <c r="S21" s="19"/>
      <c r="T21" s="19"/>
      <c r="U21" s="19"/>
      <c r="V21" s="19"/>
      <c r="W21" s="19"/>
      <c r="X21" s="19"/>
      <c r="Y21" s="19"/>
      <c r="Z21" s="19"/>
    </row>
    <row r="22" ht="13.5" customHeight="1">
      <c r="A22" s="19"/>
      <c r="B22" s="19"/>
      <c r="C22" s="19"/>
      <c r="D22" s="19"/>
      <c r="E22" s="19"/>
      <c r="F22" s="19"/>
      <c r="G22" s="22" t="str">
        <f t="shared" si="3"/>
        <v>#NAME?</v>
      </c>
      <c r="H22" s="22">
        <f>CODE("Marissa")</f>
        <v>77</v>
      </c>
      <c r="I22" s="52" t="s">
        <v>1910</v>
      </c>
      <c r="J22" s="19"/>
      <c r="K22" s="19"/>
      <c r="L22" s="19"/>
      <c r="M22" s="19"/>
      <c r="N22" s="19"/>
      <c r="O22" s="19"/>
      <c r="P22" s="19"/>
      <c r="Q22" s="19"/>
      <c r="R22" s="19"/>
      <c r="S22" s="19"/>
      <c r="T22" s="19"/>
      <c r="U22" s="19"/>
      <c r="V22" s="19"/>
      <c r="W22" s="19"/>
      <c r="X22" s="19"/>
      <c r="Y22" s="19"/>
      <c r="Z22" s="19"/>
    </row>
    <row r="23" ht="13.5" customHeight="1">
      <c r="A23" s="19"/>
      <c r="B23" s="19"/>
      <c r="C23" s="19"/>
      <c r="D23" s="19"/>
      <c r="E23" s="19"/>
      <c r="F23" s="19"/>
      <c r="G23" s="22" t="str">
        <f t="shared" si="3"/>
        <v>#NAME?</v>
      </c>
      <c r="H23" s="22">
        <f>CODE("!")</f>
        <v>33</v>
      </c>
      <c r="I23" s="52" t="s">
        <v>1911</v>
      </c>
      <c r="J23" s="19"/>
      <c r="K23" s="19"/>
      <c r="L23" s="19"/>
      <c r="M23" s="19"/>
      <c r="N23" s="19"/>
      <c r="O23" s="19"/>
      <c r="P23" s="19"/>
      <c r="Q23" s="19"/>
      <c r="R23" s="19"/>
      <c r="S23" s="19"/>
      <c r="T23" s="19"/>
      <c r="U23" s="19"/>
      <c r="V23" s="19"/>
      <c r="W23" s="19"/>
      <c r="X23" s="19"/>
      <c r="Y23" s="19"/>
      <c r="Z23" s="19"/>
    </row>
    <row r="24" ht="13.5" customHeight="1">
      <c r="A24" s="19"/>
      <c r="B24" s="53" t="s">
        <v>1353</v>
      </c>
      <c r="D24" s="19"/>
      <c r="E24" s="19"/>
      <c r="F24" s="19"/>
      <c r="G24" s="22" t="str">
        <f t="shared" si="3"/>
        <v>#NAME?</v>
      </c>
      <c r="H24" s="22">
        <f>CODE("?")</f>
        <v>63</v>
      </c>
      <c r="I24" s="52" t="s">
        <v>1912</v>
      </c>
      <c r="J24" s="19"/>
      <c r="K24" s="19"/>
      <c r="L24" s="19"/>
      <c r="M24" s="19"/>
      <c r="N24" s="19"/>
      <c r="O24" s="19"/>
      <c r="P24" s="19"/>
      <c r="Q24" s="19"/>
      <c r="R24" s="19"/>
      <c r="S24" s="19"/>
      <c r="T24" s="19"/>
      <c r="U24" s="19"/>
      <c r="V24" s="19"/>
      <c r="W24" s="19"/>
      <c r="X24" s="19"/>
      <c r="Y24" s="19"/>
      <c r="Z24" s="19"/>
    </row>
    <row r="25"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3.5" customHeight="1">
      <c r="A27" s="19"/>
      <c r="B27" s="48" t="s">
        <v>1913</v>
      </c>
      <c r="C27" s="49"/>
      <c r="D27" s="49"/>
      <c r="E27" s="49"/>
      <c r="F27" s="49"/>
      <c r="G27" s="49"/>
      <c r="H27" s="49"/>
      <c r="I27" s="51"/>
      <c r="J27" s="19"/>
      <c r="K27" s="19"/>
      <c r="L27" s="19"/>
      <c r="M27" s="19"/>
      <c r="N27" s="19"/>
      <c r="O27" s="19"/>
      <c r="P27" s="19"/>
      <c r="Q27" s="19"/>
      <c r="R27" s="19"/>
      <c r="S27" s="19"/>
      <c r="T27" s="19"/>
      <c r="U27" s="19"/>
      <c r="V27" s="19"/>
      <c r="W27" s="19"/>
      <c r="X27" s="19"/>
      <c r="Y27" s="19"/>
      <c r="Z27" s="19"/>
    </row>
    <row r="28" ht="13.5" customHeight="1">
      <c r="A28" s="19"/>
      <c r="B28" s="43" t="s">
        <v>1914</v>
      </c>
      <c r="C28" s="44"/>
      <c r="D28" s="44"/>
      <c r="E28" s="44"/>
      <c r="F28" s="44"/>
      <c r="G28" s="44"/>
      <c r="H28" s="44"/>
      <c r="I28" s="45"/>
      <c r="J28" s="19"/>
      <c r="K28" s="19"/>
      <c r="L28" s="19"/>
      <c r="M28" s="19"/>
      <c r="N28" s="19"/>
      <c r="O28" s="19"/>
      <c r="P28" s="19"/>
      <c r="Q28" s="19"/>
      <c r="R28" s="19"/>
      <c r="S28" s="19"/>
      <c r="T28" s="19"/>
      <c r="U28" s="19"/>
      <c r="V28" s="19"/>
      <c r="W28" s="19"/>
      <c r="X28" s="19"/>
      <c r="Y28" s="19"/>
      <c r="Z28" s="19"/>
    </row>
    <row r="29" ht="13.5" customHeight="1">
      <c r="A29" s="19"/>
      <c r="B29" s="43" t="s">
        <v>1915</v>
      </c>
      <c r="C29" s="44"/>
      <c r="D29" s="44"/>
      <c r="E29" s="44"/>
      <c r="F29" s="44"/>
      <c r="G29" s="44"/>
      <c r="H29" s="44"/>
      <c r="I29" s="45"/>
      <c r="J29" s="19"/>
      <c r="K29" s="19"/>
      <c r="L29" s="19"/>
      <c r="M29" s="19"/>
      <c r="N29" s="19"/>
      <c r="O29" s="19"/>
      <c r="P29" s="19"/>
      <c r="Q29" s="19"/>
      <c r="R29" s="19"/>
      <c r="S29" s="19"/>
      <c r="T29" s="19"/>
      <c r="U29" s="19"/>
      <c r="V29" s="19"/>
      <c r="W29" s="19"/>
      <c r="X29" s="19"/>
      <c r="Y29" s="19"/>
      <c r="Z29" s="19"/>
    </row>
    <row r="30"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3.5" customHeight="1">
      <c r="A31" s="19"/>
      <c r="B31" s="40" t="s">
        <v>1643</v>
      </c>
      <c r="C31" s="19"/>
      <c r="D31" s="19"/>
      <c r="E31" s="19"/>
      <c r="F31" s="19"/>
      <c r="G31" s="40" t="s">
        <v>1447</v>
      </c>
      <c r="H31" s="59" t="s">
        <v>1342</v>
      </c>
      <c r="I31" s="59" t="s">
        <v>1343</v>
      </c>
      <c r="J31" s="19"/>
      <c r="K31" s="19"/>
      <c r="L31" s="19"/>
      <c r="M31" s="19"/>
      <c r="N31" s="19"/>
      <c r="O31" s="19"/>
      <c r="P31" s="19"/>
      <c r="Q31" s="19"/>
      <c r="R31" s="19"/>
      <c r="S31" s="19"/>
      <c r="T31" s="19"/>
      <c r="U31" s="19"/>
      <c r="V31" s="19"/>
      <c r="W31" s="19"/>
      <c r="X31" s="19"/>
      <c r="Y31" s="19"/>
      <c r="Z31" s="19"/>
    </row>
    <row r="32" ht="13.5" customHeight="1">
      <c r="A32" s="19"/>
      <c r="B32" s="22" t="str">
        <f>CHAR(9)&amp;"Sales Data"&amp;CHAR(10)</f>
        <v>	Sales Data
</v>
      </c>
      <c r="C32" s="19"/>
      <c r="D32" s="19"/>
      <c r="E32" s="19"/>
      <c r="F32" s="19"/>
      <c r="G32" s="22" t="str">
        <f>_xludf.FORMULATEXT(H32)</f>
        <v>#NAME?</v>
      </c>
      <c r="H32" s="22" t="str">
        <f>CLEAN(B32)</f>
        <v>Sales Data</v>
      </c>
      <c r="I32" s="52" t="s">
        <v>1916</v>
      </c>
      <c r="J32" s="19"/>
      <c r="K32" s="19"/>
      <c r="L32" s="19"/>
      <c r="M32" s="19"/>
      <c r="N32" s="19"/>
      <c r="O32" s="19"/>
      <c r="P32" s="19"/>
      <c r="Q32" s="19"/>
      <c r="R32" s="19"/>
      <c r="S32" s="19"/>
      <c r="T32" s="19"/>
      <c r="U32" s="19"/>
      <c r="V32" s="19"/>
      <c r="W32" s="19"/>
      <c r="X32" s="19"/>
      <c r="Y32" s="19"/>
      <c r="Z32" s="19"/>
    </row>
    <row r="33"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3.5" customHeight="1">
      <c r="A34" s="19"/>
      <c r="B34" s="53" t="s">
        <v>1353</v>
      </c>
      <c r="D34" s="19"/>
      <c r="E34" s="19"/>
      <c r="F34" s="19"/>
      <c r="G34" s="19"/>
      <c r="H34" s="19"/>
      <c r="I34" s="19"/>
      <c r="J34" s="19"/>
      <c r="K34" s="19"/>
      <c r="L34" s="19"/>
      <c r="M34" s="19"/>
      <c r="N34" s="19"/>
      <c r="O34" s="19"/>
      <c r="P34" s="19"/>
      <c r="Q34" s="19"/>
      <c r="R34" s="19"/>
      <c r="S34" s="19"/>
      <c r="T34" s="19"/>
      <c r="U34" s="19"/>
      <c r="V34" s="19"/>
      <c r="W34" s="19"/>
      <c r="X34" s="19"/>
      <c r="Y34" s="19"/>
      <c r="Z34" s="19"/>
    </row>
    <row r="35"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3.5" customHeight="1">
      <c r="A36" s="19"/>
      <c r="B36" s="48" t="s">
        <v>1917</v>
      </c>
      <c r="C36" s="49"/>
      <c r="D36" s="49"/>
      <c r="E36" s="49"/>
      <c r="F36" s="49"/>
      <c r="G36" s="49"/>
      <c r="H36" s="49"/>
      <c r="I36" s="51"/>
      <c r="J36" s="19"/>
      <c r="K36" s="19"/>
      <c r="L36" s="19"/>
      <c r="M36" s="19"/>
      <c r="N36" s="19"/>
      <c r="O36" s="19"/>
      <c r="P36" s="19"/>
      <c r="Q36" s="19"/>
      <c r="R36" s="19"/>
      <c r="S36" s="19"/>
      <c r="T36" s="19"/>
      <c r="U36" s="19"/>
      <c r="V36" s="19"/>
      <c r="W36" s="19"/>
      <c r="X36" s="19"/>
      <c r="Y36" s="19"/>
      <c r="Z36" s="19"/>
    </row>
    <row r="37" ht="13.5" customHeight="1">
      <c r="A37" s="19"/>
      <c r="B37" s="43" t="s">
        <v>1918</v>
      </c>
      <c r="C37" s="44"/>
      <c r="D37" s="44"/>
      <c r="E37" s="44"/>
      <c r="F37" s="44"/>
      <c r="G37" s="44"/>
      <c r="H37" s="44"/>
      <c r="I37" s="45"/>
      <c r="J37" s="19"/>
      <c r="K37" s="19"/>
      <c r="L37" s="19"/>
      <c r="M37" s="19"/>
      <c r="N37" s="19"/>
      <c r="O37" s="19"/>
      <c r="P37" s="19"/>
      <c r="Q37" s="19"/>
      <c r="R37" s="19"/>
      <c r="S37" s="19"/>
      <c r="T37" s="19"/>
      <c r="U37" s="19"/>
      <c r="V37" s="19"/>
      <c r="W37" s="19"/>
      <c r="X37" s="19"/>
      <c r="Y37" s="19"/>
      <c r="Z37" s="19"/>
    </row>
    <row r="38"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3.5" customHeight="1">
      <c r="A39" s="19"/>
      <c r="B39" s="40" t="s">
        <v>1643</v>
      </c>
      <c r="C39" s="19"/>
      <c r="D39" s="19"/>
      <c r="E39" s="19"/>
      <c r="F39" s="19"/>
      <c r="G39" s="40" t="s">
        <v>1447</v>
      </c>
      <c r="H39" s="59" t="s">
        <v>1342</v>
      </c>
      <c r="I39" s="59" t="s">
        <v>1343</v>
      </c>
      <c r="J39" s="19"/>
      <c r="K39" s="19"/>
      <c r="L39" s="19"/>
      <c r="M39" s="19"/>
      <c r="N39" s="19"/>
      <c r="O39" s="19"/>
      <c r="P39" s="19"/>
      <c r="Q39" s="19"/>
      <c r="R39" s="19"/>
      <c r="S39" s="19"/>
      <c r="T39" s="19"/>
      <c r="U39" s="19"/>
      <c r="V39" s="19"/>
      <c r="W39" s="19"/>
      <c r="X39" s="19"/>
      <c r="Y39" s="19"/>
      <c r="Z39" s="19"/>
    </row>
    <row r="40" ht="13.5" customHeight="1">
      <c r="A40" s="19"/>
      <c r="B40" s="22" t="s">
        <v>1919</v>
      </c>
      <c r="C40" s="19"/>
      <c r="D40" s="19"/>
      <c r="E40" s="19"/>
      <c r="F40" s="19"/>
      <c r="G40" s="22" t="str">
        <f t="shared" ref="G40:G41" si="4">_xludf.FORMULATEXT(H40)</f>
        <v>#NAME?</v>
      </c>
      <c r="H40" s="22" t="str">
        <f>TRIM(B40)</f>
        <v>Excel Dashboard</v>
      </c>
      <c r="I40" s="52" t="s">
        <v>1920</v>
      </c>
      <c r="J40" s="19"/>
      <c r="K40" s="19"/>
      <c r="L40" s="19"/>
      <c r="M40" s="19"/>
      <c r="N40" s="19"/>
      <c r="O40" s="19"/>
      <c r="P40" s="19"/>
      <c r="Q40" s="19"/>
      <c r="R40" s="19"/>
      <c r="S40" s="19"/>
      <c r="T40" s="19"/>
      <c r="U40" s="19"/>
      <c r="V40" s="19"/>
      <c r="W40" s="19"/>
      <c r="X40" s="19"/>
      <c r="Y40" s="19"/>
      <c r="Z40" s="19"/>
    </row>
    <row r="41" ht="13.5" customHeight="1">
      <c r="A41" s="19"/>
      <c r="B41" s="22" t="s">
        <v>1921</v>
      </c>
      <c r="C41" s="19"/>
      <c r="D41" s="19"/>
      <c r="E41" s="19"/>
      <c r="F41" s="19"/>
      <c r="G41" s="22" t="str">
        <f t="shared" si="4"/>
        <v>#NAME?</v>
      </c>
      <c r="H41" s="22" t="str">
        <f>TRIM("      Titas     Gas    ")</f>
        <v>Titas Gas</v>
      </c>
      <c r="I41" s="52" t="s">
        <v>1920</v>
      </c>
      <c r="J41" s="19"/>
      <c r="K41" s="19"/>
      <c r="L41" s="19"/>
      <c r="M41" s="19"/>
      <c r="N41" s="19"/>
      <c r="O41" s="19"/>
      <c r="P41" s="19"/>
      <c r="Q41" s="19"/>
      <c r="R41" s="19"/>
      <c r="S41" s="19"/>
      <c r="T41" s="19"/>
      <c r="U41" s="19"/>
      <c r="V41" s="19"/>
      <c r="W41" s="19"/>
      <c r="X41" s="19"/>
      <c r="Y41" s="19"/>
      <c r="Z41" s="19"/>
    </row>
    <row r="42" ht="13.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3.5" customHeight="1">
      <c r="A43" s="19"/>
      <c r="B43" s="53" t="s">
        <v>1353</v>
      </c>
      <c r="D43" s="19"/>
      <c r="E43" s="19"/>
      <c r="F43" s="19"/>
      <c r="G43" s="19"/>
      <c r="H43" s="19"/>
      <c r="I43" s="19"/>
      <c r="J43" s="19"/>
      <c r="K43" s="19"/>
      <c r="L43" s="19"/>
      <c r="M43" s="19"/>
      <c r="N43" s="19"/>
      <c r="O43" s="19"/>
      <c r="P43" s="19"/>
      <c r="Q43" s="19"/>
      <c r="R43" s="19"/>
      <c r="S43" s="19"/>
      <c r="T43" s="19"/>
      <c r="U43" s="19"/>
      <c r="V43" s="19"/>
      <c r="W43" s="19"/>
      <c r="X43" s="19"/>
      <c r="Y43" s="19"/>
      <c r="Z43" s="19"/>
    </row>
    <row r="44" ht="13.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3.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3.5" customHeight="1">
      <c r="A46" s="19"/>
      <c r="B46" s="48" t="s">
        <v>1922</v>
      </c>
      <c r="C46" s="49"/>
      <c r="D46" s="49"/>
      <c r="E46" s="49"/>
      <c r="F46" s="49"/>
      <c r="G46" s="49"/>
      <c r="H46" s="49"/>
      <c r="I46" s="51"/>
      <c r="J46" s="19"/>
      <c r="K46" s="19"/>
      <c r="L46" s="19"/>
      <c r="M46" s="19"/>
      <c r="N46" s="19"/>
      <c r="O46" s="19"/>
      <c r="P46" s="19"/>
      <c r="Q46" s="19"/>
      <c r="R46" s="19"/>
      <c r="S46" s="19"/>
      <c r="T46" s="19"/>
      <c r="U46" s="19"/>
      <c r="V46" s="19"/>
      <c r="W46" s="19"/>
      <c r="X46" s="19"/>
      <c r="Y46" s="19"/>
      <c r="Z46" s="19"/>
    </row>
    <row r="47" ht="13.5" customHeight="1">
      <c r="A47" s="19"/>
      <c r="B47" s="43" t="s">
        <v>1923</v>
      </c>
      <c r="C47" s="44"/>
      <c r="D47" s="44"/>
      <c r="E47" s="44"/>
      <c r="F47" s="44"/>
      <c r="G47" s="44"/>
      <c r="H47" s="44"/>
      <c r="I47" s="45"/>
      <c r="J47" s="19"/>
      <c r="K47" s="19"/>
      <c r="L47" s="19"/>
      <c r="M47" s="19"/>
      <c r="N47" s="19"/>
      <c r="O47" s="19"/>
      <c r="P47" s="19"/>
      <c r="Q47" s="19"/>
      <c r="R47" s="19"/>
      <c r="S47" s="19"/>
      <c r="T47" s="19"/>
      <c r="U47" s="19"/>
      <c r="V47" s="19"/>
      <c r="W47" s="19"/>
      <c r="X47" s="19"/>
      <c r="Y47" s="19"/>
      <c r="Z47" s="19"/>
    </row>
    <row r="48"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3.5" customHeight="1">
      <c r="A49" s="19"/>
      <c r="B49" s="40" t="s">
        <v>1643</v>
      </c>
      <c r="C49" s="19"/>
      <c r="D49" s="19"/>
      <c r="E49" s="19"/>
      <c r="F49" s="19"/>
      <c r="G49" s="40" t="s">
        <v>1447</v>
      </c>
      <c r="H49" s="59" t="s">
        <v>1342</v>
      </c>
      <c r="I49" s="59" t="s">
        <v>1343</v>
      </c>
      <c r="J49" s="19"/>
      <c r="K49" s="19"/>
      <c r="L49" s="19"/>
      <c r="M49" s="19"/>
      <c r="N49" s="19"/>
      <c r="O49" s="19"/>
      <c r="P49" s="19"/>
      <c r="Q49" s="19"/>
      <c r="R49" s="19"/>
      <c r="S49" s="19"/>
      <c r="T49" s="19"/>
      <c r="U49" s="19"/>
      <c r="V49" s="19"/>
      <c r="W49" s="19"/>
      <c r="X49" s="19"/>
      <c r="Y49" s="19"/>
      <c r="Z49" s="19"/>
    </row>
    <row r="50" ht="13.5" customHeight="1">
      <c r="A50" s="19"/>
      <c r="B50" s="22" t="s">
        <v>1924</v>
      </c>
      <c r="C50" s="19"/>
      <c r="D50" s="19"/>
      <c r="E50" s="19"/>
      <c r="F50" s="19"/>
      <c r="G50" s="22" t="str">
        <f t="shared" ref="G50:G53" si="5">_xludf.FORMULATEXT(H50)</f>
        <v>#NAME?</v>
      </c>
      <c r="H50" s="22">
        <f t="shared" ref="H50:H52" si="6">LEN(B50)</f>
        <v>15</v>
      </c>
      <c r="I50" s="52" t="s">
        <v>1925</v>
      </c>
      <c r="J50" s="19"/>
      <c r="K50" s="19"/>
      <c r="L50" s="19"/>
      <c r="M50" s="19"/>
      <c r="N50" s="19"/>
      <c r="O50" s="19"/>
      <c r="P50" s="19"/>
      <c r="Q50" s="19"/>
      <c r="R50" s="19"/>
      <c r="S50" s="19"/>
      <c r="T50" s="19"/>
      <c r="U50" s="19"/>
      <c r="V50" s="19"/>
      <c r="W50" s="19"/>
      <c r="X50" s="19"/>
      <c r="Y50" s="19"/>
      <c r="Z50" s="19"/>
    </row>
    <row r="51" ht="13.5" customHeight="1">
      <c r="A51" s="19"/>
      <c r="B51" s="22"/>
      <c r="C51" s="19"/>
      <c r="D51" s="19"/>
      <c r="E51" s="19"/>
      <c r="F51" s="19"/>
      <c r="G51" s="22" t="str">
        <f t="shared" si="5"/>
        <v>#NAME?</v>
      </c>
      <c r="H51" s="22">
        <f t="shared" si="6"/>
        <v>0</v>
      </c>
      <c r="I51" s="52" t="s">
        <v>1926</v>
      </c>
      <c r="J51" s="19"/>
      <c r="K51" s="19"/>
      <c r="L51" s="19"/>
      <c r="M51" s="19"/>
      <c r="N51" s="19"/>
      <c r="O51" s="19"/>
      <c r="P51" s="19"/>
      <c r="Q51" s="19"/>
      <c r="R51" s="19"/>
      <c r="S51" s="19"/>
      <c r="T51" s="19"/>
      <c r="U51" s="19"/>
      <c r="V51" s="19"/>
      <c r="W51" s="19"/>
      <c r="X51" s="19"/>
      <c r="Y51" s="19"/>
      <c r="Z51" s="19"/>
    </row>
    <row r="52" ht="13.5" customHeight="1">
      <c r="A52" s="19"/>
      <c r="B52" s="22" t="s">
        <v>1927</v>
      </c>
      <c r="C52" s="19"/>
      <c r="D52" s="19"/>
      <c r="E52" s="19"/>
      <c r="F52" s="19"/>
      <c r="G52" s="22" t="str">
        <f t="shared" si="5"/>
        <v>#NAME?</v>
      </c>
      <c r="H52" s="22">
        <f t="shared" si="6"/>
        <v>4</v>
      </c>
      <c r="I52" s="52" t="s">
        <v>1928</v>
      </c>
      <c r="J52" s="19"/>
      <c r="K52" s="19"/>
      <c r="L52" s="19"/>
      <c r="M52" s="19"/>
      <c r="N52" s="19"/>
      <c r="O52" s="19"/>
      <c r="P52" s="19"/>
      <c r="Q52" s="19"/>
      <c r="R52" s="19"/>
      <c r="S52" s="19"/>
      <c r="T52" s="19"/>
      <c r="U52" s="19"/>
      <c r="V52" s="19"/>
      <c r="W52" s="19"/>
      <c r="X52" s="19"/>
      <c r="Y52" s="19"/>
      <c r="Z52" s="19"/>
    </row>
    <row r="53" ht="13.5" customHeight="1">
      <c r="A53" s="19"/>
      <c r="B53" s="22" t="s">
        <v>1929</v>
      </c>
      <c r="C53" s="19"/>
      <c r="D53" s="19"/>
      <c r="E53" s="19"/>
      <c r="F53" s="19"/>
      <c r="G53" s="22" t="str">
        <f t="shared" si="5"/>
        <v>#NAME?</v>
      </c>
      <c r="H53" s="22">
        <f>LEN(B54)</f>
        <v>10</v>
      </c>
      <c r="I53" s="52" t="s">
        <v>1930</v>
      </c>
      <c r="J53" s="19"/>
      <c r="K53" s="19"/>
      <c r="L53" s="19"/>
      <c r="M53" s="19"/>
      <c r="N53" s="19"/>
      <c r="O53" s="19"/>
      <c r="P53" s="19"/>
      <c r="Q53" s="19"/>
      <c r="R53" s="19"/>
      <c r="S53" s="19"/>
      <c r="T53" s="19"/>
      <c r="U53" s="19"/>
      <c r="V53" s="19"/>
      <c r="W53" s="19"/>
      <c r="X53" s="19"/>
      <c r="Y53" s="19"/>
      <c r="Z53" s="19"/>
    </row>
    <row r="54" ht="13.5" customHeight="1">
      <c r="A54" s="19"/>
      <c r="B54" s="22" t="s">
        <v>1931</v>
      </c>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3.5" customHeight="1">
      <c r="A56" s="19"/>
      <c r="B56" s="53" t="s">
        <v>1353</v>
      </c>
      <c r="D56" s="19"/>
      <c r="E56" s="19"/>
      <c r="F56" s="19"/>
      <c r="G56" s="19"/>
      <c r="H56" s="19"/>
      <c r="I56" s="19"/>
      <c r="J56" s="19"/>
      <c r="K56" s="19"/>
      <c r="L56" s="19"/>
      <c r="M56" s="19"/>
      <c r="N56" s="19"/>
      <c r="O56" s="19"/>
      <c r="P56" s="19"/>
      <c r="Q56" s="19"/>
      <c r="R56" s="19"/>
      <c r="S56" s="19"/>
      <c r="T56" s="19"/>
      <c r="U56" s="19"/>
      <c r="V56" s="19"/>
      <c r="W56" s="19"/>
      <c r="X56" s="19"/>
      <c r="Y56" s="19"/>
      <c r="Z56" s="19"/>
    </row>
    <row r="57"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3.5" customHeight="1">
      <c r="A58" s="19"/>
      <c r="B58" s="48" t="s">
        <v>1932</v>
      </c>
      <c r="C58" s="49"/>
      <c r="D58" s="49"/>
      <c r="E58" s="49"/>
      <c r="F58" s="49"/>
      <c r="G58" s="49"/>
      <c r="H58" s="49"/>
      <c r="I58" s="51"/>
      <c r="J58" s="19"/>
      <c r="K58" s="19"/>
      <c r="L58" s="19"/>
      <c r="M58" s="19"/>
      <c r="N58" s="19"/>
      <c r="O58" s="19"/>
      <c r="P58" s="19"/>
      <c r="Q58" s="19"/>
      <c r="R58" s="19"/>
      <c r="S58" s="19"/>
      <c r="T58" s="19"/>
      <c r="U58" s="19"/>
      <c r="V58" s="19"/>
      <c r="W58" s="19"/>
      <c r="X58" s="19"/>
      <c r="Y58" s="19"/>
      <c r="Z58" s="19"/>
    </row>
    <row r="59" ht="13.5" customHeight="1">
      <c r="A59" s="19"/>
      <c r="B59" s="43" t="s">
        <v>1933</v>
      </c>
      <c r="C59" s="44"/>
      <c r="D59" s="44"/>
      <c r="E59" s="44"/>
      <c r="F59" s="44"/>
      <c r="G59" s="44"/>
      <c r="H59" s="44"/>
      <c r="I59" s="45"/>
      <c r="J59" s="19"/>
      <c r="K59" s="19"/>
      <c r="L59" s="19"/>
      <c r="M59" s="19"/>
      <c r="N59" s="19"/>
      <c r="O59" s="19"/>
      <c r="P59" s="19"/>
      <c r="Q59" s="19"/>
      <c r="R59" s="19"/>
      <c r="S59" s="19"/>
      <c r="T59" s="19"/>
      <c r="U59" s="19"/>
      <c r="V59" s="19"/>
      <c r="W59" s="19"/>
      <c r="X59" s="19"/>
      <c r="Y59" s="19"/>
      <c r="Z59" s="19"/>
    </row>
    <row r="60" ht="13.5" customHeight="1">
      <c r="A60" s="19"/>
      <c r="B60" s="48" t="s">
        <v>1934</v>
      </c>
      <c r="C60" s="49"/>
      <c r="D60" s="49"/>
      <c r="E60" s="49"/>
      <c r="F60" s="49"/>
      <c r="G60" s="49"/>
      <c r="H60" s="49"/>
      <c r="I60" s="51"/>
      <c r="J60" s="19"/>
      <c r="K60" s="19"/>
      <c r="L60" s="19"/>
      <c r="M60" s="19"/>
      <c r="N60" s="19"/>
      <c r="O60" s="19"/>
      <c r="P60" s="19"/>
      <c r="Q60" s="19"/>
      <c r="R60" s="19"/>
      <c r="S60" s="19"/>
      <c r="T60" s="19"/>
      <c r="U60" s="19"/>
      <c r="V60" s="19"/>
      <c r="W60" s="19"/>
      <c r="X60" s="19"/>
      <c r="Y60" s="19"/>
      <c r="Z60" s="19"/>
    </row>
    <row r="61" ht="13.5" customHeight="1">
      <c r="A61" s="19"/>
      <c r="B61" s="43" t="s">
        <v>1935</v>
      </c>
      <c r="C61" s="44"/>
      <c r="D61" s="44"/>
      <c r="E61" s="44"/>
      <c r="F61" s="44"/>
      <c r="G61" s="44"/>
      <c r="H61" s="44"/>
      <c r="I61" s="45"/>
      <c r="J61" s="19"/>
      <c r="K61" s="19"/>
      <c r="L61" s="19"/>
      <c r="M61" s="19"/>
      <c r="N61" s="19"/>
      <c r="O61" s="19"/>
      <c r="P61" s="19"/>
      <c r="Q61" s="19"/>
      <c r="R61" s="19"/>
      <c r="S61" s="19"/>
      <c r="T61" s="19"/>
      <c r="U61" s="19"/>
      <c r="V61" s="19"/>
      <c r="W61" s="19"/>
      <c r="X61" s="19"/>
      <c r="Y61" s="19"/>
      <c r="Z61" s="19"/>
    </row>
    <row r="62" ht="13.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3.5" customHeight="1">
      <c r="A63" s="19"/>
      <c r="B63" s="19"/>
      <c r="C63" s="19"/>
      <c r="D63" s="19"/>
      <c r="E63" s="19"/>
      <c r="F63" s="19"/>
      <c r="G63" s="40" t="s">
        <v>1447</v>
      </c>
      <c r="H63" s="59" t="s">
        <v>1342</v>
      </c>
      <c r="I63" s="59" t="s">
        <v>1343</v>
      </c>
      <c r="J63" s="19"/>
      <c r="K63" s="19"/>
      <c r="L63" s="19"/>
      <c r="M63" s="19"/>
      <c r="N63" s="19"/>
      <c r="O63" s="19"/>
      <c r="P63" s="19"/>
      <c r="Q63" s="19"/>
      <c r="R63" s="19"/>
      <c r="S63" s="19"/>
      <c r="T63" s="19"/>
      <c r="U63" s="19"/>
      <c r="V63" s="19"/>
      <c r="W63" s="19"/>
      <c r="X63" s="19"/>
      <c r="Y63" s="19"/>
      <c r="Z63" s="19"/>
    </row>
    <row r="64" ht="13.5" customHeight="1">
      <c r="A64" s="19"/>
      <c r="B64" s="19"/>
      <c r="C64" s="19"/>
      <c r="D64" s="19"/>
      <c r="E64" s="19"/>
      <c r="F64" s="19"/>
      <c r="G64" s="22" t="str">
        <f t="shared" ref="G64:G67" si="7">_xludf.FORMULATEXT(H64)</f>
        <v>#NAME?</v>
      </c>
      <c r="H64" s="22">
        <f>COLUMN()</f>
        <v>8</v>
      </c>
      <c r="I64" s="52" t="s">
        <v>1936</v>
      </c>
      <c r="J64" s="19"/>
      <c r="K64" s="19"/>
      <c r="L64" s="19"/>
      <c r="M64" s="19"/>
      <c r="N64" s="19"/>
      <c r="O64" s="19"/>
      <c r="P64" s="19"/>
      <c r="Q64" s="19"/>
      <c r="R64" s="19"/>
      <c r="S64" s="19"/>
      <c r="T64" s="19"/>
      <c r="U64" s="19"/>
      <c r="V64" s="19"/>
      <c r="W64" s="19"/>
      <c r="X64" s="19"/>
      <c r="Y64" s="19"/>
      <c r="Z64" s="19"/>
    </row>
    <row r="65" ht="13.5" customHeight="1">
      <c r="A65" s="19"/>
      <c r="B65" s="19"/>
      <c r="C65" s="19"/>
      <c r="D65" s="19"/>
      <c r="E65" s="19"/>
      <c r="F65" s="19"/>
      <c r="G65" s="22" t="str">
        <f t="shared" si="7"/>
        <v>#NAME?</v>
      </c>
      <c r="H65" s="22">
        <f>COLUMN(B30)</f>
        <v>2</v>
      </c>
      <c r="I65" s="52" t="s">
        <v>1937</v>
      </c>
      <c r="J65" s="19"/>
      <c r="K65" s="19"/>
      <c r="L65" s="19"/>
      <c r="M65" s="19"/>
      <c r="N65" s="19"/>
      <c r="O65" s="19"/>
      <c r="P65" s="19"/>
      <c r="Q65" s="19"/>
      <c r="R65" s="19"/>
      <c r="S65" s="19"/>
      <c r="T65" s="19"/>
      <c r="U65" s="19"/>
      <c r="V65" s="19"/>
      <c r="W65" s="19"/>
      <c r="X65" s="19"/>
      <c r="Y65" s="19"/>
      <c r="Z65" s="19"/>
    </row>
    <row r="66" ht="13.5" customHeight="1">
      <c r="A66" s="19"/>
      <c r="B66" s="19"/>
      <c r="C66" s="19"/>
      <c r="D66" s="19"/>
      <c r="E66" s="19"/>
      <c r="F66" s="19"/>
      <c r="G66" s="22" t="str">
        <f t="shared" si="7"/>
        <v>#NAME?</v>
      </c>
      <c r="H66" s="22">
        <f>ROW()</f>
        <v>66</v>
      </c>
      <c r="I66" s="52" t="s">
        <v>1938</v>
      </c>
      <c r="J66" s="19"/>
      <c r="K66" s="19"/>
      <c r="L66" s="19"/>
      <c r="M66" s="19"/>
      <c r="N66" s="19"/>
      <c r="O66" s="19"/>
      <c r="P66" s="19"/>
      <c r="Q66" s="19"/>
      <c r="R66" s="19"/>
      <c r="S66" s="19"/>
      <c r="T66" s="19"/>
      <c r="U66" s="19"/>
      <c r="V66" s="19"/>
      <c r="W66" s="19"/>
      <c r="X66" s="19"/>
      <c r="Y66" s="19"/>
      <c r="Z66" s="19"/>
    </row>
    <row r="67" ht="13.5" customHeight="1">
      <c r="A67" s="19"/>
      <c r="B67" s="53" t="s">
        <v>1353</v>
      </c>
      <c r="D67" s="19"/>
      <c r="E67" s="19"/>
      <c r="F67" s="19"/>
      <c r="G67" s="22" t="str">
        <f t="shared" si="7"/>
        <v>#NAME?</v>
      </c>
      <c r="H67" s="22">
        <f>ROW(B30)</f>
        <v>30</v>
      </c>
      <c r="I67" s="52" t="s">
        <v>1939</v>
      </c>
      <c r="J67" s="19"/>
      <c r="K67" s="19"/>
      <c r="L67" s="19"/>
      <c r="M67" s="19"/>
      <c r="N67" s="19"/>
      <c r="O67" s="19"/>
      <c r="P67" s="19"/>
      <c r="Q67" s="19"/>
      <c r="R67" s="19"/>
      <c r="S67" s="19"/>
      <c r="T67" s="19"/>
      <c r="U67" s="19"/>
      <c r="V67" s="19"/>
      <c r="W67" s="19"/>
      <c r="X67" s="19"/>
      <c r="Y67" s="19"/>
      <c r="Z67" s="19"/>
    </row>
    <row r="68"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3.5" customHeight="1">
      <c r="A69" s="19"/>
      <c r="B69" s="48" t="s">
        <v>1940</v>
      </c>
      <c r="C69" s="49"/>
      <c r="D69" s="49"/>
      <c r="E69" s="49"/>
      <c r="F69" s="49"/>
      <c r="G69" s="49"/>
      <c r="H69" s="49"/>
      <c r="I69" s="51"/>
      <c r="J69" s="19"/>
      <c r="K69" s="19"/>
      <c r="L69" s="19"/>
      <c r="M69" s="19"/>
      <c r="N69" s="19"/>
      <c r="O69" s="19"/>
      <c r="P69" s="19"/>
      <c r="Q69" s="19"/>
      <c r="R69" s="19"/>
      <c r="S69" s="19"/>
      <c r="T69" s="19"/>
      <c r="U69" s="19"/>
      <c r="V69" s="19"/>
      <c r="W69" s="19"/>
      <c r="X69" s="19"/>
      <c r="Y69" s="19"/>
      <c r="Z69" s="19"/>
    </row>
    <row r="70" ht="13.5" customHeight="1">
      <c r="A70" s="19"/>
      <c r="B70" s="43" t="s">
        <v>1941</v>
      </c>
      <c r="C70" s="44"/>
      <c r="D70" s="44"/>
      <c r="E70" s="44"/>
      <c r="F70" s="44"/>
      <c r="G70" s="44"/>
      <c r="H70" s="44"/>
      <c r="I70" s="45"/>
      <c r="J70" s="19"/>
      <c r="K70" s="19"/>
      <c r="L70" s="19"/>
      <c r="M70" s="19"/>
      <c r="N70" s="19"/>
      <c r="O70" s="19"/>
      <c r="P70" s="19"/>
      <c r="Q70" s="19"/>
      <c r="R70" s="19"/>
      <c r="S70" s="19"/>
      <c r="T70" s="19"/>
      <c r="U70" s="19"/>
      <c r="V70" s="19"/>
      <c r="W70" s="19"/>
      <c r="X70" s="19"/>
      <c r="Y70" s="19"/>
      <c r="Z70" s="19"/>
    </row>
    <row r="71"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3.5" customHeight="1">
      <c r="A72" s="19"/>
      <c r="B72" s="40" t="s">
        <v>1942</v>
      </c>
      <c r="C72" s="59" t="s">
        <v>1943</v>
      </c>
      <c r="D72" s="19"/>
      <c r="E72" s="19"/>
      <c r="F72" s="19"/>
      <c r="G72" s="40" t="s">
        <v>1447</v>
      </c>
      <c r="H72" s="59" t="s">
        <v>1342</v>
      </c>
      <c r="I72" s="59" t="s">
        <v>1343</v>
      </c>
      <c r="J72" s="19"/>
      <c r="K72" s="19"/>
      <c r="L72" s="19"/>
      <c r="M72" s="19"/>
      <c r="N72" s="19"/>
      <c r="O72" s="19"/>
      <c r="P72" s="19"/>
      <c r="Q72" s="19"/>
      <c r="R72" s="19"/>
      <c r="S72" s="19"/>
      <c r="T72" s="19"/>
      <c r="U72" s="19"/>
      <c r="V72" s="19"/>
      <c r="W72" s="19"/>
      <c r="X72" s="19"/>
      <c r="Y72" s="19"/>
      <c r="Z72" s="19"/>
    </row>
    <row r="73" ht="13.5" customHeight="1">
      <c r="A73" s="19"/>
      <c r="B73" s="22" t="s">
        <v>1773</v>
      </c>
      <c r="C73" s="22" t="s">
        <v>1944</v>
      </c>
      <c r="D73" s="19"/>
      <c r="E73" s="19"/>
      <c r="F73" s="19"/>
      <c r="G73" s="22" t="str">
        <f t="shared" ref="G73:G76" si="8">_xludf.FORMULATEXT(H73)</f>
        <v>#NAME?</v>
      </c>
      <c r="H73" s="22" t="b">
        <f t="shared" ref="H73:H76" si="9">EXACT(B73, C73)</f>
        <v>0</v>
      </c>
      <c r="I73" s="52" t="s">
        <v>1945</v>
      </c>
      <c r="J73" s="19"/>
      <c r="K73" s="19"/>
      <c r="L73" s="19"/>
      <c r="M73" s="19"/>
      <c r="N73" s="19"/>
      <c r="O73" s="19"/>
      <c r="P73" s="19"/>
      <c r="Q73" s="19"/>
      <c r="R73" s="19"/>
      <c r="S73" s="19"/>
      <c r="T73" s="19"/>
      <c r="U73" s="19"/>
      <c r="V73" s="19"/>
      <c r="W73" s="19"/>
      <c r="X73" s="19"/>
      <c r="Y73" s="19"/>
      <c r="Z73" s="19"/>
    </row>
    <row r="74" ht="13.5" customHeight="1">
      <c r="A74" s="19"/>
      <c r="B74" s="22" t="s">
        <v>1773</v>
      </c>
      <c r="C74" s="22" t="s">
        <v>1946</v>
      </c>
      <c r="D74" s="19"/>
      <c r="E74" s="19"/>
      <c r="F74" s="19"/>
      <c r="G74" s="22" t="str">
        <f t="shared" si="8"/>
        <v>#NAME?</v>
      </c>
      <c r="H74" s="22" t="b">
        <f t="shared" si="9"/>
        <v>0</v>
      </c>
      <c r="I74" s="52" t="s">
        <v>1945</v>
      </c>
      <c r="J74" s="19"/>
      <c r="K74" s="19"/>
      <c r="L74" s="19"/>
      <c r="M74" s="19"/>
      <c r="N74" s="19"/>
      <c r="O74" s="19"/>
      <c r="P74" s="19"/>
      <c r="Q74" s="19"/>
      <c r="R74" s="19"/>
      <c r="S74" s="19"/>
      <c r="T74" s="19"/>
      <c r="U74" s="19"/>
      <c r="V74" s="19"/>
      <c r="W74" s="19"/>
      <c r="X74" s="19"/>
      <c r="Y74" s="19"/>
      <c r="Z74" s="19"/>
    </row>
    <row r="75" ht="13.5" customHeight="1">
      <c r="A75" s="19"/>
      <c r="B75" s="22" t="s">
        <v>1773</v>
      </c>
      <c r="C75" s="22" t="s">
        <v>1947</v>
      </c>
      <c r="D75" s="19"/>
      <c r="E75" s="19"/>
      <c r="F75" s="19"/>
      <c r="G75" s="22" t="str">
        <f t="shared" si="8"/>
        <v>#NAME?</v>
      </c>
      <c r="H75" s="22" t="b">
        <f t="shared" si="9"/>
        <v>0</v>
      </c>
      <c r="I75" s="52" t="s">
        <v>1948</v>
      </c>
      <c r="J75" s="19"/>
      <c r="K75" s="19"/>
      <c r="L75" s="19"/>
      <c r="M75" s="19"/>
      <c r="N75" s="19"/>
      <c r="O75" s="19"/>
      <c r="P75" s="19"/>
      <c r="Q75" s="19"/>
      <c r="R75" s="19"/>
      <c r="S75" s="19"/>
      <c r="T75" s="19"/>
      <c r="U75" s="19"/>
      <c r="V75" s="19"/>
      <c r="W75" s="19"/>
      <c r="X75" s="19"/>
      <c r="Y75" s="19"/>
      <c r="Z75" s="19"/>
    </row>
    <row r="76" ht="13.5" customHeight="1">
      <c r="A76" s="19"/>
      <c r="B76" s="22" t="s">
        <v>1773</v>
      </c>
      <c r="C76" s="22" t="s">
        <v>1773</v>
      </c>
      <c r="D76" s="19"/>
      <c r="E76" s="19"/>
      <c r="F76" s="19"/>
      <c r="G76" s="22" t="str">
        <f t="shared" si="8"/>
        <v>#NAME?</v>
      </c>
      <c r="H76" s="22" t="b">
        <f t="shared" si="9"/>
        <v>1</v>
      </c>
      <c r="I76" s="52" t="s">
        <v>1949</v>
      </c>
      <c r="J76" s="19"/>
      <c r="K76" s="19"/>
      <c r="L76" s="19"/>
      <c r="M76" s="19"/>
      <c r="N76" s="19"/>
      <c r="O76" s="19"/>
      <c r="P76" s="19"/>
      <c r="Q76" s="19"/>
      <c r="R76" s="19"/>
      <c r="S76" s="19"/>
      <c r="T76" s="19"/>
      <c r="U76" s="19"/>
      <c r="V76" s="19"/>
      <c r="W76" s="19"/>
      <c r="X76" s="19"/>
      <c r="Y76" s="19"/>
      <c r="Z76" s="19"/>
    </row>
    <row r="77"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3.5" customHeight="1">
      <c r="A78" s="19"/>
      <c r="B78" s="53" t="s">
        <v>1353</v>
      </c>
      <c r="D78" s="19"/>
      <c r="E78" s="19"/>
      <c r="F78" s="19"/>
      <c r="G78" s="19"/>
      <c r="H78" s="19"/>
      <c r="I78" s="19"/>
      <c r="J78" s="19"/>
      <c r="K78" s="19"/>
      <c r="L78" s="19"/>
      <c r="M78" s="19"/>
      <c r="N78" s="19"/>
      <c r="O78" s="19"/>
      <c r="P78" s="19"/>
      <c r="Q78" s="19"/>
      <c r="R78" s="19"/>
      <c r="S78" s="19"/>
      <c r="T78" s="19"/>
      <c r="U78" s="19"/>
      <c r="V78" s="19"/>
      <c r="W78" s="19"/>
      <c r="X78" s="19"/>
      <c r="Y78" s="19"/>
      <c r="Z78" s="19"/>
    </row>
    <row r="79"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3.5" customHeight="1">
      <c r="A80" s="19"/>
      <c r="B80" s="48" t="s">
        <v>1950</v>
      </c>
      <c r="C80" s="49"/>
      <c r="D80" s="49"/>
      <c r="E80" s="49"/>
      <c r="F80" s="49"/>
      <c r="G80" s="49"/>
      <c r="H80" s="49"/>
      <c r="I80" s="51"/>
      <c r="J80" s="19"/>
      <c r="K80" s="19"/>
      <c r="L80" s="19"/>
      <c r="M80" s="19"/>
      <c r="N80" s="19"/>
      <c r="O80" s="19"/>
      <c r="P80" s="19"/>
      <c r="Q80" s="19"/>
      <c r="R80" s="19"/>
      <c r="S80" s="19"/>
      <c r="T80" s="19"/>
      <c r="U80" s="19"/>
      <c r="V80" s="19"/>
      <c r="W80" s="19"/>
      <c r="X80" s="19"/>
      <c r="Y80" s="19"/>
      <c r="Z80" s="19"/>
    </row>
    <row r="81" ht="13.5" customHeight="1">
      <c r="A81" s="19"/>
      <c r="B81" s="43" t="s">
        <v>1951</v>
      </c>
      <c r="C81" s="44"/>
      <c r="D81" s="44"/>
      <c r="E81" s="44"/>
      <c r="F81" s="44"/>
      <c r="G81" s="44"/>
      <c r="H81" s="44"/>
      <c r="I81" s="45"/>
      <c r="J81" s="19"/>
      <c r="K81" s="19"/>
      <c r="L81" s="19"/>
      <c r="M81" s="19"/>
      <c r="N81" s="19"/>
      <c r="O81" s="19"/>
      <c r="P81" s="19"/>
      <c r="Q81" s="19"/>
      <c r="R81" s="19"/>
      <c r="S81" s="19"/>
      <c r="T81" s="19"/>
      <c r="U81" s="19"/>
      <c r="V81" s="19"/>
      <c r="W81" s="19"/>
      <c r="X81" s="19"/>
      <c r="Y81" s="19"/>
      <c r="Z81" s="19"/>
    </row>
    <row r="82"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3.5" customHeight="1">
      <c r="A83" s="19"/>
      <c r="B83" s="40" t="s">
        <v>1341</v>
      </c>
      <c r="C83" s="19"/>
      <c r="D83" s="19"/>
      <c r="E83" s="19"/>
      <c r="F83" s="19"/>
      <c r="G83" s="40" t="s">
        <v>1447</v>
      </c>
      <c r="H83" s="59" t="s">
        <v>1342</v>
      </c>
      <c r="I83" s="59" t="s">
        <v>1343</v>
      </c>
      <c r="J83" s="19"/>
      <c r="K83" s="19"/>
      <c r="L83" s="19"/>
      <c r="M83" s="19"/>
      <c r="N83" s="19"/>
      <c r="O83" s="19"/>
      <c r="P83" s="19"/>
      <c r="Q83" s="19"/>
      <c r="R83" s="19"/>
      <c r="S83" s="19"/>
      <c r="T83" s="19"/>
      <c r="U83" s="19"/>
      <c r="V83" s="19"/>
      <c r="W83" s="19"/>
      <c r="X83" s="19"/>
      <c r="Y83" s="19"/>
      <c r="Z83" s="19"/>
    </row>
    <row r="84" ht="13.5" customHeight="1">
      <c r="A84" s="19"/>
      <c r="B84" s="22">
        <f>SUM(5, 10, 15, 50)</f>
        <v>80</v>
      </c>
      <c r="C84" s="19"/>
      <c r="D84" s="19"/>
      <c r="E84" s="19"/>
      <c r="F84" s="19"/>
      <c r="G84" s="22" t="str">
        <f t="shared" ref="G84:G86" si="10">_xludf.FORMULATEXT(H84)</f>
        <v>#NAME?</v>
      </c>
      <c r="H84" s="22" t="str">
        <f t="shared" ref="H84:H86" si="11">_xludf.FORMULATEXT(B84)</f>
        <v>#NAME?</v>
      </c>
      <c r="I84" s="52" t="s">
        <v>1952</v>
      </c>
      <c r="J84" s="19"/>
      <c r="K84" s="19"/>
      <c r="L84" s="19"/>
      <c r="M84" s="19"/>
      <c r="N84" s="19"/>
      <c r="O84" s="19"/>
      <c r="P84" s="19"/>
      <c r="Q84" s="19"/>
      <c r="R84" s="19"/>
      <c r="S84" s="19"/>
      <c r="T84" s="19"/>
      <c r="U84" s="19"/>
      <c r="V84" s="19"/>
      <c r="W84" s="19"/>
      <c r="X84" s="19"/>
      <c r="Y84" s="19"/>
      <c r="Z84" s="19"/>
    </row>
    <row r="85" ht="13.5" customHeight="1">
      <c r="A85" s="19"/>
      <c r="B85" s="47">
        <f>NOW()</f>
        <v>45489.13359</v>
      </c>
      <c r="C85" s="19"/>
      <c r="D85" s="19"/>
      <c r="E85" s="19"/>
      <c r="F85" s="19"/>
      <c r="G85" s="22" t="str">
        <f t="shared" si="10"/>
        <v>#NAME?</v>
      </c>
      <c r="H85" s="22" t="str">
        <f t="shared" si="11"/>
        <v>#NAME?</v>
      </c>
      <c r="I85" s="52" t="s">
        <v>1953</v>
      </c>
      <c r="J85" s="19"/>
      <c r="K85" s="19"/>
      <c r="L85" s="19"/>
      <c r="M85" s="19"/>
      <c r="N85" s="19"/>
      <c r="O85" s="19"/>
      <c r="P85" s="19"/>
      <c r="Q85" s="19"/>
      <c r="R85" s="19"/>
      <c r="S85" s="19"/>
      <c r="T85" s="19"/>
      <c r="U85" s="19"/>
      <c r="V85" s="19"/>
      <c r="W85" s="19"/>
      <c r="X85" s="19"/>
      <c r="Y85" s="19"/>
      <c r="Z85" s="19"/>
    </row>
    <row r="86" ht="13.5" customHeight="1">
      <c r="A86" s="19"/>
      <c r="B86" s="46">
        <f>TODAY()</f>
        <v>45489</v>
      </c>
      <c r="C86" s="19"/>
      <c r="D86" s="19"/>
      <c r="E86" s="19"/>
      <c r="F86" s="19"/>
      <c r="G86" s="22" t="str">
        <f t="shared" si="10"/>
        <v>#NAME?</v>
      </c>
      <c r="H86" s="22" t="str">
        <f t="shared" si="11"/>
        <v>#NAME?</v>
      </c>
      <c r="I86" s="52" t="s">
        <v>1954</v>
      </c>
      <c r="J86" s="19"/>
      <c r="K86" s="19"/>
      <c r="L86" s="19"/>
      <c r="M86" s="19"/>
      <c r="N86" s="19"/>
      <c r="O86" s="19"/>
      <c r="P86" s="19"/>
      <c r="Q86" s="19"/>
      <c r="R86" s="19"/>
      <c r="S86" s="19"/>
      <c r="T86" s="19"/>
      <c r="U86" s="19"/>
      <c r="V86" s="19"/>
      <c r="W86" s="19"/>
      <c r="X86" s="19"/>
      <c r="Y86" s="19"/>
      <c r="Z86" s="19"/>
    </row>
    <row r="87"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3.5" customHeight="1">
      <c r="A105" s="19"/>
      <c r="B105" s="53" t="s">
        <v>1353</v>
      </c>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3.5" customHeight="1">
      <c r="A107" s="19"/>
      <c r="B107" s="48" t="s">
        <v>1955</v>
      </c>
      <c r="C107" s="49"/>
      <c r="D107" s="49"/>
      <c r="E107" s="49"/>
      <c r="F107" s="49"/>
      <c r="G107" s="49"/>
      <c r="H107" s="49"/>
      <c r="I107" s="51"/>
      <c r="J107" s="19"/>
      <c r="K107" s="19"/>
      <c r="L107" s="19"/>
      <c r="M107" s="19"/>
      <c r="N107" s="19"/>
      <c r="O107" s="19"/>
      <c r="P107" s="19"/>
      <c r="Q107" s="19"/>
      <c r="R107" s="19"/>
      <c r="S107" s="19"/>
      <c r="T107" s="19"/>
      <c r="U107" s="19"/>
      <c r="V107" s="19"/>
      <c r="W107" s="19"/>
      <c r="X107" s="19"/>
      <c r="Y107" s="19"/>
      <c r="Z107" s="19"/>
    </row>
    <row r="108" ht="13.5" customHeight="1">
      <c r="A108" s="19"/>
      <c r="B108" s="43" t="s">
        <v>1956</v>
      </c>
      <c r="C108" s="44"/>
      <c r="D108" s="44"/>
      <c r="E108" s="44"/>
      <c r="F108" s="44"/>
      <c r="G108" s="44"/>
      <c r="H108" s="44"/>
      <c r="I108" s="45"/>
      <c r="J108" s="19"/>
      <c r="K108" s="19"/>
      <c r="L108" s="19"/>
      <c r="M108" s="19"/>
      <c r="N108" s="19"/>
      <c r="O108" s="19"/>
      <c r="P108" s="19"/>
      <c r="Q108" s="19"/>
      <c r="R108" s="19"/>
      <c r="S108" s="19"/>
      <c r="T108" s="19"/>
      <c r="U108" s="19"/>
      <c r="V108" s="19"/>
      <c r="W108" s="19"/>
      <c r="X108" s="19"/>
      <c r="Y108" s="19"/>
      <c r="Z108" s="19"/>
    </row>
    <row r="109" ht="13.5" customHeight="1">
      <c r="A109" s="19"/>
      <c r="B109" s="48" t="s">
        <v>1957</v>
      </c>
      <c r="C109" s="49"/>
      <c r="D109" s="49"/>
      <c r="E109" s="49"/>
      <c r="F109" s="49"/>
      <c r="G109" s="49"/>
      <c r="H109" s="49"/>
      <c r="I109" s="51"/>
      <c r="J109" s="19"/>
      <c r="K109" s="19"/>
      <c r="L109" s="19"/>
      <c r="M109" s="19"/>
      <c r="N109" s="19"/>
      <c r="O109" s="19"/>
      <c r="P109" s="19"/>
      <c r="Q109" s="19"/>
      <c r="R109" s="19"/>
      <c r="S109" s="19"/>
      <c r="T109" s="19"/>
      <c r="U109" s="19"/>
      <c r="V109" s="19"/>
      <c r="W109" s="19"/>
      <c r="X109" s="19"/>
      <c r="Y109" s="19"/>
      <c r="Z109" s="19"/>
    </row>
    <row r="110" ht="13.5" customHeight="1">
      <c r="A110" s="19"/>
      <c r="B110" s="43" t="s">
        <v>1958</v>
      </c>
      <c r="C110" s="44"/>
      <c r="D110" s="44"/>
      <c r="E110" s="44"/>
      <c r="F110" s="44"/>
      <c r="G110" s="44"/>
      <c r="H110" s="44"/>
      <c r="I110" s="45"/>
      <c r="J110" s="19"/>
      <c r="K110" s="19"/>
      <c r="L110" s="19"/>
      <c r="M110" s="19"/>
      <c r="N110" s="19"/>
      <c r="O110" s="19"/>
      <c r="P110" s="19"/>
      <c r="Q110" s="19"/>
      <c r="R110" s="19"/>
      <c r="S110" s="19"/>
      <c r="T110" s="19"/>
      <c r="U110" s="19"/>
      <c r="V110" s="19"/>
      <c r="W110" s="19"/>
      <c r="X110" s="19"/>
      <c r="Y110" s="19"/>
      <c r="Z110" s="19"/>
    </row>
    <row r="111" ht="13.5" customHeight="1">
      <c r="A111" s="19"/>
      <c r="B111" s="48" t="s">
        <v>1959</v>
      </c>
      <c r="C111" s="49"/>
      <c r="D111" s="49"/>
      <c r="E111" s="49"/>
      <c r="F111" s="49"/>
      <c r="G111" s="49"/>
      <c r="H111" s="49"/>
      <c r="I111" s="51"/>
      <c r="J111" s="19"/>
      <c r="K111" s="19"/>
      <c r="L111" s="19"/>
      <c r="M111" s="19"/>
      <c r="N111" s="19"/>
      <c r="O111" s="19"/>
      <c r="P111" s="19"/>
      <c r="Q111" s="19"/>
      <c r="R111" s="19"/>
      <c r="S111" s="19"/>
      <c r="T111" s="19"/>
      <c r="U111" s="19"/>
      <c r="V111" s="19"/>
      <c r="W111" s="19"/>
      <c r="X111" s="19"/>
      <c r="Y111" s="19"/>
      <c r="Z111" s="19"/>
    </row>
    <row r="112" ht="13.5" customHeight="1">
      <c r="A112" s="19"/>
      <c r="B112" s="43" t="s">
        <v>1960</v>
      </c>
      <c r="C112" s="44"/>
      <c r="D112" s="44"/>
      <c r="E112" s="44"/>
      <c r="F112" s="44"/>
      <c r="G112" s="44"/>
      <c r="H112" s="44"/>
      <c r="I112" s="45"/>
      <c r="J112" s="19"/>
      <c r="K112" s="19"/>
      <c r="L112" s="19"/>
      <c r="M112" s="19"/>
      <c r="N112" s="19"/>
      <c r="O112" s="19"/>
      <c r="P112" s="19"/>
      <c r="Q112" s="19"/>
      <c r="R112" s="19"/>
      <c r="S112" s="19"/>
      <c r="T112" s="19"/>
      <c r="U112" s="19"/>
      <c r="V112" s="19"/>
      <c r="W112" s="19"/>
      <c r="X112" s="19"/>
      <c r="Y112" s="19"/>
      <c r="Z112" s="19"/>
    </row>
    <row r="113"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3.5" customHeight="1">
      <c r="A115" s="19"/>
      <c r="B115" s="40" t="s">
        <v>1643</v>
      </c>
      <c r="C115" s="19"/>
      <c r="D115" s="19"/>
      <c r="E115" s="19"/>
      <c r="F115" s="19"/>
      <c r="G115" s="40" t="s">
        <v>1447</v>
      </c>
      <c r="H115" s="59" t="s">
        <v>1961</v>
      </c>
      <c r="I115" s="59" t="s">
        <v>1343</v>
      </c>
      <c r="J115" s="19"/>
      <c r="K115" s="19"/>
      <c r="L115" s="19"/>
      <c r="M115" s="19"/>
      <c r="N115" s="19"/>
      <c r="O115" s="19"/>
      <c r="P115" s="19"/>
      <c r="Q115" s="19"/>
      <c r="R115" s="19"/>
      <c r="S115" s="19"/>
      <c r="T115" s="19"/>
      <c r="U115" s="19"/>
      <c r="V115" s="19"/>
      <c r="W115" s="19"/>
      <c r="X115" s="19"/>
      <c r="Y115" s="19"/>
      <c r="Z115" s="19"/>
    </row>
    <row r="116" ht="13.5" customHeight="1">
      <c r="A116" s="19"/>
      <c r="B116" s="22" t="s">
        <v>1962</v>
      </c>
      <c r="C116" s="19"/>
      <c r="D116" s="19"/>
      <c r="E116" s="19"/>
      <c r="F116" s="19"/>
      <c r="G116" s="22" t="str">
        <f t="shared" ref="G116:G121" si="12">_xludf.FORMULATEXT(H116)</f>
        <v>#NAME?</v>
      </c>
      <c r="H116" s="22" t="str">
        <f>LEFT(B116, 5)</f>
        <v>Excel</v>
      </c>
      <c r="I116" s="52" t="s">
        <v>1963</v>
      </c>
      <c r="J116" s="19"/>
      <c r="K116" s="19"/>
      <c r="L116" s="19"/>
      <c r="M116" s="19"/>
      <c r="N116" s="19"/>
      <c r="O116" s="19"/>
      <c r="P116" s="19"/>
      <c r="Q116" s="19"/>
      <c r="R116" s="19"/>
      <c r="S116" s="19"/>
      <c r="T116" s="19"/>
      <c r="U116" s="19"/>
      <c r="V116" s="19"/>
      <c r="W116" s="19"/>
      <c r="X116" s="19"/>
      <c r="Y116" s="19"/>
      <c r="Z116" s="19"/>
    </row>
    <row r="117" ht="13.5" customHeight="1">
      <c r="A117" s="19"/>
      <c r="B117" s="22" t="s">
        <v>1393</v>
      </c>
      <c r="C117" s="19"/>
      <c r="D117" s="19"/>
      <c r="E117" s="19"/>
      <c r="F117" s="19"/>
      <c r="G117" s="22" t="str">
        <f t="shared" si="12"/>
        <v>#NAME?</v>
      </c>
      <c r="H117" s="22" t="str">
        <f>LEFT(B116, 30)</f>
        <v>Excel Dashboard</v>
      </c>
      <c r="I117" s="52" t="s">
        <v>1964</v>
      </c>
      <c r="J117" s="19"/>
      <c r="K117" s="19"/>
      <c r="L117" s="19"/>
      <c r="M117" s="19"/>
      <c r="N117" s="19"/>
      <c r="O117" s="19"/>
      <c r="P117" s="19"/>
      <c r="Q117" s="19"/>
      <c r="R117" s="19"/>
      <c r="S117" s="19"/>
      <c r="T117" s="19"/>
      <c r="U117" s="19"/>
      <c r="V117" s="19"/>
      <c r="W117" s="19"/>
      <c r="X117" s="19"/>
      <c r="Y117" s="19"/>
      <c r="Z117" s="19"/>
    </row>
    <row r="118" ht="13.5" customHeight="1">
      <c r="A118" s="19"/>
      <c r="B118" s="22" t="s">
        <v>1965</v>
      </c>
      <c r="C118" s="19"/>
      <c r="D118" s="19"/>
      <c r="E118" s="19"/>
      <c r="F118" s="19"/>
      <c r="G118" s="22" t="str">
        <f t="shared" si="12"/>
        <v>#NAME?</v>
      </c>
      <c r="H118" s="22" t="str">
        <f>MID(B116, 7, 25)</f>
        <v>Dashboard</v>
      </c>
      <c r="I118" s="52" t="s">
        <v>1966</v>
      </c>
      <c r="J118" s="19"/>
      <c r="K118" s="19"/>
      <c r="L118" s="19"/>
      <c r="M118" s="19"/>
      <c r="N118" s="19"/>
      <c r="O118" s="19"/>
      <c r="P118" s="19"/>
      <c r="Q118" s="19"/>
      <c r="R118" s="19"/>
      <c r="S118" s="19"/>
      <c r="T118" s="19"/>
      <c r="U118" s="19"/>
      <c r="V118" s="19"/>
      <c r="W118" s="19"/>
      <c r="X118" s="19"/>
      <c r="Y118" s="19"/>
      <c r="Z118" s="19"/>
    </row>
    <row r="119" ht="13.5" customHeight="1">
      <c r="A119" s="19"/>
      <c r="B119" s="19"/>
      <c r="C119" s="19"/>
      <c r="D119" s="19"/>
      <c r="E119" s="19"/>
      <c r="F119" s="19"/>
      <c r="G119" s="22" t="str">
        <f t="shared" si="12"/>
        <v>#NAME?</v>
      </c>
      <c r="H119" s="22" t="str">
        <f>MID(B116, 50, 5)</f>
        <v/>
      </c>
      <c r="I119" s="52" t="s">
        <v>1967</v>
      </c>
      <c r="J119" s="19"/>
      <c r="K119" s="19"/>
      <c r="L119" s="19"/>
      <c r="M119" s="19"/>
      <c r="N119" s="19"/>
      <c r="O119" s="19"/>
      <c r="P119" s="19"/>
      <c r="Q119" s="19"/>
      <c r="R119" s="19"/>
      <c r="S119" s="19"/>
      <c r="T119" s="19"/>
      <c r="U119" s="19"/>
      <c r="V119" s="19"/>
      <c r="W119" s="19"/>
      <c r="X119" s="19"/>
      <c r="Y119" s="19"/>
      <c r="Z119" s="19"/>
    </row>
    <row r="120" ht="13.5" customHeight="1">
      <c r="A120" s="19"/>
      <c r="B120" s="19"/>
      <c r="C120" s="19"/>
      <c r="D120" s="19"/>
      <c r="E120" s="19"/>
      <c r="F120" s="19"/>
      <c r="G120" s="22" t="str">
        <f t="shared" si="12"/>
        <v>#NAME?</v>
      </c>
      <c r="H120" s="22" t="str">
        <f>RIGHT(B116, 25)</f>
        <v>Excel Dashboard</v>
      </c>
      <c r="I120" s="52" t="s">
        <v>1964</v>
      </c>
      <c r="J120" s="19"/>
      <c r="K120" s="19"/>
      <c r="L120" s="19"/>
      <c r="M120" s="19"/>
      <c r="N120" s="19"/>
      <c r="O120" s="19"/>
      <c r="P120" s="19"/>
      <c r="Q120" s="19"/>
      <c r="R120" s="19"/>
      <c r="S120" s="19"/>
      <c r="T120" s="19"/>
      <c r="U120" s="19"/>
      <c r="V120" s="19"/>
      <c r="W120" s="19"/>
      <c r="X120" s="19"/>
      <c r="Y120" s="19"/>
      <c r="Z120" s="19"/>
    </row>
    <row r="121" ht="13.5" customHeight="1">
      <c r="A121" s="19"/>
      <c r="B121" s="19"/>
      <c r="C121" s="19"/>
      <c r="D121" s="19"/>
      <c r="E121" s="19"/>
      <c r="F121" s="19"/>
      <c r="G121" s="22" t="str">
        <f t="shared" si="12"/>
        <v>#NAME?</v>
      </c>
      <c r="H121" s="22" t="str">
        <f>RIGHT(B118, 5)</f>
        <v>Tools</v>
      </c>
      <c r="I121" s="52" t="s">
        <v>1968</v>
      </c>
      <c r="J121" s="19"/>
      <c r="K121" s="19"/>
      <c r="L121" s="19"/>
      <c r="M121" s="19"/>
      <c r="N121" s="19"/>
      <c r="O121" s="19"/>
      <c r="P121" s="19"/>
      <c r="Q121" s="19"/>
      <c r="R121" s="19"/>
      <c r="S121" s="19"/>
      <c r="T121" s="19"/>
      <c r="U121" s="19"/>
      <c r="V121" s="19"/>
      <c r="W121" s="19"/>
      <c r="X121" s="19"/>
      <c r="Y121" s="19"/>
      <c r="Z121" s="19"/>
    </row>
    <row r="122"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3.5" customHeight="1">
      <c r="A142" s="19"/>
      <c r="B142" s="53" t="s">
        <v>1353</v>
      </c>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3.5" customHeight="1">
      <c r="A144" s="19"/>
      <c r="B144" s="48" t="s">
        <v>1969</v>
      </c>
      <c r="C144" s="49"/>
      <c r="D144" s="49"/>
      <c r="E144" s="49"/>
      <c r="F144" s="49"/>
      <c r="G144" s="49"/>
      <c r="H144" s="49"/>
      <c r="I144" s="51"/>
      <c r="J144" s="19"/>
      <c r="K144" s="19"/>
      <c r="L144" s="19"/>
      <c r="M144" s="19"/>
      <c r="N144" s="19"/>
      <c r="O144" s="19"/>
      <c r="P144" s="19"/>
      <c r="Q144" s="19"/>
      <c r="R144" s="19"/>
      <c r="S144" s="19"/>
      <c r="T144" s="19"/>
      <c r="U144" s="19"/>
      <c r="V144" s="19"/>
      <c r="W144" s="19"/>
      <c r="X144" s="19"/>
      <c r="Y144" s="19"/>
      <c r="Z144" s="19"/>
    </row>
    <row r="145" ht="13.5" customHeight="1">
      <c r="A145" s="19"/>
      <c r="B145" s="43" t="s">
        <v>1970</v>
      </c>
      <c r="C145" s="44"/>
      <c r="D145" s="44"/>
      <c r="E145" s="44"/>
      <c r="F145" s="44"/>
      <c r="G145" s="44"/>
      <c r="H145" s="44"/>
      <c r="I145" s="45"/>
      <c r="J145" s="19"/>
      <c r="K145" s="19"/>
      <c r="L145" s="19"/>
      <c r="M145" s="19"/>
      <c r="N145" s="19"/>
      <c r="O145" s="19"/>
      <c r="P145" s="19"/>
      <c r="Q145" s="19"/>
      <c r="R145" s="19"/>
      <c r="S145" s="19"/>
      <c r="T145" s="19"/>
      <c r="U145" s="19"/>
      <c r="V145" s="19"/>
      <c r="W145" s="19"/>
      <c r="X145" s="19"/>
      <c r="Y145" s="19"/>
      <c r="Z145" s="19"/>
    </row>
    <row r="146" ht="13.5" customHeight="1">
      <c r="A146" s="19"/>
      <c r="B146" s="48" t="s">
        <v>1971</v>
      </c>
      <c r="C146" s="49"/>
      <c r="D146" s="49"/>
      <c r="E146" s="49"/>
      <c r="F146" s="49"/>
      <c r="G146" s="49"/>
      <c r="H146" s="49"/>
      <c r="I146" s="51"/>
      <c r="J146" s="19"/>
      <c r="K146" s="19"/>
      <c r="L146" s="19"/>
      <c r="M146" s="19"/>
      <c r="N146" s="19"/>
      <c r="O146" s="19"/>
      <c r="P146" s="19"/>
      <c r="Q146" s="19"/>
      <c r="R146" s="19"/>
      <c r="S146" s="19"/>
      <c r="T146" s="19"/>
      <c r="U146" s="19"/>
      <c r="V146" s="19"/>
      <c r="W146" s="19"/>
      <c r="X146" s="19"/>
      <c r="Y146" s="19"/>
      <c r="Z146" s="19"/>
    </row>
    <row r="147" ht="13.5" customHeight="1">
      <c r="A147" s="19"/>
      <c r="B147" s="43" t="s">
        <v>1972</v>
      </c>
      <c r="C147" s="44"/>
      <c r="D147" s="44"/>
      <c r="E147" s="44"/>
      <c r="F147" s="44"/>
      <c r="G147" s="44"/>
      <c r="H147" s="44"/>
      <c r="I147" s="45"/>
      <c r="J147" s="19"/>
      <c r="K147" s="19"/>
      <c r="L147" s="19"/>
      <c r="M147" s="19"/>
      <c r="N147" s="19"/>
      <c r="O147" s="19"/>
      <c r="P147" s="19"/>
      <c r="Q147" s="19"/>
      <c r="R147" s="19"/>
      <c r="S147" s="19"/>
      <c r="T147" s="19"/>
      <c r="U147" s="19"/>
      <c r="V147" s="19"/>
      <c r="W147" s="19"/>
      <c r="X147" s="19"/>
      <c r="Y147" s="19"/>
      <c r="Z147" s="19"/>
    </row>
    <row r="148" ht="13.5" customHeight="1">
      <c r="A148" s="19"/>
      <c r="B148" s="48" t="s">
        <v>1973</v>
      </c>
      <c r="C148" s="49"/>
      <c r="D148" s="49"/>
      <c r="E148" s="49"/>
      <c r="F148" s="49"/>
      <c r="G148" s="49"/>
      <c r="H148" s="49"/>
      <c r="I148" s="51"/>
      <c r="J148" s="19"/>
      <c r="K148" s="19"/>
      <c r="L148" s="19"/>
      <c r="M148" s="19"/>
      <c r="N148" s="19"/>
      <c r="O148" s="19"/>
      <c r="P148" s="19"/>
      <c r="Q148" s="19"/>
      <c r="R148" s="19"/>
      <c r="S148" s="19"/>
      <c r="T148" s="19"/>
      <c r="U148" s="19"/>
      <c r="V148" s="19"/>
      <c r="W148" s="19"/>
      <c r="X148" s="19"/>
      <c r="Y148" s="19"/>
      <c r="Z148" s="19"/>
    </row>
    <row r="149" ht="13.5" customHeight="1">
      <c r="A149" s="19"/>
      <c r="B149" s="43" t="s">
        <v>1974</v>
      </c>
      <c r="C149" s="44"/>
      <c r="D149" s="44"/>
      <c r="E149" s="44"/>
      <c r="F149" s="44"/>
      <c r="G149" s="44"/>
      <c r="H149" s="44"/>
      <c r="I149" s="45"/>
      <c r="J149" s="19"/>
      <c r="K149" s="19"/>
      <c r="L149" s="19"/>
      <c r="M149" s="19"/>
      <c r="N149" s="19"/>
      <c r="O149" s="19"/>
      <c r="P149" s="19"/>
      <c r="Q149" s="19"/>
      <c r="R149" s="19"/>
      <c r="S149" s="19"/>
      <c r="T149" s="19"/>
      <c r="U149" s="19"/>
      <c r="V149" s="19"/>
      <c r="W149" s="19"/>
      <c r="X149" s="19"/>
      <c r="Y149" s="19"/>
      <c r="Z149" s="19"/>
    </row>
    <row r="150"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3.5" customHeight="1">
      <c r="A151" s="19"/>
      <c r="B151" s="40" t="s">
        <v>1643</v>
      </c>
      <c r="C151" s="19"/>
      <c r="D151" s="19"/>
      <c r="E151" s="19"/>
      <c r="F151" s="19"/>
      <c r="G151" s="40" t="s">
        <v>1447</v>
      </c>
      <c r="H151" s="40" t="s">
        <v>1342</v>
      </c>
      <c r="I151" s="40" t="s">
        <v>1343</v>
      </c>
      <c r="J151" s="19"/>
      <c r="K151" s="19"/>
      <c r="L151" s="19"/>
      <c r="M151" s="19"/>
      <c r="N151" s="19"/>
      <c r="O151" s="19"/>
      <c r="P151" s="19"/>
      <c r="Q151" s="19"/>
      <c r="R151" s="19"/>
      <c r="S151" s="19"/>
      <c r="T151" s="19"/>
      <c r="U151" s="19"/>
      <c r="V151" s="19"/>
      <c r="W151" s="19"/>
      <c r="X151" s="19"/>
      <c r="Y151" s="19"/>
      <c r="Z151" s="19"/>
    </row>
    <row r="152" ht="13.5" customHeight="1">
      <c r="A152" s="19"/>
      <c r="B152" s="22" t="s">
        <v>1962</v>
      </c>
      <c r="C152" s="19"/>
      <c r="D152" s="19"/>
      <c r="E152" s="19"/>
      <c r="F152" s="19"/>
      <c r="G152" s="22" t="str">
        <f t="shared" ref="G152:G154" si="13">_xludf.FORMULATEXT(H152)</f>
        <v>#NAME?</v>
      </c>
      <c r="H152" s="22" t="str">
        <f>LOWER(B152)</f>
        <v>excel dashboard</v>
      </c>
      <c r="I152" s="22" t="s">
        <v>1975</v>
      </c>
      <c r="J152" s="19"/>
      <c r="K152" s="19"/>
      <c r="L152" s="19"/>
      <c r="M152" s="19"/>
      <c r="N152" s="19"/>
      <c r="O152" s="19"/>
      <c r="P152" s="19"/>
      <c r="Q152" s="19"/>
      <c r="R152" s="19"/>
      <c r="S152" s="19"/>
      <c r="T152" s="19"/>
      <c r="U152" s="19"/>
      <c r="V152" s="19"/>
      <c r="W152" s="19"/>
      <c r="X152" s="19"/>
      <c r="Y152" s="19"/>
      <c r="Z152" s="19"/>
    </row>
    <row r="153" ht="13.5" customHeight="1">
      <c r="A153" s="19"/>
      <c r="B153" s="22" t="s">
        <v>1976</v>
      </c>
      <c r="C153" s="19"/>
      <c r="D153" s="19"/>
      <c r="E153" s="19"/>
      <c r="F153" s="19"/>
      <c r="G153" s="22" t="str">
        <f t="shared" si="13"/>
        <v>#NAME?</v>
      </c>
      <c r="H153" s="22" t="str">
        <f>PROPER(B153)</f>
        <v>Marissa Kawser</v>
      </c>
      <c r="I153" s="52" t="s">
        <v>1977</v>
      </c>
      <c r="J153" s="19"/>
      <c r="K153" s="19"/>
      <c r="L153" s="19"/>
      <c r="M153" s="19"/>
      <c r="N153" s="19"/>
      <c r="O153" s="19"/>
      <c r="P153" s="19"/>
      <c r="Q153" s="19"/>
      <c r="R153" s="19"/>
      <c r="S153" s="19"/>
      <c r="T153" s="19"/>
      <c r="U153" s="19"/>
      <c r="V153" s="19"/>
      <c r="W153" s="19"/>
      <c r="X153" s="19"/>
      <c r="Y153" s="19"/>
      <c r="Z153" s="19"/>
    </row>
    <row r="154" ht="13.5" customHeight="1">
      <c r="A154" s="19"/>
      <c r="B154" s="22" t="s">
        <v>1965</v>
      </c>
      <c r="C154" s="19"/>
      <c r="D154" s="19"/>
      <c r="E154" s="19"/>
      <c r="F154" s="19"/>
      <c r="G154" s="22" t="str">
        <f t="shared" si="13"/>
        <v>#NAME?</v>
      </c>
      <c r="H154" s="22" t="str">
        <f>UPPER(B154)</f>
        <v>EXCEL BI TOOLS</v>
      </c>
      <c r="I154" s="22" t="s">
        <v>1978</v>
      </c>
      <c r="J154" s="19"/>
      <c r="K154" s="19"/>
      <c r="L154" s="19"/>
      <c r="M154" s="19"/>
      <c r="N154" s="19"/>
      <c r="O154" s="19"/>
      <c r="P154" s="19"/>
      <c r="Q154" s="19"/>
      <c r="R154" s="19"/>
      <c r="S154" s="19"/>
      <c r="T154" s="19"/>
      <c r="U154" s="19"/>
      <c r="V154" s="19"/>
      <c r="W154" s="19"/>
      <c r="X154" s="19"/>
      <c r="Y154" s="19"/>
      <c r="Z154" s="19"/>
    </row>
    <row r="155"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3.5" customHeight="1">
      <c r="A156" s="19"/>
      <c r="B156" s="53" t="s">
        <v>1353</v>
      </c>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3.5" customHeight="1">
      <c r="A158" s="19"/>
      <c r="B158" s="48" t="s">
        <v>1979</v>
      </c>
      <c r="C158" s="49"/>
      <c r="D158" s="49"/>
      <c r="E158" s="49"/>
      <c r="F158" s="49"/>
      <c r="G158" s="49"/>
      <c r="H158" s="49"/>
      <c r="I158" s="51"/>
      <c r="J158" s="19"/>
      <c r="K158" s="19"/>
      <c r="L158" s="19"/>
      <c r="M158" s="19"/>
      <c r="N158" s="19"/>
      <c r="O158" s="19"/>
      <c r="P158" s="19"/>
      <c r="Q158" s="19"/>
      <c r="R158" s="19"/>
      <c r="S158" s="19"/>
      <c r="T158" s="19"/>
      <c r="U158" s="19"/>
      <c r="V158" s="19"/>
      <c r="W158" s="19"/>
      <c r="X158" s="19"/>
      <c r="Y158" s="19"/>
      <c r="Z158" s="19"/>
    </row>
    <row r="159" ht="13.5" customHeight="1">
      <c r="A159" s="19"/>
      <c r="B159" s="43" t="s">
        <v>1980</v>
      </c>
      <c r="C159" s="44"/>
      <c r="D159" s="44"/>
      <c r="E159" s="44"/>
      <c r="F159" s="44"/>
      <c r="G159" s="44"/>
      <c r="H159" s="44"/>
      <c r="I159" s="45"/>
      <c r="J159" s="19"/>
      <c r="K159" s="19"/>
      <c r="L159" s="19"/>
      <c r="M159" s="19"/>
      <c r="N159" s="19"/>
      <c r="O159" s="19"/>
      <c r="P159" s="19"/>
      <c r="Q159" s="19"/>
      <c r="R159" s="19"/>
      <c r="S159" s="19"/>
      <c r="T159" s="19"/>
      <c r="U159" s="19"/>
      <c r="V159" s="19"/>
      <c r="W159" s="19"/>
      <c r="X159" s="19"/>
      <c r="Y159" s="19"/>
      <c r="Z159" s="19"/>
    </row>
    <row r="160"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3.5" customHeight="1">
      <c r="A161" s="19"/>
      <c r="B161" s="19"/>
      <c r="C161" s="19"/>
      <c r="D161" s="19"/>
      <c r="E161" s="19"/>
      <c r="F161" s="19"/>
      <c r="G161" s="40" t="s">
        <v>1447</v>
      </c>
      <c r="H161" s="40" t="s">
        <v>1342</v>
      </c>
      <c r="I161" s="40" t="s">
        <v>1343</v>
      </c>
      <c r="J161" s="19"/>
      <c r="K161" s="19"/>
      <c r="L161" s="19"/>
      <c r="M161" s="19"/>
      <c r="N161" s="19"/>
      <c r="O161" s="19"/>
      <c r="P161" s="19"/>
      <c r="Q161" s="19"/>
      <c r="R161" s="19"/>
      <c r="S161" s="19"/>
      <c r="T161" s="19"/>
      <c r="U161" s="19"/>
      <c r="V161" s="19"/>
      <c r="W161" s="19"/>
      <c r="X161" s="19"/>
      <c r="Y161" s="19"/>
      <c r="Z161" s="19"/>
    </row>
    <row r="162" ht="13.5" customHeight="1">
      <c r="A162" s="19"/>
      <c r="B162" s="19"/>
      <c r="C162" s="19"/>
      <c r="D162" s="19"/>
      <c r="E162" s="19"/>
      <c r="F162" s="19"/>
      <c r="G162" s="22" t="str">
        <f t="shared" ref="G162:G163" si="14">_xludf.FORMULATEXT(H162)</f>
        <v>#NAME?</v>
      </c>
      <c r="H162" s="22" t="str">
        <f>REPT("*-", 3)</f>
        <v>*-*-*-</v>
      </c>
      <c r="I162" s="52" t="s">
        <v>1981</v>
      </c>
      <c r="J162" s="19"/>
      <c r="K162" s="19"/>
      <c r="L162" s="19"/>
      <c r="M162" s="19"/>
      <c r="N162" s="19"/>
      <c r="O162" s="19"/>
      <c r="P162" s="19"/>
      <c r="Q162" s="19"/>
      <c r="R162" s="19"/>
      <c r="S162" s="19"/>
      <c r="T162" s="19"/>
      <c r="U162" s="19"/>
      <c r="V162" s="19"/>
      <c r="W162" s="19"/>
      <c r="X162" s="19"/>
      <c r="Y162" s="19"/>
      <c r="Z162" s="19"/>
    </row>
    <row r="163" ht="13.5" customHeight="1">
      <c r="A163" s="19"/>
      <c r="B163" s="19"/>
      <c r="C163" s="19"/>
      <c r="D163" s="19"/>
      <c r="E163" s="19"/>
      <c r="F163" s="19"/>
      <c r="G163" s="22" t="str">
        <f t="shared" si="14"/>
        <v>#NAME?</v>
      </c>
      <c r="H163" s="22" t="str">
        <f>REPT("-",10)</f>
        <v>----------</v>
      </c>
      <c r="I163" s="52" t="s">
        <v>1982</v>
      </c>
      <c r="J163" s="19"/>
      <c r="K163" s="19"/>
      <c r="L163" s="19"/>
      <c r="M163" s="19"/>
      <c r="N163" s="19"/>
      <c r="O163" s="19"/>
      <c r="P163" s="19"/>
      <c r="Q163" s="19"/>
      <c r="R163" s="19"/>
      <c r="S163" s="19"/>
      <c r="T163" s="19"/>
      <c r="U163" s="19"/>
      <c r="V163" s="19"/>
      <c r="W163" s="19"/>
      <c r="X163" s="19"/>
      <c r="Y163" s="19"/>
      <c r="Z163" s="19"/>
    </row>
    <row r="164"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3.5" customHeight="1">
      <c r="A171" s="19"/>
      <c r="B171" s="53" t="s">
        <v>1353</v>
      </c>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3.5" customHeight="1">
      <c r="A173" s="19"/>
      <c r="B173" s="48" t="s">
        <v>1983</v>
      </c>
      <c r="C173" s="49"/>
      <c r="D173" s="49"/>
      <c r="E173" s="49"/>
      <c r="F173" s="49"/>
      <c r="G173" s="49"/>
      <c r="H173" s="49"/>
      <c r="I173" s="51"/>
      <c r="J173" s="5"/>
      <c r="K173" s="5"/>
      <c r="L173" s="19"/>
      <c r="M173" s="19"/>
      <c r="N173" s="19"/>
      <c r="O173" s="19"/>
      <c r="P173" s="19"/>
      <c r="Q173" s="19"/>
      <c r="R173" s="19"/>
      <c r="S173" s="19"/>
      <c r="T173" s="19"/>
      <c r="U173" s="19"/>
      <c r="V173" s="19"/>
      <c r="W173" s="19"/>
      <c r="X173" s="19"/>
      <c r="Y173" s="19"/>
      <c r="Z173" s="19"/>
    </row>
    <row r="174" ht="13.5" customHeight="1">
      <c r="A174" s="19"/>
      <c r="B174" s="43" t="s">
        <v>1984</v>
      </c>
      <c r="C174" s="44"/>
      <c r="D174" s="44"/>
      <c r="E174" s="44"/>
      <c r="F174" s="44"/>
      <c r="G174" s="44"/>
      <c r="H174" s="44"/>
      <c r="I174" s="45"/>
      <c r="J174" s="5"/>
      <c r="K174" s="5"/>
      <c r="L174" s="19"/>
      <c r="M174" s="19"/>
      <c r="N174" s="19"/>
      <c r="O174" s="19"/>
      <c r="P174" s="19"/>
      <c r="Q174" s="19"/>
      <c r="R174" s="19"/>
      <c r="S174" s="19"/>
      <c r="T174" s="19"/>
      <c r="U174" s="19"/>
      <c r="V174" s="19"/>
      <c r="W174" s="19"/>
      <c r="X174" s="19"/>
      <c r="Y174" s="19"/>
      <c r="Z174" s="19"/>
    </row>
    <row r="175"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3.5" customHeight="1">
      <c r="A176" s="19"/>
      <c r="B176" s="110" t="s">
        <v>1985</v>
      </c>
      <c r="C176" s="111"/>
      <c r="D176" s="111"/>
      <c r="E176" s="111"/>
      <c r="F176" s="111"/>
      <c r="G176" s="111"/>
      <c r="H176" s="111"/>
      <c r="I176" s="111"/>
      <c r="J176" s="111"/>
      <c r="K176" s="112"/>
      <c r="L176" s="19"/>
      <c r="M176" s="19"/>
      <c r="N176" s="19"/>
      <c r="O176" s="19"/>
      <c r="P176" s="19"/>
      <c r="Q176" s="19"/>
      <c r="R176" s="19"/>
      <c r="S176" s="19"/>
      <c r="T176" s="19"/>
      <c r="U176" s="19"/>
      <c r="V176" s="19"/>
      <c r="W176" s="19"/>
      <c r="X176" s="19"/>
      <c r="Y176" s="19"/>
      <c r="Z176" s="19"/>
    </row>
    <row r="177" ht="13.5" customHeight="1">
      <c r="A177" s="19"/>
      <c r="B177" s="77" t="s">
        <v>1986</v>
      </c>
      <c r="C177" s="66"/>
      <c r="D177" s="66"/>
      <c r="E177" s="66"/>
      <c r="F177" s="66"/>
      <c r="G177" s="66"/>
      <c r="H177" s="66"/>
      <c r="I177" s="66"/>
      <c r="J177" s="66"/>
      <c r="K177" s="67"/>
      <c r="L177" s="19"/>
      <c r="M177" s="19"/>
      <c r="N177" s="19"/>
      <c r="O177" s="19"/>
      <c r="P177" s="19"/>
      <c r="Q177" s="19"/>
      <c r="R177" s="19"/>
      <c r="S177" s="19"/>
      <c r="T177" s="19"/>
      <c r="U177" s="19"/>
      <c r="V177" s="19"/>
      <c r="W177" s="19"/>
      <c r="X177" s="19"/>
      <c r="Y177" s="19"/>
      <c r="Z177" s="19"/>
    </row>
    <row r="178"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3.5" customHeight="1">
      <c r="A179" s="19"/>
      <c r="B179" s="40" t="s">
        <v>1987</v>
      </c>
      <c r="C179" s="19"/>
      <c r="D179" s="19"/>
      <c r="E179" s="19"/>
      <c r="F179" s="19"/>
      <c r="G179" s="40" t="s">
        <v>1447</v>
      </c>
      <c r="H179" s="40" t="s">
        <v>1342</v>
      </c>
      <c r="I179" s="40" t="s">
        <v>1343</v>
      </c>
      <c r="J179" s="19"/>
      <c r="K179" s="19"/>
      <c r="L179" s="19"/>
      <c r="M179" s="19"/>
      <c r="N179" s="19"/>
      <c r="O179" s="19"/>
      <c r="P179" s="19"/>
      <c r="Q179" s="19"/>
      <c r="R179" s="19"/>
      <c r="S179" s="19"/>
      <c r="T179" s="19"/>
      <c r="U179" s="19"/>
      <c r="V179" s="19"/>
      <c r="W179" s="19"/>
      <c r="X179" s="19"/>
      <c r="Y179" s="19"/>
      <c r="Z179" s="19"/>
    </row>
    <row r="180" ht="13.5" customHeight="1">
      <c r="A180" s="19"/>
      <c r="B180" s="22" t="s">
        <v>1988</v>
      </c>
      <c r="C180" s="19"/>
      <c r="D180" s="19"/>
      <c r="E180" s="19"/>
      <c r="F180" s="19"/>
      <c r="G180" s="22" t="str">
        <f t="shared" ref="G180:G183" si="15">_xludf.FORMULATEXT(H180)</f>
        <v>#NAME?</v>
      </c>
      <c r="H180" s="22" t="str">
        <f>_xludf.SHEET("LIST OF FUNCTIONS")</f>
        <v>#NAME?</v>
      </c>
      <c r="I180" s="52" t="s">
        <v>1989</v>
      </c>
      <c r="J180" s="19"/>
      <c r="K180" s="19"/>
      <c r="L180" s="19"/>
      <c r="M180" s="19"/>
      <c r="N180" s="19"/>
      <c r="O180" s="19"/>
      <c r="P180" s="19"/>
      <c r="Q180" s="19"/>
      <c r="R180" s="19"/>
      <c r="S180" s="19"/>
      <c r="T180" s="19"/>
      <c r="U180" s="19"/>
      <c r="V180" s="19"/>
      <c r="W180" s="19"/>
      <c r="X180" s="19"/>
      <c r="Y180" s="19"/>
      <c r="Z180" s="19"/>
    </row>
    <row r="181" ht="13.5" customHeight="1">
      <c r="A181" s="19"/>
      <c r="B181" s="22" t="s">
        <v>1990</v>
      </c>
      <c r="C181" s="19"/>
      <c r="D181" s="19"/>
      <c r="E181" s="19"/>
      <c r="F181" s="19"/>
      <c r="G181" s="22" t="str">
        <f t="shared" si="15"/>
        <v>#NAME?</v>
      </c>
      <c r="H181" s="22" t="str">
        <f>_xludf.SHEET()</f>
        <v>#NAME?</v>
      </c>
      <c r="I181" s="52" t="s">
        <v>1991</v>
      </c>
      <c r="J181" s="19"/>
      <c r="K181" s="19"/>
      <c r="L181" s="19"/>
      <c r="M181" s="19"/>
      <c r="N181" s="19"/>
      <c r="O181" s="19"/>
      <c r="P181" s="19"/>
      <c r="Q181" s="19"/>
      <c r="R181" s="19"/>
      <c r="S181" s="19"/>
      <c r="T181" s="19"/>
      <c r="U181" s="19"/>
      <c r="V181" s="19"/>
      <c r="W181" s="19"/>
      <c r="X181" s="19"/>
      <c r="Y181" s="19"/>
      <c r="Z181" s="19"/>
    </row>
    <row r="182" ht="13.5" customHeight="1">
      <c r="A182" s="19"/>
      <c r="B182" s="22" t="s">
        <v>1232</v>
      </c>
      <c r="C182" s="19"/>
      <c r="D182" s="19"/>
      <c r="E182" s="19"/>
      <c r="F182" s="19"/>
      <c r="G182" s="22" t="str">
        <f t="shared" si="15"/>
        <v>#NAME?</v>
      </c>
      <c r="H182" s="22" t="str">
        <f>_xludf.SHEET(Sales_Data)</f>
        <v>#NAME?</v>
      </c>
      <c r="I182" s="52" t="s">
        <v>1992</v>
      </c>
      <c r="J182" s="19"/>
      <c r="K182" s="19"/>
      <c r="L182" s="19"/>
      <c r="M182" s="19"/>
      <c r="N182" s="19"/>
      <c r="O182" s="19"/>
      <c r="P182" s="19"/>
      <c r="Q182" s="19"/>
      <c r="R182" s="19"/>
      <c r="S182" s="19"/>
      <c r="T182" s="19"/>
      <c r="U182" s="19"/>
      <c r="V182" s="19"/>
      <c r="W182" s="19"/>
      <c r="X182" s="19"/>
      <c r="Y182" s="19"/>
      <c r="Z182" s="19"/>
    </row>
    <row r="183" ht="13.5" customHeight="1">
      <c r="A183" s="19"/>
      <c r="B183" s="19"/>
      <c r="C183" s="19"/>
      <c r="D183" s="19"/>
      <c r="E183" s="19"/>
      <c r="F183" s="19"/>
      <c r="G183" s="22" t="str">
        <f t="shared" si="15"/>
        <v>#NAME?</v>
      </c>
      <c r="H183" s="22" t="str">
        <f>_xludf.SHEET('DATE &amp; TIME'!B157)</f>
        <v>#NAME?</v>
      </c>
      <c r="I183" s="52" t="s">
        <v>1993</v>
      </c>
      <c r="J183" s="19"/>
      <c r="K183" s="19"/>
      <c r="L183" s="19"/>
      <c r="M183" s="19"/>
      <c r="N183" s="19"/>
      <c r="O183" s="19"/>
      <c r="P183" s="19"/>
      <c r="Q183" s="19"/>
      <c r="R183" s="19"/>
      <c r="S183" s="19"/>
      <c r="T183" s="19"/>
      <c r="U183" s="19"/>
      <c r="V183" s="19"/>
      <c r="W183" s="19"/>
      <c r="X183" s="19"/>
      <c r="Y183" s="19"/>
      <c r="Z183" s="19"/>
    </row>
    <row r="184"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3.5" customHeight="1">
      <c r="A195" s="19"/>
      <c r="B195" s="53" t="s">
        <v>1353</v>
      </c>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3.5" customHeight="1">
      <c r="A197" s="19"/>
      <c r="B197" s="48" t="s">
        <v>1994</v>
      </c>
      <c r="C197" s="49"/>
      <c r="D197" s="49"/>
      <c r="E197" s="49"/>
      <c r="F197" s="49"/>
      <c r="G197" s="49"/>
      <c r="H197" s="49"/>
      <c r="I197" s="51"/>
      <c r="J197" s="5"/>
      <c r="K197" s="5"/>
      <c r="L197" s="19"/>
      <c r="M197" s="19"/>
      <c r="N197" s="19"/>
      <c r="O197" s="19"/>
      <c r="P197" s="19"/>
      <c r="Q197" s="19"/>
      <c r="R197" s="19"/>
      <c r="S197" s="19"/>
      <c r="T197" s="19"/>
      <c r="U197" s="19"/>
      <c r="V197" s="19"/>
      <c r="W197" s="19"/>
      <c r="X197" s="19"/>
      <c r="Y197" s="19"/>
      <c r="Z197" s="19"/>
    </row>
    <row r="198" ht="13.5" customHeight="1">
      <c r="A198" s="19"/>
      <c r="B198" s="43" t="s">
        <v>1995</v>
      </c>
      <c r="C198" s="44"/>
      <c r="D198" s="44"/>
      <c r="E198" s="44"/>
      <c r="F198" s="44"/>
      <c r="G198" s="44"/>
      <c r="H198" s="44"/>
      <c r="I198" s="45"/>
      <c r="J198" s="5"/>
      <c r="K198" s="5"/>
      <c r="L198" s="19"/>
      <c r="M198" s="19"/>
      <c r="N198" s="19"/>
      <c r="O198" s="19"/>
      <c r="P198" s="19"/>
      <c r="Q198" s="19"/>
      <c r="R198" s="19"/>
      <c r="S198" s="19"/>
      <c r="T198" s="19"/>
      <c r="U198" s="19"/>
      <c r="V198" s="19"/>
      <c r="W198" s="19"/>
      <c r="X198" s="19"/>
      <c r="Y198" s="19"/>
      <c r="Z198" s="19"/>
    </row>
    <row r="199"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3.5" customHeight="1">
      <c r="A200" s="19"/>
      <c r="B200" s="110" t="s">
        <v>1996</v>
      </c>
      <c r="C200" s="111"/>
      <c r="D200" s="111"/>
      <c r="E200" s="111"/>
      <c r="F200" s="111"/>
      <c r="G200" s="111"/>
      <c r="H200" s="111"/>
      <c r="I200" s="111"/>
      <c r="J200" s="111"/>
      <c r="K200" s="112"/>
      <c r="L200" s="19"/>
      <c r="M200" s="19"/>
      <c r="N200" s="19"/>
      <c r="O200" s="19"/>
      <c r="P200" s="19"/>
      <c r="Q200" s="19"/>
      <c r="R200" s="19"/>
      <c r="S200" s="19"/>
      <c r="T200" s="19"/>
      <c r="U200" s="19"/>
      <c r="V200" s="19"/>
      <c r="W200" s="19"/>
      <c r="X200" s="19"/>
      <c r="Y200" s="19"/>
      <c r="Z200" s="19"/>
    </row>
    <row r="201" ht="24.0" customHeight="1">
      <c r="A201" s="19"/>
      <c r="B201" s="105" t="s">
        <v>1997</v>
      </c>
      <c r="C201" s="66"/>
      <c r="D201" s="66"/>
      <c r="E201" s="66"/>
      <c r="F201" s="66"/>
      <c r="G201" s="66"/>
      <c r="H201" s="66"/>
      <c r="I201" s="66"/>
      <c r="J201" s="66"/>
      <c r="K201" s="67"/>
      <c r="L201" s="19"/>
      <c r="M201" s="19"/>
      <c r="N201" s="19"/>
      <c r="O201" s="19"/>
      <c r="P201" s="19"/>
      <c r="Q201" s="19"/>
      <c r="R201" s="19"/>
      <c r="S201" s="19"/>
      <c r="T201" s="19"/>
      <c r="U201" s="19"/>
      <c r="V201" s="19"/>
      <c r="W201" s="19"/>
      <c r="X201" s="19"/>
      <c r="Y201" s="19"/>
      <c r="Z201" s="19"/>
    </row>
    <row r="202"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3.5" customHeight="1">
      <c r="A203" s="19"/>
      <c r="B203" s="19"/>
      <c r="C203" s="19"/>
      <c r="D203" s="19"/>
      <c r="E203" s="19"/>
      <c r="F203" s="19"/>
      <c r="G203" s="40" t="s">
        <v>1447</v>
      </c>
      <c r="H203" s="40" t="s">
        <v>1342</v>
      </c>
      <c r="I203" s="40" t="s">
        <v>1343</v>
      </c>
      <c r="J203" s="19"/>
      <c r="K203" s="19"/>
      <c r="L203" s="19"/>
      <c r="M203" s="19"/>
      <c r="N203" s="19"/>
      <c r="O203" s="19"/>
      <c r="P203" s="19"/>
      <c r="Q203" s="19"/>
      <c r="R203" s="19"/>
      <c r="S203" s="19"/>
      <c r="T203" s="19"/>
      <c r="U203" s="19"/>
      <c r="V203" s="19"/>
      <c r="W203" s="19"/>
      <c r="X203" s="19"/>
      <c r="Y203" s="19"/>
      <c r="Z203" s="19"/>
    </row>
    <row r="204" ht="13.5" customHeight="1">
      <c r="A204" s="19"/>
      <c r="B204" s="19"/>
      <c r="C204" s="19"/>
      <c r="D204" s="19"/>
      <c r="E204" s="19"/>
      <c r="F204" s="19"/>
      <c r="G204" s="22" t="str">
        <f>_xludf.FORMULATEXT(H204)</f>
        <v>#NAME?</v>
      </c>
      <c r="H204" s="22" t="str">
        <f>_xludf.SHEETS()</f>
        <v>#NAME?</v>
      </c>
      <c r="I204" s="52" t="s">
        <v>1998</v>
      </c>
      <c r="J204" s="19"/>
      <c r="K204" s="19"/>
      <c r="L204" s="19"/>
      <c r="M204" s="19"/>
      <c r="N204" s="19"/>
      <c r="O204" s="19"/>
      <c r="P204" s="19"/>
      <c r="Q204" s="19"/>
      <c r="R204" s="19"/>
      <c r="S204" s="19"/>
      <c r="T204" s="19"/>
      <c r="U204" s="19"/>
      <c r="V204" s="19"/>
      <c r="W204" s="19"/>
      <c r="X204" s="19"/>
      <c r="Y204" s="19"/>
      <c r="Z204" s="19"/>
    </row>
    <row r="205"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3.5" customHeight="1">
      <c r="A212" s="19"/>
      <c r="B212" s="53" t="s">
        <v>1353</v>
      </c>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3.5" customHeight="1">
      <c r="A214" s="19"/>
      <c r="B214" s="48" t="s">
        <v>1999</v>
      </c>
      <c r="C214" s="49"/>
      <c r="D214" s="49"/>
      <c r="E214" s="49"/>
      <c r="F214" s="49"/>
      <c r="G214" s="49"/>
      <c r="H214" s="49"/>
      <c r="I214" s="51"/>
      <c r="J214" s="19"/>
      <c r="K214" s="19"/>
      <c r="L214" s="19"/>
      <c r="M214" s="19"/>
      <c r="N214" s="19"/>
      <c r="O214" s="19"/>
      <c r="P214" s="19"/>
      <c r="Q214" s="19"/>
      <c r="R214" s="19"/>
      <c r="S214" s="19"/>
      <c r="T214" s="19"/>
      <c r="U214" s="19"/>
      <c r="V214" s="19"/>
      <c r="W214" s="19"/>
      <c r="X214" s="19"/>
      <c r="Y214" s="19"/>
      <c r="Z214" s="19"/>
    </row>
    <row r="215" ht="13.5" customHeight="1">
      <c r="A215" s="19"/>
      <c r="B215" s="43" t="s">
        <v>2000</v>
      </c>
      <c r="C215" s="44"/>
      <c r="D215" s="44"/>
      <c r="E215" s="44"/>
      <c r="F215" s="44"/>
      <c r="G215" s="44"/>
      <c r="H215" s="44"/>
      <c r="I215" s="45"/>
      <c r="J215" s="19"/>
      <c r="K215" s="19"/>
      <c r="L215" s="19"/>
      <c r="M215" s="19"/>
      <c r="N215" s="19"/>
      <c r="O215" s="19"/>
      <c r="P215" s="19"/>
      <c r="Q215" s="19"/>
      <c r="R215" s="19"/>
      <c r="S215" s="19"/>
      <c r="T215" s="19"/>
      <c r="U215" s="19"/>
      <c r="V215" s="19"/>
      <c r="W215" s="19"/>
      <c r="X215" s="19"/>
      <c r="Y215" s="19"/>
      <c r="Z215" s="19"/>
    </row>
    <row r="21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3.5" customHeight="1">
      <c r="A217" s="19"/>
      <c r="B217" s="40" t="s">
        <v>2001</v>
      </c>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3.5" customHeight="1">
      <c r="A218" s="19"/>
      <c r="B218" s="113">
        <v>1.0</v>
      </c>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3.5" customHeight="1">
      <c r="A219" s="19"/>
      <c r="B219" s="113">
        <v>2.0</v>
      </c>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3.5" customHeight="1">
      <c r="A220" s="19"/>
      <c r="B220" s="113">
        <v>3.0</v>
      </c>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3.5" customHeight="1">
      <c r="A222" s="19"/>
      <c r="B222" s="40" t="s">
        <v>2002</v>
      </c>
      <c r="C222" s="114">
        <v>1.0</v>
      </c>
      <c r="D222" s="114">
        <v>2.0</v>
      </c>
      <c r="E222" s="114">
        <v>3.0</v>
      </c>
      <c r="F222" s="19"/>
      <c r="G222" s="19"/>
      <c r="H222" s="19"/>
      <c r="I222" s="19"/>
      <c r="J222" s="19"/>
      <c r="K222" s="19"/>
      <c r="L222" s="19"/>
      <c r="M222" s="19"/>
      <c r="N222" s="19"/>
      <c r="O222" s="19"/>
      <c r="P222" s="19"/>
      <c r="Q222" s="19"/>
      <c r="R222" s="19"/>
      <c r="S222" s="19"/>
      <c r="T222" s="19"/>
      <c r="U222" s="19"/>
      <c r="V222" s="19"/>
      <c r="W222" s="19"/>
      <c r="X222" s="19"/>
      <c r="Y222" s="19"/>
      <c r="Z222" s="19"/>
    </row>
    <row r="223"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3.5" customHeight="1">
      <c r="A224" s="19"/>
      <c r="B224" s="40" t="s">
        <v>1447</v>
      </c>
      <c r="C224" s="40" t="s">
        <v>1342</v>
      </c>
      <c r="D224" s="40"/>
      <c r="E224" s="40"/>
      <c r="F224" s="40" t="s">
        <v>1343</v>
      </c>
      <c r="G224" s="40"/>
      <c r="H224" s="19"/>
      <c r="I224" s="19"/>
      <c r="J224" s="19"/>
      <c r="K224" s="19"/>
      <c r="L224" s="19"/>
      <c r="M224" s="19"/>
      <c r="N224" s="19"/>
      <c r="O224" s="19"/>
      <c r="P224" s="19"/>
      <c r="Q224" s="19"/>
      <c r="R224" s="19"/>
      <c r="S224" s="19"/>
      <c r="T224" s="19"/>
      <c r="U224" s="19"/>
      <c r="V224" s="19"/>
      <c r="W224" s="19"/>
      <c r="X224" s="19"/>
      <c r="Y224" s="19"/>
      <c r="Z224" s="19"/>
    </row>
    <row r="225" ht="37.5" customHeight="1">
      <c r="A225" s="19"/>
      <c r="B225" s="22" t="str">
        <f t="shared" ref="B225:B228" si="16">_xludf.FORMULATEXT(C225)</f>
        <v>#NAME?</v>
      </c>
      <c r="C225" s="113">
        <f t="array" ref="C225:E225">TRANSPOSE(B218:B220)</f>
        <v>1</v>
      </c>
      <c r="D225" s="115">
        <v>2.0</v>
      </c>
      <c r="E225" s="113">
        <v>3.0</v>
      </c>
      <c r="F225" s="105" t="s">
        <v>2003</v>
      </c>
      <c r="G225" s="67"/>
      <c r="H225" s="19"/>
      <c r="I225" s="19"/>
      <c r="J225" s="19"/>
      <c r="K225" s="19"/>
      <c r="L225" s="19"/>
      <c r="M225" s="19"/>
      <c r="N225" s="19"/>
      <c r="O225" s="19"/>
      <c r="P225" s="19"/>
      <c r="Q225" s="19"/>
      <c r="R225" s="19"/>
      <c r="S225" s="19"/>
      <c r="T225" s="19"/>
      <c r="U225" s="19"/>
      <c r="V225" s="19"/>
      <c r="W225" s="19"/>
      <c r="X225" s="19"/>
      <c r="Y225" s="19"/>
      <c r="Z225" s="19"/>
    </row>
    <row r="226" ht="40.5" customHeight="1">
      <c r="A226" s="19"/>
      <c r="B226" s="22" t="str">
        <f t="shared" si="16"/>
        <v>#NAME?</v>
      </c>
      <c r="C226" s="114">
        <f t="array" ref="C226:C228">TRANSPOSE(C222:E222)</f>
        <v>1</v>
      </c>
      <c r="D226" s="78"/>
      <c r="E226" s="33"/>
      <c r="F226" s="105" t="s">
        <v>2004</v>
      </c>
      <c r="G226" s="67"/>
      <c r="H226" s="19"/>
      <c r="I226" s="19"/>
      <c r="J226" s="19"/>
      <c r="K226" s="19"/>
      <c r="L226" s="19"/>
      <c r="M226" s="19"/>
      <c r="N226" s="19"/>
      <c r="O226" s="19"/>
      <c r="P226" s="19"/>
      <c r="Q226" s="19"/>
      <c r="R226" s="19"/>
      <c r="S226" s="19"/>
      <c r="T226" s="19"/>
      <c r="U226" s="19"/>
      <c r="V226" s="19"/>
      <c r="W226" s="19"/>
      <c r="X226" s="19"/>
      <c r="Y226" s="19"/>
      <c r="Z226" s="19"/>
    </row>
    <row r="227" ht="13.5" customHeight="1">
      <c r="A227" s="19"/>
      <c r="B227" s="22" t="str">
        <f t="shared" si="16"/>
        <v>#NAME?</v>
      </c>
      <c r="C227" s="114">
        <v>2.0</v>
      </c>
      <c r="D227" s="116"/>
      <c r="E227" s="19"/>
      <c r="F227" s="49"/>
      <c r="G227" s="117"/>
      <c r="H227" s="19"/>
      <c r="I227" s="19"/>
      <c r="J227" s="19"/>
      <c r="K227" s="19"/>
      <c r="L227" s="19"/>
      <c r="M227" s="19"/>
      <c r="N227" s="19"/>
      <c r="O227" s="19"/>
      <c r="P227" s="19"/>
      <c r="Q227" s="19"/>
      <c r="R227" s="19"/>
      <c r="S227" s="19"/>
      <c r="T227" s="19"/>
      <c r="U227" s="19"/>
      <c r="V227" s="19"/>
      <c r="W227" s="19"/>
      <c r="X227" s="19"/>
      <c r="Y227" s="19"/>
      <c r="Z227" s="19"/>
    </row>
    <row r="228" ht="13.5" customHeight="1">
      <c r="A228" s="19"/>
      <c r="B228" s="22" t="str">
        <f t="shared" si="16"/>
        <v>#NAME?</v>
      </c>
      <c r="C228" s="114">
        <v>3.0</v>
      </c>
      <c r="D228" s="80"/>
      <c r="E228" s="81"/>
      <c r="F228" s="81"/>
      <c r="G228" s="82"/>
      <c r="H228" s="19"/>
      <c r="I228" s="19"/>
      <c r="J228" s="19"/>
      <c r="K228" s="19"/>
      <c r="L228" s="19"/>
      <c r="M228" s="19"/>
      <c r="N228" s="19"/>
      <c r="O228" s="19"/>
      <c r="P228" s="19"/>
      <c r="Q228" s="19"/>
      <c r="R228" s="19"/>
      <c r="S228" s="19"/>
      <c r="T228" s="19"/>
      <c r="U228" s="19"/>
      <c r="V228" s="19"/>
      <c r="W228" s="19"/>
      <c r="X228" s="19"/>
      <c r="Y228" s="19"/>
      <c r="Z228" s="19"/>
    </row>
    <row r="229"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3.5" customHeight="1">
      <c r="A230" s="19"/>
      <c r="B230" s="53" t="s">
        <v>1353</v>
      </c>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3.5" customHeight="1">
      <c r="A232" s="19"/>
      <c r="B232" s="48" t="s">
        <v>2005</v>
      </c>
      <c r="C232" s="49"/>
      <c r="D232" s="49"/>
      <c r="E232" s="49"/>
      <c r="F232" s="49"/>
      <c r="G232" s="49"/>
      <c r="H232" s="49"/>
      <c r="I232" s="51"/>
      <c r="J232" s="19"/>
      <c r="K232" s="19"/>
      <c r="L232" s="19"/>
      <c r="M232" s="19"/>
      <c r="N232" s="19"/>
      <c r="O232" s="19"/>
      <c r="P232" s="19"/>
      <c r="Q232" s="19"/>
      <c r="R232" s="19"/>
      <c r="S232" s="19"/>
      <c r="T232" s="19"/>
      <c r="U232" s="19"/>
      <c r="V232" s="19"/>
      <c r="W232" s="19"/>
      <c r="X232" s="19"/>
      <c r="Y232" s="19"/>
      <c r="Z232" s="19"/>
    </row>
    <row r="233" ht="13.5" customHeight="1">
      <c r="A233" s="19"/>
      <c r="B233" s="43" t="s">
        <v>2006</v>
      </c>
      <c r="C233" s="44"/>
      <c r="D233" s="44"/>
      <c r="E233" s="44"/>
      <c r="F233" s="44"/>
      <c r="G233" s="44"/>
      <c r="H233" s="44"/>
      <c r="I233" s="45"/>
      <c r="J233" s="19"/>
      <c r="K233" s="19"/>
      <c r="L233" s="19"/>
      <c r="M233" s="19"/>
      <c r="N233" s="19"/>
      <c r="O233" s="19"/>
      <c r="P233" s="19"/>
      <c r="Q233" s="19"/>
      <c r="R233" s="19"/>
      <c r="S233" s="19"/>
      <c r="T233" s="19"/>
      <c r="U233" s="19"/>
      <c r="V233" s="19"/>
      <c r="W233" s="19"/>
      <c r="X233" s="19"/>
      <c r="Y233" s="19"/>
      <c r="Z233" s="19"/>
    </row>
    <row r="234"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3.5" customHeight="1">
      <c r="A235" s="19"/>
      <c r="B235" s="40" t="s">
        <v>1643</v>
      </c>
      <c r="C235" s="19"/>
      <c r="D235" s="19"/>
      <c r="E235" s="19"/>
      <c r="F235" s="19"/>
      <c r="G235" s="40" t="s">
        <v>1447</v>
      </c>
      <c r="H235" s="40" t="s">
        <v>1342</v>
      </c>
      <c r="I235" s="40" t="s">
        <v>1343</v>
      </c>
      <c r="J235" s="19"/>
      <c r="K235" s="19"/>
      <c r="L235" s="19"/>
      <c r="M235" s="19"/>
      <c r="N235" s="19"/>
      <c r="O235" s="19"/>
      <c r="P235" s="19"/>
      <c r="Q235" s="19"/>
      <c r="R235" s="19"/>
      <c r="S235" s="19"/>
      <c r="T235" s="19"/>
      <c r="U235" s="19"/>
      <c r="V235" s="19"/>
      <c r="W235" s="19"/>
      <c r="X235" s="19"/>
      <c r="Y235" s="19"/>
      <c r="Z235" s="19"/>
    </row>
    <row r="236" ht="13.5" customHeight="1">
      <c r="A236" s="19"/>
      <c r="B236" s="22" t="s">
        <v>1491</v>
      </c>
      <c r="C236" s="19"/>
      <c r="D236" s="19"/>
      <c r="E236" s="19"/>
      <c r="F236" s="19"/>
      <c r="G236" s="22" t="str">
        <f t="shared" ref="G236:G239" si="17">_xludf.FORMULATEXT(H236)</f>
        <v>#NAME?</v>
      </c>
      <c r="H236" s="22">
        <f>TYPE(B236)</f>
        <v>2</v>
      </c>
      <c r="I236" s="52" t="s">
        <v>2007</v>
      </c>
      <c r="J236" s="19"/>
      <c r="K236" s="19"/>
      <c r="L236" s="19"/>
      <c r="M236" s="19"/>
      <c r="N236" s="19"/>
      <c r="O236" s="19"/>
      <c r="P236" s="19"/>
      <c r="Q236" s="19"/>
      <c r="R236" s="19"/>
      <c r="S236" s="19"/>
      <c r="T236" s="19"/>
      <c r="U236" s="19"/>
      <c r="V236" s="19"/>
      <c r="W236" s="19"/>
      <c r="X236" s="19"/>
      <c r="Y236" s="19"/>
      <c r="Z236" s="19"/>
    </row>
    <row r="237" ht="13.5" customHeight="1">
      <c r="A237" s="19"/>
      <c r="B237" s="19"/>
      <c r="C237" s="19"/>
      <c r="D237" s="19"/>
      <c r="E237" s="19"/>
      <c r="F237" s="19"/>
      <c r="G237" s="22" t="str">
        <f t="shared" si="17"/>
        <v>#NAME?</v>
      </c>
      <c r="H237" s="22">
        <f>TYPE("Ms. "&amp;B236)</f>
        <v>2</v>
      </c>
      <c r="I237" s="52" t="s">
        <v>2008</v>
      </c>
      <c r="J237" s="19"/>
      <c r="K237" s="19"/>
      <c r="L237" s="19"/>
      <c r="M237" s="19"/>
      <c r="N237" s="19"/>
      <c r="O237" s="19"/>
      <c r="P237" s="19"/>
      <c r="Q237" s="19"/>
      <c r="R237" s="19"/>
      <c r="S237" s="19"/>
      <c r="T237" s="19"/>
      <c r="U237" s="19"/>
      <c r="V237" s="19"/>
      <c r="W237" s="19"/>
      <c r="X237" s="19"/>
      <c r="Y237" s="19"/>
      <c r="Z237" s="19"/>
    </row>
    <row r="238" ht="13.5" customHeight="1">
      <c r="A238" s="19"/>
      <c r="B238" s="19"/>
      <c r="C238" s="19"/>
      <c r="D238" s="19"/>
      <c r="E238" s="19"/>
      <c r="F238" s="19"/>
      <c r="G238" s="22" t="str">
        <f t="shared" si="17"/>
        <v>#NAME?</v>
      </c>
      <c r="H238" s="22">
        <f>TYPE(100/0)</f>
        <v>16</v>
      </c>
      <c r="I238" s="52" t="s">
        <v>2009</v>
      </c>
      <c r="J238" s="19"/>
      <c r="K238" s="19"/>
      <c r="L238" s="19"/>
      <c r="M238" s="19"/>
      <c r="N238" s="19"/>
      <c r="O238" s="19"/>
      <c r="P238" s="19"/>
      <c r="Q238" s="19"/>
      <c r="R238" s="19"/>
      <c r="S238" s="19"/>
      <c r="T238" s="19"/>
      <c r="U238" s="19"/>
      <c r="V238" s="19"/>
      <c r="W238" s="19"/>
      <c r="X238" s="19"/>
      <c r="Y238" s="19"/>
      <c r="Z238" s="19"/>
    </row>
    <row r="239" ht="13.5" customHeight="1">
      <c r="A239" s="19"/>
      <c r="B239" s="19"/>
      <c r="C239" s="19"/>
      <c r="D239" s="19"/>
      <c r="E239" s="19"/>
      <c r="F239" s="19"/>
      <c r="G239" s="22" t="str">
        <f t="shared" si="17"/>
        <v>#NAME?</v>
      </c>
      <c r="H239" s="22">
        <f t="array" ref="H239">TYPE({1,2;3,4})</f>
        <v>64</v>
      </c>
      <c r="I239" s="52" t="s">
        <v>2010</v>
      </c>
      <c r="J239" s="19"/>
      <c r="K239" s="19"/>
      <c r="L239" s="19"/>
      <c r="M239" s="19"/>
      <c r="N239" s="19"/>
      <c r="O239" s="19"/>
      <c r="P239" s="19"/>
      <c r="Q239" s="19"/>
      <c r="R239" s="19"/>
      <c r="S239" s="19"/>
      <c r="T239" s="19"/>
      <c r="U239" s="19"/>
      <c r="V239" s="19"/>
      <c r="W239" s="19"/>
      <c r="X239" s="19"/>
      <c r="Y239" s="19"/>
      <c r="Z239" s="19"/>
    </row>
    <row r="240"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3.5" customHeight="1">
      <c r="A249" s="19"/>
      <c r="B249" s="53" t="s">
        <v>1353</v>
      </c>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3.5" customHeight="1">
      <c r="A251" s="19"/>
      <c r="B251" s="48" t="s">
        <v>2011</v>
      </c>
      <c r="C251" s="49"/>
      <c r="D251" s="49"/>
      <c r="E251" s="49"/>
      <c r="F251" s="49"/>
      <c r="G251" s="49"/>
      <c r="H251" s="49"/>
      <c r="I251" s="51"/>
      <c r="J251" s="19"/>
      <c r="K251" s="19"/>
      <c r="L251" s="19"/>
      <c r="M251" s="19"/>
      <c r="N251" s="19"/>
      <c r="O251" s="19"/>
      <c r="P251" s="19"/>
      <c r="Q251" s="19"/>
      <c r="R251" s="19"/>
      <c r="S251" s="19"/>
      <c r="T251" s="19"/>
      <c r="U251" s="19"/>
      <c r="V251" s="19"/>
      <c r="W251" s="19"/>
      <c r="X251" s="19"/>
      <c r="Y251" s="19"/>
      <c r="Z251" s="19"/>
    </row>
    <row r="252" ht="13.5" customHeight="1">
      <c r="A252" s="19"/>
      <c r="B252" s="43" t="s">
        <v>2012</v>
      </c>
      <c r="C252" s="44"/>
      <c r="D252" s="44"/>
      <c r="E252" s="44"/>
      <c r="F252" s="44"/>
      <c r="G252" s="44"/>
      <c r="H252" s="44"/>
      <c r="I252" s="45"/>
      <c r="J252" s="19"/>
      <c r="K252" s="19"/>
      <c r="L252" s="19"/>
      <c r="M252" s="19"/>
      <c r="N252" s="19"/>
      <c r="O252" s="19"/>
      <c r="P252" s="19"/>
      <c r="Q252" s="19"/>
      <c r="R252" s="19"/>
      <c r="S252" s="19"/>
      <c r="T252" s="19"/>
      <c r="U252" s="19"/>
      <c r="V252" s="19"/>
      <c r="W252" s="19"/>
      <c r="X252" s="19"/>
      <c r="Y252" s="19"/>
      <c r="Z252" s="19"/>
    </row>
    <row r="253"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3.5" customHeight="1">
      <c r="A254" s="19"/>
      <c r="B254" s="40" t="s">
        <v>1643</v>
      </c>
      <c r="C254" s="19"/>
      <c r="D254" s="19"/>
      <c r="E254" s="19"/>
      <c r="F254" s="19"/>
      <c r="G254" s="40" t="s">
        <v>1447</v>
      </c>
      <c r="H254" s="40" t="s">
        <v>1342</v>
      </c>
      <c r="I254" s="40" t="s">
        <v>1343</v>
      </c>
      <c r="J254" s="19"/>
      <c r="K254" s="19"/>
      <c r="L254" s="19"/>
      <c r="M254" s="19"/>
      <c r="N254" s="19"/>
      <c r="O254" s="19"/>
      <c r="P254" s="19"/>
      <c r="Q254" s="19"/>
      <c r="R254" s="19"/>
      <c r="S254" s="19"/>
      <c r="T254" s="19"/>
      <c r="U254" s="19"/>
      <c r="V254" s="19"/>
      <c r="W254" s="19"/>
      <c r="X254" s="19"/>
      <c r="Y254" s="19"/>
      <c r="Z254" s="19"/>
    </row>
    <row r="255" ht="13.5" customHeight="1">
      <c r="A255" s="19"/>
      <c r="B255" s="91">
        <v>1000.0</v>
      </c>
      <c r="C255" s="19"/>
      <c r="D255" s="19"/>
      <c r="E255" s="19"/>
      <c r="F255" s="19"/>
      <c r="G255" s="22" t="str">
        <f t="shared" ref="G255:G256" si="18">_xludf.FORMULATEXT(H255)</f>
        <v>#NAME?</v>
      </c>
      <c r="H255" s="22">
        <f t="shared" ref="H255:H256" si="19">VALUE(B255)</f>
        <v>1000</v>
      </c>
      <c r="I255" s="22" t="s">
        <v>2013</v>
      </c>
      <c r="J255" s="19"/>
      <c r="K255" s="19"/>
      <c r="L255" s="19"/>
      <c r="M255" s="19"/>
      <c r="N255" s="19"/>
      <c r="O255" s="19"/>
      <c r="P255" s="19"/>
      <c r="Q255" s="19"/>
      <c r="R255" s="19"/>
      <c r="S255" s="19"/>
      <c r="T255" s="19"/>
      <c r="U255" s="19"/>
      <c r="V255" s="19"/>
      <c r="W255" s="19"/>
      <c r="X255" s="19"/>
      <c r="Y255" s="19"/>
      <c r="Z255" s="19"/>
    </row>
    <row r="256" ht="13.5" customHeight="1">
      <c r="A256" s="19"/>
      <c r="B256" s="95">
        <v>0.11493055555555555</v>
      </c>
      <c r="C256" s="19"/>
      <c r="D256" s="19"/>
      <c r="E256" s="19"/>
      <c r="F256" s="19"/>
      <c r="G256" s="22" t="str">
        <f t="shared" si="18"/>
        <v>#NAME?</v>
      </c>
      <c r="H256" s="22">
        <f t="shared" si="19"/>
        <v>0.1149305556</v>
      </c>
      <c r="I256" s="22" t="s">
        <v>2014</v>
      </c>
      <c r="J256" s="19"/>
      <c r="K256" s="19"/>
      <c r="L256" s="19"/>
      <c r="M256" s="19"/>
      <c r="N256" s="19"/>
      <c r="O256" s="19"/>
      <c r="P256" s="19"/>
      <c r="Q256" s="19"/>
      <c r="R256" s="19"/>
      <c r="S256" s="19"/>
      <c r="T256" s="19"/>
      <c r="U256" s="19"/>
      <c r="V256" s="19"/>
      <c r="W256" s="19"/>
      <c r="X256" s="19"/>
      <c r="Y256" s="19"/>
      <c r="Z256" s="19"/>
    </row>
    <row r="257"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3.5" customHeight="1">
      <c r="A260" s="19"/>
      <c r="B260" s="19"/>
      <c r="C260" s="19"/>
      <c r="D260" s="118"/>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3.5" customHeight="1">
      <c r="A265" s="19"/>
      <c r="B265" s="53" t="s">
        <v>1353</v>
      </c>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3.5" customHeight="1">
      <c r="A337" s="19"/>
      <c r="B337" s="19" t="s">
        <v>2015</v>
      </c>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3.5" customHeight="1">
      <c r="A338" s="19"/>
      <c r="B338" s="19" t="s">
        <v>2016</v>
      </c>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21">
    <mergeCell ref="B8:C8"/>
    <mergeCell ref="B15:C15"/>
    <mergeCell ref="B24:C24"/>
    <mergeCell ref="B34:C34"/>
    <mergeCell ref="B43:C43"/>
    <mergeCell ref="B56:C56"/>
    <mergeCell ref="B67:C67"/>
    <mergeCell ref="B195:C195"/>
    <mergeCell ref="B212:C212"/>
    <mergeCell ref="F225:G225"/>
    <mergeCell ref="F226:G226"/>
    <mergeCell ref="B230:C230"/>
    <mergeCell ref="B249:C249"/>
    <mergeCell ref="B265:C265"/>
    <mergeCell ref="B78:C78"/>
    <mergeCell ref="B105:C105"/>
    <mergeCell ref="B142:C142"/>
    <mergeCell ref="B156:C156"/>
    <mergeCell ref="B171:C171"/>
    <mergeCell ref="B177:K177"/>
    <mergeCell ref="B201:K201"/>
  </mergeCells>
  <hyperlinks>
    <hyperlink r:id="rId1" ref="G1"/>
    <hyperlink display="Back to LIST OF FUNCTIONS" location="'LIST OF FUNCTIONS'!A1" ref="B8"/>
    <hyperlink display="Back to LIST OF FUNCTIONS" location="'LIST OF FUNCTIONS'!A1" ref="B15"/>
    <hyperlink display="Back to LIST OF FUNCTIONS" location="'LIST OF FUNCTIONS'!A1" ref="B24"/>
    <hyperlink display="Back to LIST OF FUNCTIONS" location="'LIST OF FUNCTIONS'!A1" ref="B34"/>
    <hyperlink display="Back to LIST OF FUNCTIONS" location="'LIST OF FUNCTIONS'!A1" ref="B43"/>
    <hyperlink display="Back to LIST OF FUNCTIONS" location="'LIST OF FUNCTIONS'!A1" ref="B56"/>
    <hyperlink display="Back to LIST OF FUNCTIONS" location="'LIST OF FUNCTIONS'!A1" ref="B67"/>
    <hyperlink display="Back to LIST OF FUNCTIONS" location="'LIST OF FUNCTIONS'!A1" ref="B78"/>
    <hyperlink display="Back to LIST OF FUNCTIONS" location="'LIST OF FUNCTIONS'!A1" ref="B105"/>
    <hyperlink display="Back to LIST OF FUNCTIONS" location="'LIST OF FUNCTIONS'!A1" ref="B142"/>
    <hyperlink display="Back to LIST OF FUNCTIONS" location="'LIST OF FUNCTIONS'!A1" ref="B156"/>
    <hyperlink display="Back to LIST OF FUNCTIONS" location="'LIST OF FUNCTIONS'!A1" ref="B171"/>
    <hyperlink display="Back to LIST OF FUNCTIONS" location="'LIST OF FUNCTIONS'!A1" ref="B195"/>
    <hyperlink display="Back to LIST OF FUNCTIONS" location="'LIST OF FUNCTIONS'!A1" ref="B212"/>
    <hyperlink display="Back to LIST OF FUNCTIONS" location="'LIST OF FUNCTIONS'!A1" ref="B230"/>
    <hyperlink display="Back to LIST OF FUNCTIONS" location="'LIST OF FUNCTIONS'!A1" ref="B249"/>
    <hyperlink display="Back to LIST OF FUNCTIONS" location="'LIST OF FUNCTIONS'!A1" ref="B265"/>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57"/>
    <col customWidth="1" min="3" max="6" width="8.71"/>
    <col customWidth="1" min="7" max="7" width="23.29"/>
    <col customWidth="1" min="8" max="8" width="8.71"/>
    <col customWidth="1" min="9" max="9" width="56.14"/>
    <col customWidth="1" min="10" max="26" width="8.71"/>
  </cols>
  <sheetData>
    <row r="1" ht="14.25" customHeight="1">
      <c r="G1" s="30" t="s">
        <v>1335</v>
      </c>
    </row>
    <row r="2" ht="14.25" customHeight="1">
      <c r="A2" s="19"/>
      <c r="B2" s="48" t="s">
        <v>2017</v>
      </c>
      <c r="C2" s="49"/>
      <c r="D2" s="49"/>
      <c r="E2" s="49"/>
      <c r="F2" s="49"/>
      <c r="G2" s="49"/>
      <c r="H2" s="49"/>
      <c r="I2" s="51"/>
      <c r="J2" s="19"/>
      <c r="K2" s="19"/>
      <c r="L2" s="19"/>
      <c r="M2" s="19"/>
      <c r="N2" s="19"/>
      <c r="O2" s="19"/>
      <c r="P2" s="19"/>
      <c r="Q2" s="19"/>
      <c r="R2" s="19"/>
      <c r="S2" s="19"/>
      <c r="T2" s="19"/>
      <c r="U2" s="19"/>
      <c r="V2" s="19"/>
      <c r="W2" s="19"/>
      <c r="X2" s="19"/>
      <c r="Y2" s="19"/>
      <c r="Z2" s="19"/>
    </row>
    <row r="3" ht="14.25" customHeight="1">
      <c r="A3" s="19"/>
      <c r="B3" s="43" t="s">
        <v>2018</v>
      </c>
      <c r="C3" s="44"/>
      <c r="D3" s="44"/>
      <c r="E3" s="44"/>
      <c r="F3" s="44"/>
      <c r="G3" s="44"/>
      <c r="H3" s="44"/>
      <c r="I3" s="45"/>
      <c r="J3" s="19"/>
      <c r="K3" s="19"/>
      <c r="L3" s="19"/>
      <c r="M3" s="19"/>
      <c r="N3" s="19"/>
      <c r="O3" s="19"/>
      <c r="P3" s="19"/>
      <c r="Q3" s="19"/>
      <c r="R3" s="19"/>
      <c r="S3" s="19"/>
      <c r="T3" s="19"/>
      <c r="U3" s="19"/>
      <c r="V3" s="19"/>
      <c r="W3" s="19"/>
      <c r="X3" s="19"/>
      <c r="Y3" s="19"/>
      <c r="Z3" s="19"/>
    </row>
    <row r="4" ht="14.25" customHeight="1">
      <c r="A4" s="19"/>
      <c r="B4" s="43" t="s">
        <v>2019</v>
      </c>
      <c r="C4" s="44"/>
      <c r="D4" s="44"/>
      <c r="E4" s="44"/>
      <c r="F4" s="44"/>
      <c r="G4" s="44"/>
      <c r="H4" s="44"/>
      <c r="I4" s="45"/>
      <c r="J4" s="19"/>
      <c r="K4" s="19"/>
      <c r="L4" s="19"/>
      <c r="M4" s="19"/>
      <c r="N4" s="19"/>
      <c r="O4" s="19"/>
      <c r="P4" s="19"/>
      <c r="Q4" s="19"/>
      <c r="R4" s="19"/>
      <c r="S4" s="19"/>
      <c r="T4" s="19"/>
      <c r="U4" s="19"/>
      <c r="V4" s="19"/>
      <c r="W4" s="19"/>
      <c r="X4" s="19"/>
      <c r="Y4" s="19"/>
      <c r="Z4" s="19"/>
    </row>
    <row r="5" ht="14.25" customHeight="1">
      <c r="A5" s="19"/>
      <c r="B5" s="19"/>
      <c r="C5" s="19"/>
      <c r="D5" s="19"/>
      <c r="E5" s="19"/>
      <c r="F5" s="19"/>
      <c r="G5" s="19"/>
      <c r="H5" s="19"/>
      <c r="I5" s="19"/>
      <c r="J5" s="19"/>
      <c r="K5" s="19"/>
      <c r="L5" s="19"/>
      <c r="M5" s="19"/>
      <c r="N5" s="19"/>
      <c r="O5" s="19"/>
      <c r="P5" s="19"/>
      <c r="Q5" s="19"/>
      <c r="R5" s="19"/>
      <c r="S5" s="19"/>
      <c r="T5" s="19"/>
      <c r="U5" s="19"/>
      <c r="V5" s="19"/>
      <c r="W5" s="19"/>
      <c r="X5" s="19"/>
      <c r="Y5" s="19"/>
      <c r="Z5" s="19"/>
    </row>
    <row r="6" ht="14.25" customHeight="1">
      <c r="A6" s="19"/>
      <c r="B6" s="40" t="s">
        <v>1643</v>
      </c>
      <c r="C6" s="19"/>
      <c r="D6" s="19"/>
      <c r="E6" s="19"/>
      <c r="F6" s="19"/>
      <c r="G6" s="40" t="s">
        <v>1447</v>
      </c>
      <c r="H6" s="40" t="s">
        <v>1342</v>
      </c>
      <c r="I6" s="40" t="s">
        <v>1343</v>
      </c>
      <c r="J6" s="19"/>
      <c r="K6" s="19"/>
      <c r="L6" s="19"/>
      <c r="M6" s="19"/>
      <c r="N6" s="19"/>
      <c r="O6" s="19"/>
      <c r="P6" s="19"/>
      <c r="Q6" s="19"/>
      <c r="R6" s="19"/>
      <c r="S6" s="19"/>
      <c r="T6" s="19"/>
      <c r="U6" s="19"/>
      <c r="V6" s="19"/>
      <c r="W6" s="19"/>
      <c r="X6" s="19"/>
      <c r="Y6" s="19"/>
      <c r="Z6" s="19"/>
    </row>
    <row r="7" ht="14.25" customHeight="1">
      <c r="A7" s="19"/>
      <c r="B7" s="22">
        <v>7.0</v>
      </c>
      <c r="C7" s="19"/>
      <c r="D7" s="19"/>
      <c r="E7" s="19"/>
      <c r="F7" s="19"/>
      <c r="G7" s="22" t="str">
        <f t="shared" ref="G7:G10" si="1">_xludf.FORMULATEXT(H7)</f>
        <v>#NAME?</v>
      </c>
      <c r="H7" s="22">
        <f>RANK(B8, B7:B11)</f>
        <v>2</v>
      </c>
      <c r="I7" s="52" t="s">
        <v>2020</v>
      </c>
      <c r="J7" s="19"/>
      <c r="K7" s="19"/>
      <c r="L7" s="19"/>
      <c r="M7" s="19"/>
      <c r="N7" s="19"/>
      <c r="O7" s="19"/>
      <c r="P7" s="19"/>
      <c r="Q7" s="19"/>
      <c r="R7" s="19"/>
      <c r="S7" s="19"/>
      <c r="T7" s="19"/>
      <c r="U7" s="19"/>
      <c r="V7" s="19"/>
      <c r="W7" s="19"/>
      <c r="X7" s="19"/>
      <c r="Y7" s="19"/>
      <c r="Z7" s="19"/>
    </row>
    <row r="8" ht="14.25" customHeight="1">
      <c r="A8" s="19"/>
      <c r="B8" s="22">
        <v>3.5</v>
      </c>
      <c r="C8" s="19"/>
      <c r="D8" s="19"/>
      <c r="E8" s="19"/>
      <c r="F8" s="19"/>
      <c r="G8" s="22" t="str">
        <f t="shared" si="1"/>
        <v>#NAME?</v>
      </c>
      <c r="H8" s="22">
        <f>RANK(B9, B7:B11)</f>
        <v>2</v>
      </c>
      <c r="I8" s="52" t="s">
        <v>2021</v>
      </c>
      <c r="J8" s="19"/>
      <c r="K8" s="19"/>
      <c r="L8" s="19"/>
      <c r="M8" s="19"/>
      <c r="N8" s="19"/>
      <c r="O8" s="19"/>
      <c r="P8" s="19"/>
      <c r="Q8" s="19"/>
      <c r="R8" s="19"/>
      <c r="S8" s="19"/>
      <c r="T8" s="19"/>
      <c r="U8" s="19"/>
      <c r="V8" s="19"/>
      <c r="W8" s="19"/>
      <c r="X8" s="19"/>
      <c r="Y8" s="19"/>
      <c r="Z8" s="19"/>
    </row>
    <row r="9" ht="14.25" customHeight="1">
      <c r="A9" s="19"/>
      <c r="B9" s="22">
        <v>3.5</v>
      </c>
      <c r="C9" s="19"/>
      <c r="D9" s="19"/>
      <c r="E9" s="19"/>
      <c r="F9" s="19"/>
      <c r="G9" s="22" t="str">
        <f t="shared" si="1"/>
        <v>#NAME?</v>
      </c>
      <c r="H9" s="22">
        <f>RANK(B10, B7:B11, 1)</f>
        <v>1</v>
      </c>
      <c r="I9" s="52" t="s">
        <v>2022</v>
      </c>
      <c r="J9" s="19"/>
      <c r="K9" s="19"/>
      <c r="L9" s="19"/>
      <c r="M9" s="19"/>
      <c r="N9" s="19"/>
      <c r="O9" s="19"/>
      <c r="P9" s="19"/>
      <c r="Q9" s="19"/>
      <c r="R9" s="19"/>
      <c r="S9" s="19"/>
      <c r="T9" s="19"/>
      <c r="U9" s="19"/>
      <c r="V9" s="19"/>
      <c r="W9" s="19"/>
      <c r="X9" s="19"/>
      <c r="Y9" s="19"/>
      <c r="Z9" s="19"/>
    </row>
    <row r="10" ht="14.25" customHeight="1">
      <c r="A10" s="19"/>
      <c r="B10" s="22">
        <v>1.0</v>
      </c>
      <c r="C10" s="19"/>
      <c r="D10" s="19"/>
      <c r="E10" s="19"/>
      <c r="F10" s="19"/>
      <c r="G10" s="22" t="str">
        <f t="shared" si="1"/>
        <v>#NAME?</v>
      </c>
      <c r="H10" s="22">
        <f>RANK(B10, B7:B11, 0)</f>
        <v>5</v>
      </c>
      <c r="I10" s="52" t="s">
        <v>2020</v>
      </c>
      <c r="J10" s="19"/>
      <c r="K10" s="19"/>
      <c r="L10" s="19"/>
      <c r="M10" s="19"/>
      <c r="N10" s="19"/>
      <c r="O10" s="19"/>
      <c r="P10" s="19"/>
      <c r="Q10" s="19"/>
      <c r="R10" s="19"/>
      <c r="S10" s="19"/>
      <c r="T10" s="19"/>
      <c r="U10" s="19"/>
      <c r="V10" s="19"/>
      <c r="W10" s="19"/>
      <c r="X10" s="19"/>
      <c r="Y10" s="19"/>
      <c r="Z10" s="19"/>
    </row>
    <row r="11" ht="14.25" customHeight="1">
      <c r="A11" s="19"/>
      <c r="B11" s="22">
        <v>2.0</v>
      </c>
      <c r="C11" s="19"/>
      <c r="D11" s="19"/>
      <c r="E11" s="19"/>
      <c r="F11" s="19"/>
      <c r="G11" s="5"/>
      <c r="H11" s="5"/>
      <c r="I11" s="5"/>
      <c r="J11" s="19"/>
      <c r="K11" s="19"/>
      <c r="L11" s="19"/>
      <c r="M11" s="19"/>
      <c r="N11" s="19"/>
      <c r="O11" s="19"/>
      <c r="P11" s="19"/>
      <c r="Q11" s="19"/>
      <c r="R11" s="19"/>
      <c r="S11" s="19"/>
      <c r="T11" s="19"/>
      <c r="U11" s="19"/>
      <c r="V11" s="19"/>
      <c r="W11" s="19"/>
      <c r="X11" s="19"/>
      <c r="Y11" s="19"/>
      <c r="Z11" s="19"/>
    </row>
    <row r="12" ht="14.2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14.2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4.2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4.2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4.2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ht="14.2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4.2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4.2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4.2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4.25" customHeight="1">
      <c r="A21" s="19"/>
      <c r="B21" s="53" t="s">
        <v>1353</v>
      </c>
      <c r="D21" s="19"/>
      <c r="E21" s="19"/>
      <c r="F21" s="19"/>
      <c r="G21" s="19"/>
      <c r="H21" s="19"/>
      <c r="I21" s="19"/>
      <c r="J21" s="19"/>
      <c r="K21" s="19"/>
      <c r="L21" s="19"/>
      <c r="M21" s="19"/>
      <c r="N21" s="19"/>
      <c r="O21" s="19"/>
      <c r="P21" s="19"/>
      <c r="Q21" s="19"/>
      <c r="R21" s="19"/>
      <c r="S21" s="19"/>
      <c r="T21" s="19"/>
      <c r="U21" s="19"/>
      <c r="V21" s="19"/>
      <c r="W21" s="19"/>
      <c r="X21" s="19"/>
      <c r="Y21" s="19"/>
      <c r="Z21" s="19"/>
    </row>
    <row r="22" ht="14.2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4.25" customHeight="1">
      <c r="A23" s="19"/>
      <c r="B23" s="48" t="s">
        <v>2023</v>
      </c>
      <c r="C23" s="49"/>
      <c r="D23" s="49"/>
      <c r="E23" s="49"/>
      <c r="F23" s="49"/>
      <c r="G23" s="49"/>
      <c r="H23" s="49"/>
      <c r="I23" s="51"/>
      <c r="J23" s="19"/>
      <c r="K23" s="19"/>
      <c r="L23" s="19"/>
      <c r="M23" s="19"/>
      <c r="N23" s="19"/>
      <c r="O23" s="19"/>
      <c r="P23" s="19"/>
      <c r="Q23" s="19"/>
      <c r="R23" s="19"/>
      <c r="S23" s="19"/>
      <c r="T23" s="19"/>
      <c r="U23" s="19"/>
      <c r="V23" s="19"/>
      <c r="W23" s="19"/>
      <c r="X23" s="19"/>
      <c r="Y23" s="19"/>
      <c r="Z23" s="19"/>
    </row>
    <row r="24" ht="14.25" customHeight="1">
      <c r="A24" s="19"/>
      <c r="B24" s="43" t="s">
        <v>2024</v>
      </c>
      <c r="C24" s="44"/>
      <c r="D24" s="44"/>
      <c r="E24" s="44"/>
      <c r="F24" s="44"/>
      <c r="G24" s="44"/>
      <c r="H24" s="44"/>
      <c r="I24" s="45"/>
      <c r="J24" s="19"/>
      <c r="K24" s="19"/>
      <c r="L24" s="19"/>
      <c r="M24" s="19"/>
      <c r="N24" s="19"/>
      <c r="O24" s="19"/>
      <c r="P24" s="19"/>
      <c r="Q24" s="19"/>
      <c r="R24" s="19"/>
      <c r="S24" s="19"/>
      <c r="T24" s="19"/>
      <c r="U24" s="19"/>
      <c r="V24" s="19"/>
      <c r="W24" s="19"/>
      <c r="X24" s="19"/>
      <c r="Y24" s="19"/>
      <c r="Z24" s="19"/>
    </row>
    <row r="25" ht="14.2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4.25" customHeight="1">
      <c r="A26" s="19"/>
      <c r="B26" s="40" t="s">
        <v>1643</v>
      </c>
      <c r="C26" s="19"/>
      <c r="D26" s="19"/>
      <c r="E26" s="19"/>
      <c r="F26" s="19"/>
      <c r="G26" s="40" t="s">
        <v>1447</v>
      </c>
      <c r="H26" s="40" t="s">
        <v>1342</v>
      </c>
      <c r="I26" s="40" t="s">
        <v>1343</v>
      </c>
      <c r="J26" s="19"/>
      <c r="K26" s="19"/>
      <c r="L26" s="19"/>
      <c r="M26" s="19"/>
      <c r="N26" s="19"/>
      <c r="O26" s="19"/>
      <c r="P26" s="19"/>
      <c r="Q26" s="19"/>
      <c r="R26" s="19"/>
      <c r="S26" s="19"/>
      <c r="T26" s="19"/>
      <c r="U26" s="19"/>
      <c r="V26" s="19"/>
      <c r="W26" s="19"/>
      <c r="X26" s="19"/>
      <c r="Y26" s="19"/>
      <c r="Z26" s="19"/>
    </row>
    <row r="27" ht="14.25" customHeight="1">
      <c r="A27" s="19"/>
      <c r="B27" s="22">
        <v>89.0</v>
      </c>
      <c r="C27" s="19"/>
      <c r="D27" s="19"/>
      <c r="E27" s="19"/>
      <c r="F27" s="19"/>
      <c r="G27" s="22" t="str">
        <f t="shared" ref="G27:G29" si="2">_xludf.FORMULATEXT(H27)</f>
        <v>#NAME?</v>
      </c>
      <c r="H27" s="22">
        <f>_xlfn.RANK.AVG(B28, B27:B34)</f>
        <v>4</v>
      </c>
      <c r="I27" s="52" t="s">
        <v>2025</v>
      </c>
      <c r="J27" s="19"/>
      <c r="K27" s="19"/>
      <c r="L27" s="19"/>
      <c r="M27" s="19"/>
      <c r="N27" s="19"/>
      <c r="O27" s="19"/>
      <c r="P27" s="19"/>
      <c r="Q27" s="19"/>
      <c r="R27" s="19"/>
      <c r="S27" s="19"/>
      <c r="T27" s="19"/>
      <c r="U27" s="19"/>
      <c r="V27" s="19"/>
      <c r="W27" s="19"/>
      <c r="X27" s="19"/>
      <c r="Y27" s="19"/>
      <c r="Z27" s="19"/>
    </row>
    <row r="28" ht="14.25" customHeight="1">
      <c r="A28" s="19"/>
      <c r="B28" s="22">
        <v>90.0</v>
      </c>
      <c r="C28" s="19"/>
      <c r="D28" s="19"/>
      <c r="E28" s="19"/>
      <c r="F28" s="19"/>
      <c r="G28" s="22" t="str">
        <f t="shared" si="2"/>
        <v>#NAME?</v>
      </c>
      <c r="H28" s="22">
        <f>_xlfn.RANK.AVG(B33, B27:B34, 1)</f>
        <v>1.5</v>
      </c>
      <c r="I28" s="52" t="s">
        <v>2026</v>
      </c>
      <c r="J28" s="19"/>
      <c r="K28" s="19"/>
      <c r="L28" s="19"/>
      <c r="M28" s="19"/>
      <c r="N28" s="19"/>
      <c r="O28" s="19"/>
      <c r="P28" s="19"/>
      <c r="Q28" s="19"/>
      <c r="R28" s="19"/>
      <c r="S28" s="19"/>
      <c r="T28" s="19"/>
      <c r="U28" s="19"/>
      <c r="V28" s="19"/>
      <c r="W28" s="19"/>
      <c r="X28" s="19"/>
      <c r="Y28" s="19"/>
      <c r="Z28" s="19"/>
    </row>
    <row r="29" ht="14.25" customHeight="1">
      <c r="A29" s="19"/>
      <c r="B29" s="22">
        <v>87.0</v>
      </c>
      <c r="C29" s="19"/>
      <c r="D29" s="19"/>
      <c r="E29" s="19"/>
      <c r="F29" s="19"/>
      <c r="G29" s="22" t="str">
        <f t="shared" si="2"/>
        <v>#NAME?</v>
      </c>
      <c r="H29" s="22">
        <f>_xlfn.RANK.AVG(B34, B27:B34, 1)</f>
        <v>7.5</v>
      </c>
      <c r="I29" s="52" t="s">
        <v>2027</v>
      </c>
      <c r="J29" s="19"/>
      <c r="K29" s="19"/>
      <c r="L29" s="19"/>
      <c r="M29" s="19"/>
      <c r="N29" s="19"/>
      <c r="O29" s="19"/>
      <c r="P29" s="19"/>
      <c r="Q29" s="19"/>
      <c r="R29" s="19"/>
      <c r="S29" s="19"/>
      <c r="T29" s="19"/>
      <c r="U29" s="19"/>
      <c r="V29" s="19"/>
      <c r="W29" s="19"/>
      <c r="X29" s="19"/>
      <c r="Y29" s="19"/>
      <c r="Z29" s="19"/>
    </row>
    <row r="30" ht="14.25" customHeight="1">
      <c r="A30" s="19"/>
      <c r="B30" s="22">
        <v>98.0</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4.25" customHeight="1">
      <c r="A31" s="19"/>
      <c r="B31" s="22">
        <v>96.0</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4.25" customHeight="1">
      <c r="A32" s="19"/>
      <c r="B32" s="22">
        <v>85.0</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4.25" customHeight="1">
      <c r="A33" s="19"/>
      <c r="B33" s="22">
        <v>85.0</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4.25" customHeight="1">
      <c r="A34" s="19"/>
      <c r="B34" s="22">
        <v>98.0</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4.25" customHeight="1">
      <c r="A36" s="19"/>
      <c r="B36" s="53" t="s">
        <v>1353</v>
      </c>
      <c r="D36" s="19"/>
      <c r="E36" s="19"/>
      <c r="F36" s="19"/>
      <c r="G36" s="19"/>
      <c r="H36" s="19"/>
      <c r="I36" s="19"/>
      <c r="J36" s="19"/>
      <c r="K36" s="19"/>
      <c r="L36" s="19"/>
      <c r="M36" s="19"/>
      <c r="N36" s="19"/>
      <c r="O36" s="19"/>
      <c r="P36" s="19"/>
      <c r="Q36" s="19"/>
      <c r="R36" s="19"/>
      <c r="S36" s="19"/>
      <c r="T36" s="19"/>
      <c r="U36" s="19"/>
      <c r="V36" s="19"/>
      <c r="W36" s="19"/>
      <c r="X36" s="19"/>
      <c r="Y36" s="19"/>
      <c r="Z36" s="19"/>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4.25" customHeight="1">
      <c r="A38" s="19"/>
      <c r="B38" s="48" t="s">
        <v>2028</v>
      </c>
      <c r="C38" s="49"/>
      <c r="D38" s="49"/>
      <c r="E38" s="49"/>
      <c r="F38" s="49"/>
      <c r="G38" s="49"/>
      <c r="H38" s="49"/>
      <c r="I38" s="51"/>
      <c r="J38" s="19"/>
      <c r="K38" s="19"/>
      <c r="L38" s="19"/>
      <c r="M38" s="19"/>
      <c r="N38" s="19"/>
      <c r="O38" s="19"/>
      <c r="P38" s="19"/>
      <c r="Q38" s="19"/>
      <c r="R38" s="19"/>
      <c r="S38" s="19"/>
      <c r="T38" s="19"/>
      <c r="U38" s="19"/>
      <c r="V38" s="19"/>
      <c r="W38" s="19"/>
      <c r="X38" s="19"/>
      <c r="Y38" s="19"/>
      <c r="Z38" s="19"/>
    </row>
    <row r="39" ht="14.25" customHeight="1">
      <c r="A39" s="19"/>
      <c r="B39" s="43" t="s">
        <v>2029</v>
      </c>
      <c r="C39" s="44"/>
      <c r="D39" s="44"/>
      <c r="E39" s="44"/>
      <c r="F39" s="44"/>
      <c r="G39" s="44"/>
      <c r="H39" s="44"/>
      <c r="I39" s="45"/>
      <c r="J39" s="19"/>
      <c r="K39" s="19"/>
      <c r="L39" s="19"/>
      <c r="M39" s="19"/>
      <c r="N39" s="19"/>
      <c r="O39" s="19"/>
      <c r="P39" s="19"/>
      <c r="Q39" s="19"/>
      <c r="R39" s="19"/>
      <c r="S39" s="19"/>
      <c r="T39" s="19"/>
      <c r="U39" s="19"/>
      <c r="V39" s="19"/>
      <c r="W39" s="19"/>
      <c r="X39" s="19"/>
      <c r="Y39" s="19"/>
      <c r="Z39" s="19"/>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4.25" customHeight="1">
      <c r="A41" s="19"/>
      <c r="B41" s="40" t="s">
        <v>1643</v>
      </c>
      <c r="C41" s="19"/>
      <c r="D41" s="19"/>
      <c r="E41" s="19"/>
      <c r="F41" s="19"/>
      <c r="G41" s="40" t="s">
        <v>1447</v>
      </c>
      <c r="H41" s="40" t="s">
        <v>1342</v>
      </c>
      <c r="I41" s="40" t="s">
        <v>1343</v>
      </c>
      <c r="J41" s="19"/>
      <c r="K41" s="19"/>
      <c r="L41" s="19"/>
      <c r="M41" s="19"/>
      <c r="N41" s="19"/>
      <c r="O41" s="19"/>
      <c r="P41" s="19"/>
      <c r="Q41" s="19"/>
      <c r="R41" s="19"/>
      <c r="S41" s="19"/>
      <c r="T41" s="19"/>
      <c r="U41" s="19"/>
      <c r="V41" s="19"/>
      <c r="W41" s="19"/>
      <c r="X41" s="19"/>
      <c r="Y41" s="19"/>
      <c r="Z41" s="19"/>
    </row>
    <row r="42" ht="14.25" customHeight="1">
      <c r="A42" s="19"/>
      <c r="B42" s="22">
        <v>89.0</v>
      </c>
      <c r="C42" s="19"/>
      <c r="D42" s="19"/>
      <c r="E42" s="19"/>
      <c r="F42" s="19"/>
      <c r="G42" s="22" t="str">
        <f t="shared" ref="G42:G44" si="3">_xludf.FORMULATEXT(H42)</f>
        <v>#NAME?</v>
      </c>
      <c r="H42" s="22">
        <f>_xlfn.RANK.EQ(B43, B42:B49)</f>
        <v>4</v>
      </c>
      <c r="I42" s="52" t="s">
        <v>2025</v>
      </c>
      <c r="J42" s="19"/>
      <c r="K42" s="19"/>
      <c r="L42" s="19"/>
      <c r="M42" s="19"/>
      <c r="N42" s="19"/>
      <c r="O42" s="19"/>
      <c r="P42" s="19"/>
      <c r="Q42" s="19"/>
      <c r="R42" s="19"/>
      <c r="S42" s="19"/>
      <c r="T42" s="19"/>
      <c r="U42" s="19"/>
      <c r="V42" s="19"/>
      <c r="W42" s="19"/>
      <c r="X42" s="19"/>
      <c r="Y42" s="19"/>
      <c r="Z42" s="19"/>
    </row>
    <row r="43" ht="14.25" customHeight="1">
      <c r="A43" s="19"/>
      <c r="B43" s="22">
        <v>90.0</v>
      </c>
      <c r="C43" s="19"/>
      <c r="D43" s="19"/>
      <c r="E43" s="19"/>
      <c r="F43" s="19"/>
      <c r="G43" s="22" t="str">
        <f t="shared" si="3"/>
        <v>#NAME?</v>
      </c>
      <c r="H43" s="22">
        <f>_xlfn.RANK.EQ(B48, B42:B49, 1)</f>
        <v>1</v>
      </c>
      <c r="I43" s="52" t="s">
        <v>2030</v>
      </c>
      <c r="J43" s="19"/>
      <c r="K43" s="19"/>
      <c r="L43" s="19"/>
      <c r="M43" s="19"/>
      <c r="N43" s="19"/>
      <c r="O43" s="19"/>
      <c r="P43" s="19"/>
      <c r="Q43" s="19"/>
      <c r="R43" s="19"/>
      <c r="S43" s="19"/>
      <c r="T43" s="19"/>
      <c r="U43" s="19"/>
      <c r="V43" s="19"/>
      <c r="W43" s="19"/>
      <c r="X43" s="19"/>
      <c r="Y43" s="19"/>
      <c r="Z43" s="19"/>
    </row>
    <row r="44" ht="14.25" customHeight="1">
      <c r="A44" s="19"/>
      <c r="B44" s="22">
        <v>87.0</v>
      </c>
      <c r="C44" s="19"/>
      <c r="D44" s="19"/>
      <c r="E44" s="19"/>
      <c r="F44" s="19"/>
      <c r="G44" s="22" t="str">
        <f t="shared" si="3"/>
        <v>#NAME?</v>
      </c>
      <c r="H44" s="22">
        <f>_xlfn.RANK.EQ(B49, B42:B49, 1)</f>
        <v>7</v>
      </c>
      <c r="I44" s="52" t="s">
        <v>2031</v>
      </c>
      <c r="J44" s="19"/>
      <c r="K44" s="19"/>
      <c r="L44" s="19"/>
      <c r="M44" s="19"/>
      <c r="N44" s="19"/>
      <c r="O44" s="19"/>
      <c r="P44" s="19"/>
      <c r="Q44" s="19"/>
      <c r="R44" s="19"/>
      <c r="S44" s="19"/>
      <c r="T44" s="19"/>
      <c r="U44" s="19"/>
      <c r="V44" s="19"/>
      <c r="W44" s="19"/>
      <c r="X44" s="19"/>
      <c r="Y44" s="19"/>
      <c r="Z44" s="19"/>
    </row>
    <row r="45" ht="14.25" customHeight="1">
      <c r="A45" s="19"/>
      <c r="B45" s="22">
        <v>98.0</v>
      </c>
      <c r="C45" s="19"/>
      <c r="D45" s="19"/>
      <c r="E45" s="19"/>
      <c r="F45" s="19"/>
      <c r="G45" s="22"/>
      <c r="H45" s="22">
        <f>_xlfn.RANK.EQ(B45, B42:B49, 1)</f>
        <v>7</v>
      </c>
      <c r="I45" s="52" t="s">
        <v>2031</v>
      </c>
      <c r="J45" s="19"/>
      <c r="K45" s="19"/>
      <c r="L45" s="19"/>
      <c r="M45" s="19"/>
      <c r="N45" s="19"/>
      <c r="O45" s="19"/>
      <c r="P45" s="19"/>
      <c r="Q45" s="19"/>
      <c r="R45" s="19"/>
      <c r="S45" s="19"/>
      <c r="T45" s="19"/>
      <c r="U45" s="19"/>
      <c r="V45" s="19"/>
      <c r="W45" s="19"/>
      <c r="X45" s="19"/>
      <c r="Y45" s="19"/>
      <c r="Z45" s="19"/>
    </row>
    <row r="46" ht="14.25" customHeight="1">
      <c r="A46" s="19"/>
      <c r="B46" s="22">
        <v>96.0</v>
      </c>
      <c r="C46" s="19"/>
      <c r="D46" s="19"/>
      <c r="E46" s="19"/>
      <c r="F46" s="19"/>
      <c r="G46" s="5"/>
      <c r="H46" s="5"/>
      <c r="I46" s="5"/>
      <c r="J46" s="19"/>
      <c r="K46" s="19"/>
      <c r="L46" s="19"/>
      <c r="M46" s="19"/>
      <c r="N46" s="19"/>
      <c r="O46" s="19"/>
      <c r="P46" s="19"/>
      <c r="Q46" s="19"/>
      <c r="R46" s="19"/>
      <c r="S46" s="19"/>
      <c r="T46" s="19"/>
      <c r="U46" s="19"/>
      <c r="V46" s="19"/>
      <c r="W46" s="19"/>
      <c r="X46" s="19"/>
      <c r="Y46" s="19"/>
      <c r="Z46" s="19"/>
    </row>
    <row r="47" ht="14.25" customHeight="1">
      <c r="A47" s="19"/>
      <c r="B47" s="22">
        <v>85.0</v>
      </c>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4.25" customHeight="1">
      <c r="A48" s="19"/>
      <c r="B48" s="22">
        <v>85.0</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4.25" customHeight="1">
      <c r="A49" s="19"/>
      <c r="B49" s="22">
        <v>98.0</v>
      </c>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4.2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4.2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4.2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4.2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4.25" customHeight="1">
      <c r="A54" s="19"/>
      <c r="B54" s="53" t="s">
        <v>1353</v>
      </c>
      <c r="D54" s="19"/>
      <c r="E54" s="19"/>
      <c r="F54" s="19"/>
      <c r="G54" s="19"/>
      <c r="H54" s="19"/>
      <c r="I54" s="19"/>
      <c r="J54" s="19"/>
      <c r="K54" s="19"/>
      <c r="L54" s="19"/>
      <c r="M54" s="19"/>
      <c r="N54" s="19"/>
      <c r="O54" s="19"/>
      <c r="P54" s="19"/>
      <c r="Q54" s="19"/>
      <c r="R54" s="19"/>
      <c r="S54" s="19"/>
      <c r="T54" s="19"/>
      <c r="U54" s="19"/>
      <c r="V54" s="19"/>
      <c r="W54" s="19"/>
      <c r="X54" s="19"/>
      <c r="Y54" s="19"/>
      <c r="Z54" s="19"/>
    </row>
    <row r="55" ht="14.2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4.2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4.2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4.2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1:C21"/>
    <mergeCell ref="B36:C36"/>
    <mergeCell ref="B54:C54"/>
  </mergeCells>
  <hyperlinks>
    <hyperlink r:id="rId1" ref="G1"/>
    <hyperlink display="Back to LIST OF FUNCTIONS" location="'LIST OF FUNCTIONS'!A1" ref="B21"/>
    <hyperlink display="Back to LIST OF FUNCTIONS" location="'LIST OF FUNCTIONS'!A1" ref="B36"/>
    <hyperlink display="Back to LIST OF FUNCTIONS" location="'LIST OF FUNCTIONS'!A1" ref="B54"/>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13.57"/>
    <col customWidth="1" min="3" max="3" width="8.71"/>
    <col customWidth="1" min="4" max="6" width="6.14"/>
    <col customWidth="1" min="7" max="7" width="51.43"/>
    <col customWidth="1" min="8" max="8" width="11.86"/>
    <col customWidth="1" min="9" max="9" width="27.29"/>
    <col customWidth="1" min="10" max="26" width="8.71"/>
  </cols>
  <sheetData>
    <row r="1" ht="14.25" customHeight="1">
      <c r="G1" s="30" t="s">
        <v>1335</v>
      </c>
    </row>
    <row r="2" ht="14.25" customHeight="1">
      <c r="B2" s="48" t="s">
        <v>2032</v>
      </c>
      <c r="C2" s="49"/>
      <c r="D2" s="49"/>
      <c r="E2" s="49"/>
      <c r="F2" s="49"/>
      <c r="G2" s="49"/>
      <c r="H2" s="49"/>
      <c r="I2" s="51"/>
      <c r="J2" s="5"/>
    </row>
    <row r="3" ht="14.25" customHeight="1">
      <c r="B3" s="43" t="s">
        <v>2033</v>
      </c>
      <c r="C3" s="44"/>
      <c r="D3" s="44"/>
      <c r="E3" s="44"/>
      <c r="F3" s="44"/>
      <c r="G3" s="44"/>
      <c r="H3" s="44"/>
      <c r="I3" s="45"/>
      <c r="J3" s="5"/>
    </row>
    <row r="4" ht="14.25" customHeight="1"/>
    <row r="5" ht="14.25" customHeight="1">
      <c r="G5" s="40" t="s">
        <v>1447</v>
      </c>
      <c r="H5" s="40" t="s">
        <v>1342</v>
      </c>
      <c r="I5" s="40" t="s">
        <v>1343</v>
      </c>
    </row>
    <row r="6" ht="14.25" customHeight="1">
      <c r="G6" s="22" t="str">
        <f t="shared" ref="G6:G8" si="1">_xludf.FORMULATEXT(H6)</f>
        <v>#NAME?</v>
      </c>
      <c r="H6" s="22" t="b">
        <f>AND(TRUE, TRUE, TRUE)</f>
        <v>1</v>
      </c>
      <c r="I6" s="52" t="s">
        <v>2034</v>
      </c>
    </row>
    <row r="7" ht="14.25" customHeight="1">
      <c r="G7" s="22" t="str">
        <f t="shared" si="1"/>
        <v>#NAME?</v>
      </c>
      <c r="H7" s="22" t="b">
        <f>AND(TRUE, FALSE, TRUE, TRUE, TRUE, TRUE)</f>
        <v>0</v>
      </c>
      <c r="I7" s="52" t="s">
        <v>2035</v>
      </c>
    </row>
    <row r="8" ht="14.25" customHeight="1">
      <c r="G8" s="22" t="str">
        <f t="shared" si="1"/>
        <v>#NAME?</v>
      </c>
      <c r="H8" s="22" t="b">
        <f>AND(1+2 = 3, 3+4 = 7)</f>
        <v>1</v>
      </c>
      <c r="I8" s="52" t="s">
        <v>2034</v>
      </c>
    </row>
    <row r="9" ht="14.25" customHeight="1"/>
    <row r="10" ht="14.25" customHeight="1"/>
    <row r="11" ht="14.25" customHeight="1"/>
    <row r="12" ht="14.25" customHeight="1"/>
    <row r="13" ht="14.25" customHeight="1"/>
    <row r="14" ht="14.25" customHeight="1"/>
    <row r="15" ht="14.25" customHeight="1"/>
    <row r="16" ht="14.25" customHeight="1">
      <c r="B16" s="53" t="s">
        <v>1353</v>
      </c>
    </row>
    <row r="17" ht="14.25" customHeight="1"/>
    <row r="18" ht="14.25" customHeight="1">
      <c r="B18" s="48" t="s">
        <v>2036</v>
      </c>
      <c r="C18" s="49"/>
      <c r="D18" s="49"/>
      <c r="E18" s="49"/>
      <c r="F18" s="49"/>
      <c r="G18" s="49"/>
      <c r="H18" s="49"/>
      <c r="I18" s="51"/>
    </row>
    <row r="19" ht="14.25" customHeight="1">
      <c r="B19" s="43" t="s">
        <v>2037</v>
      </c>
      <c r="C19" s="44"/>
      <c r="D19" s="44"/>
      <c r="E19" s="44"/>
      <c r="F19" s="44"/>
      <c r="G19" s="44"/>
      <c r="H19" s="44"/>
      <c r="I19" s="45"/>
    </row>
    <row r="20" ht="14.25" customHeight="1"/>
    <row r="21" ht="14.25" customHeight="1">
      <c r="G21" s="40" t="s">
        <v>1447</v>
      </c>
      <c r="H21" s="40" t="s">
        <v>1342</v>
      </c>
      <c r="I21" s="40" t="s">
        <v>1343</v>
      </c>
    </row>
    <row r="22" ht="14.25" customHeight="1">
      <c r="G22" s="22" t="str">
        <f t="shared" ref="G22:G25" si="2">_xludf.FORMULATEXT(H22)</f>
        <v>#NAME?</v>
      </c>
      <c r="H22" s="22" t="b">
        <f>OR(TRUE)</f>
        <v>1</v>
      </c>
      <c r="I22" s="52" t="s">
        <v>2038</v>
      </c>
      <c r="J22" s="5"/>
    </row>
    <row r="23" ht="14.25" customHeight="1">
      <c r="G23" s="22" t="str">
        <f t="shared" si="2"/>
        <v>#NAME?</v>
      </c>
      <c r="H23" s="22" t="b">
        <f>OR(1+1=1,2+2=5)</f>
        <v>0</v>
      </c>
      <c r="I23" s="52" t="s">
        <v>2039</v>
      </c>
      <c r="J23" s="5"/>
    </row>
    <row r="24" ht="14.25" customHeight="1">
      <c r="G24" s="22" t="str">
        <f t="shared" si="2"/>
        <v>#NAME?</v>
      </c>
      <c r="H24" s="22" t="b">
        <f>OR(TRUE,FALSE,TRUE)</f>
        <v>1</v>
      </c>
      <c r="I24" s="52" t="s">
        <v>2040</v>
      </c>
      <c r="J24" s="5"/>
    </row>
    <row r="25" ht="14.25" customHeight="1">
      <c r="G25" s="22" t="str">
        <f t="shared" si="2"/>
        <v>#NAME?</v>
      </c>
      <c r="H25" s="22" t="str">
        <f>IF(OR(1+1=1,2+2=5,5+5=10),"Answer if true","Answer if false")</f>
        <v>Answer if true</v>
      </c>
      <c r="I25" s="22" t="s">
        <v>2041</v>
      </c>
      <c r="J25" s="5"/>
    </row>
    <row r="26" ht="14.25" customHeight="1"/>
    <row r="27" ht="14.25" customHeight="1"/>
    <row r="28" ht="14.25" customHeight="1"/>
    <row r="29" ht="14.25" customHeight="1"/>
    <row r="30" ht="14.25" customHeight="1"/>
    <row r="31" ht="14.25" customHeight="1"/>
    <row r="32" ht="14.25" customHeight="1"/>
    <row r="33" ht="14.25" customHeight="1">
      <c r="B33" s="53" t="s">
        <v>1353</v>
      </c>
    </row>
    <row r="34" ht="14.25" customHeight="1"/>
    <row r="35" ht="14.25" customHeight="1">
      <c r="B35" s="48" t="s">
        <v>2042</v>
      </c>
      <c r="C35" s="49"/>
      <c r="D35" s="49"/>
      <c r="E35" s="49"/>
      <c r="F35" s="49"/>
      <c r="G35" s="49"/>
      <c r="H35" s="49"/>
      <c r="I35" s="51"/>
    </row>
    <row r="36" ht="14.25" customHeight="1">
      <c r="B36" s="43" t="s">
        <v>2043</v>
      </c>
      <c r="C36" s="44"/>
      <c r="D36" s="44"/>
      <c r="E36" s="44"/>
      <c r="F36" s="44"/>
      <c r="G36" s="44"/>
      <c r="H36" s="44"/>
      <c r="I36" s="45"/>
    </row>
    <row r="37" ht="14.25" customHeight="1"/>
    <row r="38" ht="14.25" customHeight="1">
      <c r="G38" s="40" t="s">
        <v>1447</v>
      </c>
      <c r="H38" s="40" t="s">
        <v>1342</v>
      </c>
      <c r="I38" s="40" t="s">
        <v>1343</v>
      </c>
    </row>
    <row r="39" ht="14.25" customHeight="1">
      <c r="G39" s="22" t="str">
        <f t="shared" ref="G39:G41" si="3">_xludf.FORMULATEXT(H39)</f>
        <v>#NAME?</v>
      </c>
      <c r="H39" s="22" t="b">
        <f>NOT(FALSE)</f>
        <v>1</v>
      </c>
      <c r="I39" s="52" t="s">
        <v>2044</v>
      </c>
    </row>
    <row r="40" ht="14.25" customHeight="1">
      <c r="G40" s="22" t="str">
        <f t="shared" si="3"/>
        <v>#NAME?</v>
      </c>
      <c r="H40" s="22" t="b">
        <f>NOT(TRUE)</f>
        <v>0</v>
      </c>
      <c r="I40" s="52" t="s">
        <v>2045</v>
      </c>
    </row>
    <row r="41" ht="14.25" customHeight="1">
      <c r="B41" s="53" t="s">
        <v>1353</v>
      </c>
      <c r="G41" s="22" t="str">
        <f t="shared" si="3"/>
        <v>#NAME?</v>
      </c>
      <c r="H41" s="22" t="b">
        <f>NOT(1+1 = 5)</f>
        <v>1</v>
      </c>
      <c r="I41" s="52" t="s">
        <v>2044</v>
      </c>
    </row>
    <row r="42" ht="14.25" customHeight="1"/>
    <row r="43" ht="14.25" customHeight="1">
      <c r="B43" s="48" t="s">
        <v>2046</v>
      </c>
      <c r="C43" s="49"/>
      <c r="D43" s="49"/>
      <c r="E43" s="49"/>
      <c r="F43" s="49"/>
      <c r="G43" s="49"/>
      <c r="H43" s="49"/>
      <c r="I43" s="51"/>
    </row>
    <row r="44" ht="14.25" customHeight="1">
      <c r="B44" s="43" t="s">
        <v>2047</v>
      </c>
      <c r="C44" s="44"/>
      <c r="D44" s="44"/>
      <c r="E44" s="44"/>
      <c r="F44" s="44"/>
      <c r="G44" s="44"/>
      <c r="H44" s="44"/>
      <c r="I44" s="45"/>
    </row>
    <row r="45" ht="14.25" customHeight="1"/>
    <row r="46" ht="14.25" customHeight="1">
      <c r="G46" s="40" t="s">
        <v>1447</v>
      </c>
      <c r="H46" s="40" t="s">
        <v>1342</v>
      </c>
      <c r="I46" s="40" t="s">
        <v>1343</v>
      </c>
    </row>
    <row r="47" ht="14.25" customHeight="1">
      <c r="G47" s="22" t="str">
        <f t="shared" ref="G47:G48" si="4">_xludf.FORMULATEXT(H47)</f>
        <v>#NAME?</v>
      </c>
      <c r="H47" s="22" t="str">
        <f>_xludf.XOR(3&gt;0,2&lt;9)</f>
        <v>#NAME?</v>
      </c>
      <c r="I47" s="52" t="s">
        <v>2048</v>
      </c>
    </row>
    <row r="48" ht="14.25" customHeight="1">
      <c r="G48" s="22" t="str">
        <f t="shared" si="4"/>
        <v>#NAME?</v>
      </c>
      <c r="H48" s="22" t="str">
        <f>_xludf.XOR(3&gt;12,4&gt;6)</f>
        <v>#NAME?</v>
      </c>
      <c r="I48" s="52" t="s">
        <v>2049</v>
      </c>
    </row>
    <row r="49" ht="14.25" customHeight="1">
      <c r="H49" s="5"/>
    </row>
    <row r="50" ht="14.25" customHeight="1"/>
    <row r="51" ht="14.25" customHeight="1">
      <c r="H51" s="5"/>
    </row>
    <row r="52" ht="14.25" customHeight="1">
      <c r="H52" s="5"/>
    </row>
    <row r="53" ht="14.25" customHeight="1"/>
    <row r="54" ht="14.25" customHeight="1"/>
    <row r="55" ht="14.25" customHeight="1"/>
    <row r="56" ht="14.25" customHeight="1"/>
    <row r="57" ht="14.25" customHeight="1">
      <c r="B57" s="53" t="s">
        <v>1353</v>
      </c>
    </row>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16:C16"/>
    <mergeCell ref="B33:C33"/>
    <mergeCell ref="B41:C41"/>
    <mergeCell ref="B57:C57"/>
  </mergeCells>
  <hyperlinks>
    <hyperlink r:id="rId1" ref="G1"/>
    <hyperlink display="Back to LIST OF FUNCTIONS" location="'LIST OF FUNCTIONS'!A1" ref="B16"/>
    <hyperlink display="Back to LIST OF FUNCTIONS" location="'LIST OF FUNCTIONS'!A1" ref="B33"/>
    <hyperlink display="Back to LIST OF FUNCTIONS" location="'LIST OF FUNCTIONS'!A1" ref="B41"/>
    <hyperlink display="Back to LIST OF FUNCTIONS" location="'LIST OF FUNCTIONS'!A1" ref="B5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