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MachineLearning/04 - DecisionTrees/"/>
    </mc:Choice>
  </mc:AlternateContent>
  <xr:revisionPtr revIDLastSave="0" documentId="8_{C093CA40-D8AA-DA40-B2F3-C577F6FFC399}" xr6:coauthVersionLast="47" xr6:coauthVersionMax="47" xr10:uidLastSave="{00000000-0000-0000-0000-000000000000}"/>
  <bookViews>
    <workbookView xWindow="5000" yWindow="680" windowWidth="39500" windowHeight="20340" activeTab="3" xr2:uid="{556A7384-D044-9641-B2C3-2207606EFCB5}"/>
  </bookViews>
  <sheets>
    <sheet name="Introdução" sheetId="7" r:id="rId1"/>
    <sheet name="Sheet3" sheetId="12" r:id="rId2"/>
    <sheet name="Sheet4" sheetId="13" r:id="rId3"/>
    <sheet name="ïndice de Gini" sheetId="1" r:id="rId4"/>
    <sheet name="Planilha2" sheetId="9" r:id="rId5"/>
    <sheet name="Planilha1" sheetId="8" r:id="rId6"/>
    <sheet name="Sheet1" sheetId="10" r:id="rId7"/>
    <sheet name="Sheet2" sheetId="11" r:id="rId8"/>
    <sheet name="Sheet5" sheetId="14" r:id="rId9"/>
    <sheet name="Sheet6" sheetId="15" r:id="rId10"/>
    <sheet name="Sheet7" sheetId="16" r:id="rId11"/>
    <sheet name="Árvore Regressão" sheetId="2" r:id="rId12"/>
    <sheet name="Split" sheetId="6" r:id="rId13"/>
  </sheets>
  <definedNames>
    <definedName name="_xlnm._FilterDatabase" localSheetId="11" hidden="1">'Árvore Regressão'!$A$1:$C$18</definedName>
  </definedNames>
  <calcPr calcId="191029" iterate="1" concurrentCalc="0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J26" i="7"/>
  <c r="C18" i="2"/>
  <c r="C17" i="2"/>
  <c r="F16" i="2"/>
  <c r="E2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A16" i="2"/>
  <c r="D4" i="16"/>
  <c r="D5" i="16"/>
  <c r="B2" i="16"/>
  <c r="A9" i="16"/>
  <c r="A11" i="15"/>
  <c r="B2" i="15"/>
  <c r="D6" i="15"/>
  <c r="D5" i="15"/>
  <c r="D4" i="15"/>
  <c r="C15" i="2"/>
  <c r="G3" i="2"/>
  <c r="C50" i="2"/>
  <c r="C49" i="2"/>
  <c r="C37" i="2"/>
  <c r="C36" i="2"/>
  <c r="B25" i="2"/>
  <c r="G27" i="2"/>
  <c r="G24" i="2"/>
  <c r="C23" i="2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D22" i="6"/>
  <c r="D18" i="6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K40" i="1"/>
  <c r="I32" i="1"/>
  <c r="I27" i="1"/>
  <c r="I30" i="1"/>
  <c r="I29" i="1"/>
  <c r="D35" i="1"/>
  <c r="B36" i="1"/>
  <c r="B35" i="1"/>
  <c r="D30" i="1"/>
  <c r="B31" i="1"/>
  <c r="B30" i="1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J8" i="2"/>
  <c r="J6" i="2"/>
  <c r="V30" i="1"/>
  <c r="G11" i="2"/>
  <c r="G14" i="2"/>
</calcChain>
</file>

<file path=xl/sharedStrings.xml><?xml version="1.0" encoding="utf-8"?>
<sst xmlns="http://schemas.openxmlformats.org/spreadsheetml/2006/main" count="482" uniqueCount="155">
  <si>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</si>
  <si>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</si>
  <si>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</si>
  <si>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</si>
  <si>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</si>
  <si>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</si>
  <si>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</si>
  <si>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</si>
  <si>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</si>
  <si>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</si>
  <si>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</si>
  <si>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</si>
  <si>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</si>
  <si>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</si>
  <si>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</si>
  <si>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</si>
  <si>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</si>
  <si>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</si>
  <si>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</si>
  <si>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</si>
  <si>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</si>
  <si>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</si>
  <si>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Sim</t>
  </si>
  <si>
    <t>Não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</si>
  <si>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</si>
  <si>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</si>
  <si>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</si>
  <si>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</si>
  <si>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</si>
  <si>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</si>
  <si>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</si>
  <si>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</si>
  <si>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</si>
  <si>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</si>
  <si>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</si>
  <si>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</si>
  <si>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</si>
  <si>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</si>
  <si>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</si>
  <si>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</si>
  <si>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</si>
  <si>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</si>
  <si>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</si>
  <si>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</si>
  <si>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</si>
  <si>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</si>
  <si>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</si>
  <si>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 xml:space="preserve">Gini 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</si>
  <si>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</si>
  <si>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</si>
  <si>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</si>
  <si>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</si>
  <si>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</si>
  <si>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</si>
  <si>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</si>
  <si>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</si>
  <si>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</si>
  <si>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</si>
  <si>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</si>
  <si>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</si>
  <si>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</si>
  <si>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</si>
  <si>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</si>
  <si>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</si>
  <si>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</si>
  <si>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</si>
  <si>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</si>
  <si>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</si>
  <si>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</si>
  <si>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</si>
  <si>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</si>
  <si>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</si>
  <si>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</si>
  <si>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</si>
  <si>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</si>
  <si>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</si>
  <si>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</si>
  <si>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MSE</t>
  </si>
  <si>
    <t>Mean Squared Error</t>
  </si>
  <si>
    <t>Row Labels</t>
  </si>
  <si>
    <t>Grand Total</t>
  </si>
  <si>
    <t>StdDevp of Vendas</t>
  </si>
  <si>
    <t>Count of Vendas</t>
  </si>
  <si>
    <t>Average of Vendas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</si>
  <si>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</si>
  <si>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</si>
  <si>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</si>
  <si>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</si>
  <si>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</si>
  <si>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</si>
  <si>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</si>
  <si>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</si>
  <si>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</si>
  <si>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</si>
  <si>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</si>
  <si>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</si>
  <si>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</si>
  <si>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</si>
  <si>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</si>
  <si>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</si>
  <si>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</si>
  <si>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</si>
  <si>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</si>
  <si>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</si>
  <si>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</si>
  <si>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</si>
  <si>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</si>
  <si>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</si>
  <si>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</si>
  <si>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</si>
  <si>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</si>
  <si>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</si>
  <si>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</si>
  <si>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</si>
  <si>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</si>
  <si>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</si>
  <si>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</si>
  <si>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</si>
  <si>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</si>
  <si>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</si>
  <si>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</si>
  <si>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</si>
  <si>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</si>
  <si>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</si>
  <si>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</si>
  <si>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</si>
  <si>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Grau de Dispersão das Vendas</t>
  </si>
  <si>
    <t xml:space="preserve">ameno </t>
  </si>
  <si>
    <t>Quanto o Desvio-Padrão diminuiu</t>
  </si>
  <si>
    <t>Previsão</t>
  </si>
  <si>
    <t>95% das Vendas podem ser explicadas por</t>
  </si>
  <si>
    <t>Temperatura e Domingo</t>
  </si>
  <si>
    <t>Vendas de Sorvete em João Pessoa - PB</t>
  </si>
  <si>
    <t>Porcentagem</t>
  </si>
  <si>
    <t>Temperatura</t>
  </si>
  <si>
    <t>Ganho de informação = Ganho de preditivo da Temperatura nas Vendas</t>
  </si>
  <si>
    <t>Desvio Global - Desvio da Temperatura</t>
  </si>
  <si>
    <t xml:space="preserve">Count of Temperatura </t>
  </si>
  <si>
    <t>Domigo</t>
  </si>
  <si>
    <t>Erro Quadrático</t>
  </si>
  <si>
    <t>RMSE</t>
  </si>
  <si>
    <t>Quanto menor o erro, maior o poder preditivo do modelo</t>
  </si>
  <si>
    <t>Regressão</t>
  </si>
  <si>
    <t>Classificação</t>
  </si>
  <si>
    <t>Numérica</t>
  </si>
  <si>
    <t>Dummy (0 ou 1)</t>
  </si>
  <si>
    <t>Bom e Mau Pagador</t>
  </si>
  <si>
    <t>Decision tree</t>
  </si>
  <si>
    <t>Parâmetro</t>
  </si>
  <si>
    <t>R2, RMSE</t>
  </si>
  <si>
    <t xml:space="preserve">Taxa de Acerto </t>
  </si>
  <si>
    <t>VarB</t>
  </si>
  <si>
    <t>VaR B &lt; 21</t>
  </si>
  <si>
    <t>VaR B &gt;=21</t>
  </si>
  <si>
    <t>Gini(VaR B 21)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</si>
</sst>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0" fontId="0" fillId="0" borderId="0" xfId="0" applyAlignment="1">
      <alignment horizontal="left" indent="1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165" fontId="0" fillId="0" borderId="0" xfId="2" applyNumberFormat="1" applyFont="1"/>
    <xf numFmtId="0" fontId="1" fillId="4" borderId="0" xfId="0" applyFont="1" applyFill="1"/>
    <xf numFmtId="0" fontId="4" fillId="0" borderId="0" xfId="0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46841</xdr:colOff>
      <xdr:row>0</xdr:row>
      <xdr:rowOff>50799</xdr:rowOff>
    </xdr:from>
    <xdr:to>
      <xdr:col>19</xdr:col>
      <xdr:colOff>389467</xdr:colOff>
      <xdr:row>22</xdr:row>
      <xdr:rowOff>217169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38C78-B197-BE46-9311-32B8559B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05308" y="50799"/>
          <a:ext cx="6718026" cy="7498503"/>
        </a:xfrm>
        <a:prstGeom prst="rect">
          <a:avLst/>
        </a:prstGeom>
      </xdr:spPr>
    </xdr:pic>
    <xdr:clientData/>
  </xdr:twoCellAnchor>
  <xdr:twoCellAnchor editAs="oneCell">
    <xdr:from>
      <xdr:col>11</xdr:col>
      <xdr:colOff>745067</xdr:colOff>
      <xdr:row>17</xdr:row>
      <xdr:rowOff>101600</xdr:rowOff>
    </xdr:from>
    <xdr:to>
      <xdr:col>16</xdr:col>
      <xdr:colOff>1574800</xdr:colOff>
      <xdr:row>25</xdr:row>
      <xdr:rowOff>24794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8C6A-53E2-A358-81EE-84D2E020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7067" y="5782733"/>
          <a:ext cx="7772400" cy="256479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 count="2">
        <s v="sim"/>
        <s v="não"/>
      </sharedItems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307.518132523146" createdVersion="8" refreshedVersion="8" minRefreshableVersion="3" recordCount="13" xr:uid="{5C6E3FB8-F2D7-A44B-8667-6454B2856F10}">
  <cacheSource type="worksheet">
    <worksheetSource ref="A1:D14" sheet="Árvore Regressão"/>
  </cacheSource>
  <cacheFields count="4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 count="13">
        <n v="286"/>
        <n v="147"/>
        <n v="169"/>
        <n v="172"/>
        <n v="176"/>
        <n v="253"/>
        <n v="238"/>
        <n v="151"/>
        <n v="168"/>
        <n v="264"/>
        <n v="207"/>
        <n v="309"/>
        <n v="245"/>
      </sharedItems>
    </cacheField>
    <cacheField name="Vendas Previstas" numFmtId="0">
      <sharedItems containsSemiMixedTypes="0" containsString="0" containsNumber="1" minValue="149" maxValue="2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86"/>
  </r>
  <r>
    <x v="1"/>
    <x v="1"/>
    <n v="147"/>
  </r>
  <r>
    <x v="2"/>
    <x v="1"/>
    <n v="169"/>
  </r>
  <r>
    <x v="1"/>
    <x v="0"/>
    <n v="172"/>
  </r>
  <r>
    <x v="2"/>
    <x v="1"/>
    <n v="176"/>
  </r>
  <r>
    <x v="0"/>
    <x v="1"/>
    <n v="253"/>
  </r>
  <r>
    <x v="0"/>
    <x v="1"/>
    <n v="238"/>
  </r>
  <r>
    <x v="1"/>
    <x v="1"/>
    <n v="151"/>
  </r>
  <r>
    <x v="1"/>
    <x v="0"/>
    <n v="168"/>
  </r>
  <r>
    <x v="0"/>
    <x v="1"/>
    <n v="264"/>
  </r>
  <r>
    <x v="2"/>
    <x v="0"/>
    <n v="207"/>
  </r>
  <r>
    <x v="0"/>
    <x v="0"/>
    <n v="309"/>
  </r>
  <r>
    <x v="0"/>
    <x v="1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x v="0"/>
    <n v="297.5"/>
  </r>
  <r>
    <x v="1"/>
    <s v="não"/>
    <x v="1"/>
    <n v="149"/>
  </r>
  <r>
    <x v="2"/>
    <s v="não"/>
    <x v="2"/>
    <n v="184"/>
  </r>
  <r>
    <x v="1"/>
    <s v="sim"/>
    <x v="3"/>
    <n v="170"/>
  </r>
  <r>
    <x v="2"/>
    <s v="não"/>
    <x v="4"/>
    <n v="184"/>
  </r>
  <r>
    <x v="0"/>
    <s v="não"/>
    <x v="5"/>
    <n v="250"/>
  </r>
  <r>
    <x v="0"/>
    <s v="não"/>
    <x v="6"/>
    <n v="250"/>
  </r>
  <r>
    <x v="1"/>
    <s v="não"/>
    <x v="7"/>
    <n v="149"/>
  </r>
  <r>
    <x v="1"/>
    <s v="sim"/>
    <x v="8"/>
    <n v="170"/>
  </r>
  <r>
    <x v="0"/>
    <s v="não"/>
    <x v="9"/>
    <n v="250"/>
  </r>
  <r>
    <x v="2"/>
    <s v="sim"/>
    <x v="10"/>
    <n v="184"/>
  </r>
  <r>
    <x v="0"/>
    <s v="sim"/>
    <x v="11"/>
    <n v="297.5"/>
  </r>
  <r>
    <x v="0"/>
    <s v="não"/>
    <x v="12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FF2-D3EE-3F4B-9A19-2BED6F1DF7F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14">
        <item x="1"/>
        <item x="7"/>
        <item x="8"/>
        <item x="2"/>
        <item x="3"/>
        <item x="4"/>
        <item x="10"/>
        <item x="6"/>
        <item x="12"/>
        <item x="5"/>
        <item x="9"/>
        <item x="0"/>
        <item x="1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86D36-505B-AD49-975D-7D6185C6BF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79DE7-A833-3644-BA29-2FC87E8226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3">
    <pivotField axis="axisRow" showAll="0">
      <items count="4">
        <item h="1" sd="0" x="2"/>
        <item h="1"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4"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p of Vendas" fld="2" subtotal="stdDevp" baseField="0" baseItem="0"/>
    <dataField name="Count of Vendas" fld="2" subtotal="count" baseField="0" baseItem="0"/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CF2A4-48B9-A645-A91F-ABF3783E6E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8C07-45E6-844C-8193-6D7E821909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Temperatura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J5:N26"/>
  <sheetViews>
    <sheetView topLeftCell="A5" zoomScale="120" zoomScaleNormal="120" workbookViewId="0">
      <selection activeCell="J27" sqref="J27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/>
      <c r="M5" s="22"/>
    </row>
    <row r="6" spans="12:14" ht="31" x14ac:dyDescent="0.35">
      <c r="L6" s="22"/>
      <c r="M6" s="22"/>
    </row>
    <row r="8" spans="12:14" ht="31" x14ac:dyDescent="0.35">
      <c r="L8" s="22"/>
      <c r="M8" s="22"/>
    </row>
    <row r="12" spans="12:14" ht="34" x14ac:dyDescent="0.4">
      <c r="L12" s="23"/>
    </row>
    <row r="13" spans="12:14" ht="29" x14ac:dyDescent="0.35">
      <c r="L13" s="8"/>
      <c r="M13" s="8"/>
      <c r="N13" s="24"/>
    </row>
    <row r="14" spans="12:14" ht="31" x14ac:dyDescent="0.35">
      <c r="L14" s="8"/>
      <c r="M14" s="24"/>
      <c r="N14" s="22"/>
    </row>
    <row r="15" spans="12:14" ht="31" x14ac:dyDescent="0.35">
      <c r="L15" s="8"/>
      <c r="M15" s="22"/>
      <c r="N15" s="22"/>
    </row>
    <row r="17" spans="10:14" ht="31" x14ac:dyDescent="0.35">
      <c r="M17" s="24"/>
      <c r="N17" s="22"/>
    </row>
    <row r="26" spans="10:14" x14ac:dyDescent="0.2">
      <c r="J26">
        <f>1 - (0.8^2 + 0.2^2)</f>
        <v>0.31999999999999984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048D-0E87-8C45-BEDE-0E3FCBB60FBD}">
  <dimension ref="A2:D11"/>
  <sheetViews>
    <sheetView zoomScale="210" zoomScaleNormal="210" workbookViewId="0">
      <selection activeCell="A2" sqref="A2:F1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</cols>
  <sheetData>
    <row r="2" spans="1:4" x14ac:dyDescent="0.2">
      <c r="A2" t="s">
        <v>134</v>
      </c>
      <c r="B2">
        <f>GETPIVOTDATA("StdDevp of Vendas",$A$3,"Temperatura ","ameno")*D4+GETPIVOTDATA("StdDevp of Vendas",$A$3,"Temperatura ","frio")*D5+GETPIVOTDATA("StdDevp of Vendas",$A$3,"Temperatura ","quente")*D6</f>
        <v>18.478096757521495</v>
      </c>
    </row>
    <row r="3" spans="1:4" x14ac:dyDescent="0.2">
      <c r="A3" s="29" t="s">
        <v>79</v>
      </c>
      <c r="B3" t="s">
        <v>81</v>
      </c>
      <c r="C3" t="s">
        <v>82</v>
      </c>
      <c r="D3" t="s">
        <v>133</v>
      </c>
    </row>
    <row r="4" spans="1:4" x14ac:dyDescent="0.2">
      <c r="A4" s="11" t="s">
        <v>15</v>
      </c>
      <c r="B4">
        <v>16.512621435334449</v>
      </c>
      <c r="C4">
        <v>3</v>
      </c>
      <c r="D4" s="60">
        <f>GETPIVOTDATA("Count of Vendas",$A$3,"Temperatura ","ameno")/GETPIVOTDATA("Count of Vendas",$A$3)</f>
        <v>0.23076923076923078</v>
      </c>
    </row>
    <row r="5" spans="1:4" x14ac:dyDescent="0.2">
      <c r="A5" s="11" t="s">
        <v>14</v>
      </c>
      <c r="B5">
        <v>10.688779163215974</v>
      </c>
      <c r="C5">
        <v>4</v>
      </c>
      <c r="D5" s="60">
        <f>GETPIVOTDATA("Count of Vendas",$A$3,"Temperatura ","frio")/GETPIVOTDATA("Count of Vendas",$A$3)</f>
        <v>0.30769230769230771</v>
      </c>
    </row>
    <row r="6" spans="1:4" x14ac:dyDescent="0.2">
      <c r="A6" s="11" t="s">
        <v>13</v>
      </c>
      <c r="B6">
        <v>24.653712814818697</v>
      </c>
      <c r="C6">
        <v>6</v>
      </c>
      <c r="D6" s="60">
        <f>GETPIVOTDATA("Count of Vendas",$A$3,"Temperatura ","quente")/GETPIVOTDATA("Count of Vendas",$A$3)</f>
        <v>0.46153846153846156</v>
      </c>
    </row>
    <row r="7" spans="1:4" x14ac:dyDescent="0.2">
      <c r="A7" s="11" t="s">
        <v>80</v>
      </c>
      <c r="B7">
        <v>52.346704908646345</v>
      </c>
      <c r="C7">
        <v>13</v>
      </c>
    </row>
    <row r="9" spans="1:4" x14ac:dyDescent="0.2">
      <c r="A9" s="11" t="s">
        <v>135</v>
      </c>
    </row>
    <row r="10" spans="1:4" x14ac:dyDescent="0.2">
      <c r="A10" s="11" t="s">
        <v>136</v>
      </c>
    </row>
    <row r="11" spans="1:4" x14ac:dyDescent="0.2">
      <c r="A11" s="61">
        <f>GETPIVOTDATA("StdDevp of Vendas",$A$3)-B2</f>
        <v>33.868608151124846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C5B7-834F-394D-AF5F-37525B75B5DA}">
  <dimension ref="A2:I11"/>
  <sheetViews>
    <sheetView zoomScale="190" zoomScaleNormal="190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9.83203125" bestFit="1" customWidth="1"/>
  </cols>
  <sheetData>
    <row r="2" spans="1:9" x14ac:dyDescent="0.2">
      <c r="A2" t="s">
        <v>138</v>
      </c>
      <c r="B2">
        <f>GETPIVOTDATA("StdDevp of Vendas",$A$3,"Domingo","não")*D4+GETPIVOTDATA("StdDevp of Vendas",$A$3,"Domingo","sim")*D5</f>
        <v>50.76918878331557</v>
      </c>
      <c r="F2" t="s">
        <v>134</v>
      </c>
      <c r="G2">
        <v>18.478096757521495</v>
      </c>
    </row>
    <row r="3" spans="1:9" x14ac:dyDescent="0.2">
      <c r="A3" s="29" t="s">
        <v>79</v>
      </c>
      <c r="B3" t="s">
        <v>81</v>
      </c>
      <c r="C3" t="s">
        <v>137</v>
      </c>
      <c r="F3" t="s">
        <v>79</v>
      </c>
      <c r="G3" t="s">
        <v>81</v>
      </c>
      <c r="H3" t="s">
        <v>82</v>
      </c>
      <c r="I3" t="s">
        <v>133</v>
      </c>
    </row>
    <row r="4" spans="1:9" x14ac:dyDescent="0.2">
      <c r="A4" s="11" t="s">
        <v>18</v>
      </c>
      <c r="B4">
        <v>45.948170529412813</v>
      </c>
      <c r="C4">
        <v>8</v>
      </c>
      <c r="D4">
        <f>GETPIVOTDATA("Count of Temperatura ",$A$3,"Domingo","não")/GETPIVOTDATA("Count of Temperatura ",$A$3)</f>
        <v>0.61538461538461542</v>
      </c>
      <c r="F4" t="s">
        <v>15</v>
      </c>
      <c r="G4">
        <v>16.512621435334449</v>
      </c>
      <c r="H4">
        <v>3</v>
      </c>
      <c r="I4">
        <v>0.23076923076923078</v>
      </c>
    </row>
    <row r="5" spans="1:9" x14ac:dyDescent="0.2">
      <c r="A5" s="11" t="s">
        <v>17</v>
      </c>
      <c r="B5">
        <v>58.482817989559976</v>
      </c>
      <c r="C5">
        <v>5</v>
      </c>
      <c r="D5">
        <f>GETPIVOTDATA("Count of Temperatura ",$A$3,"Domingo","sim")/GETPIVOTDATA("Count of Temperatura ",$A$3)</f>
        <v>0.38461538461538464</v>
      </c>
      <c r="F5" t="s">
        <v>14</v>
      </c>
      <c r="G5">
        <v>10.688779163215974</v>
      </c>
      <c r="H5">
        <v>4</v>
      </c>
      <c r="I5">
        <v>0.30769230769230771</v>
      </c>
    </row>
    <row r="6" spans="1:9" x14ac:dyDescent="0.2">
      <c r="A6" s="11" t="s">
        <v>80</v>
      </c>
      <c r="B6">
        <v>52.346704908646345</v>
      </c>
      <c r="C6">
        <v>13</v>
      </c>
      <c r="F6" t="s">
        <v>13</v>
      </c>
      <c r="G6">
        <v>24.653712814818697</v>
      </c>
      <c r="H6">
        <v>6</v>
      </c>
      <c r="I6">
        <v>0.46153846153846156</v>
      </c>
    </row>
    <row r="7" spans="1:9" x14ac:dyDescent="0.2">
      <c r="F7" t="s">
        <v>80</v>
      </c>
      <c r="G7">
        <v>52.346704908646345</v>
      </c>
      <c r="H7">
        <v>13</v>
      </c>
    </row>
    <row r="8" spans="1:9" x14ac:dyDescent="0.2">
      <c r="A8" s="11" t="s">
        <v>71</v>
      </c>
    </row>
    <row r="9" spans="1:9" x14ac:dyDescent="0.2">
      <c r="A9" s="61">
        <f>GETPIVOTDATA("StdDevp of Vendas",$A$3)-B2</f>
        <v>1.5775161253307743</v>
      </c>
      <c r="F9" t="s">
        <v>135</v>
      </c>
    </row>
    <row r="10" spans="1:9" x14ac:dyDescent="0.2">
      <c r="F10" t="s">
        <v>136</v>
      </c>
    </row>
    <row r="11" spans="1:9" x14ac:dyDescent="0.2">
      <c r="F11" s="61">
        <v>33.868608151124846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E50"/>
  <sheetViews>
    <sheetView zoomScale="150" zoomScaleNormal="150" workbookViewId="0">
      <selection activeCell="B18" sqref="B18:C18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customWidth="1"/>
    <col min="5" max="5" width="25.1640625" style="8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1" width="20.33203125" style="8" customWidth="1"/>
    <col min="12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24" style="8" bestFit="1" customWidth="1"/>
    <col min="28" max="16384" width="10.83203125" style="8"/>
  </cols>
  <sheetData>
    <row r="1" spans="1:31" x14ac:dyDescent="0.3">
      <c r="A1" s="10" t="s">
        <v>12</v>
      </c>
      <c r="B1" s="10" t="s">
        <v>16</v>
      </c>
      <c r="C1" s="10" t="s">
        <v>19</v>
      </c>
      <c r="D1" s="10" t="s">
        <v>73</v>
      </c>
      <c r="E1" s="10" t="s">
        <v>139</v>
      </c>
      <c r="G1" s="8" t="s">
        <v>68</v>
      </c>
      <c r="I1" s="8" t="s">
        <v>132</v>
      </c>
    </row>
    <row r="2" spans="1:31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(C2-D2)^2</f>
        <v>132.25</v>
      </c>
      <c r="G2" s="8" t="s">
        <v>48</v>
      </c>
      <c r="M2" s="12" t="s">
        <v>52</v>
      </c>
    </row>
    <row r="3" spans="1:31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(C3-D3)^2</f>
        <v>4</v>
      </c>
      <c r="G3" s="8">
        <f>_xlfn.STDEV.P(C2:C14)</f>
        <v>52.346704908646345</v>
      </c>
      <c r="H3" s="8" t="s">
        <v>126</v>
      </c>
      <c r="L3" s="27" t="s">
        <v>49</v>
      </c>
      <c r="M3" s="12">
        <v>13</v>
      </c>
      <c r="X3" s="8" t="s">
        <v>19</v>
      </c>
    </row>
    <row r="4" spans="1:31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50</v>
      </c>
      <c r="M4" s="12">
        <v>14</v>
      </c>
      <c r="X4" s="8">
        <v>184</v>
      </c>
      <c r="Z4" s="8" t="s">
        <v>147</v>
      </c>
    </row>
    <row r="5" spans="1:31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60</v>
      </c>
      <c r="H5" s="12" t="s">
        <v>54</v>
      </c>
      <c r="I5" s="12" t="s">
        <v>64</v>
      </c>
      <c r="J5" s="12" t="s">
        <v>66</v>
      </c>
      <c r="K5" s="12"/>
      <c r="L5" s="27" t="s">
        <v>51</v>
      </c>
      <c r="M5" s="12">
        <v>15</v>
      </c>
      <c r="N5" s="12"/>
      <c r="X5"/>
      <c r="Y5"/>
      <c r="Z5"/>
      <c r="AA5" s="8" t="s">
        <v>113</v>
      </c>
      <c r="AE5" s="8" t="s">
        <v>148</v>
      </c>
    </row>
    <row r="6" spans="1:31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X6"/>
      <c r="Y6" s="62">
        <v>1</v>
      </c>
      <c r="Z6" s="62" t="s">
        <v>142</v>
      </c>
      <c r="AA6" s="8" t="s">
        <v>144</v>
      </c>
      <c r="AB6" s="8" t="s">
        <v>19</v>
      </c>
      <c r="AE6" s="8" t="s">
        <v>149</v>
      </c>
    </row>
    <row r="7" spans="1:31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53</v>
      </c>
      <c r="M7" s="12">
        <f>AVERAGE(M3:M5)</f>
        <v>14</v>
      </c>
      <c r="N7" s="8" t="s">
        <v>55</v>
      </c>
      <c r="O7" s="12"/>
      <c r="X7"/>
      <c r="Y7" s="62">
        <v>2</v>
      </c>
      <c r="Z7" s="62" t="s">
        <v>143</v>
      </c>
      <c r="AA7" s="8" t="s">
        <v>145</v>
      </c>
      <c r="AB7" s="8" t="s">
        <v>146</v>
      </c>
      <c r="AE7" s="8" t="s">
        <v>150</v>
      </c>
    </row>
    <row r="8" spans="1:31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56" t="s">
        <v>15</v>
      </c>
      <c r="H8" s="56">
        <v>16.510000000000002</v>
      </c>
      <c r="I8" s="57">
        <v>3</v>
      </c>
      <c r="J8" s="12">
        <f t="shared" si="1"/>
        <v>0.23076923076923078</v>
      </c>
      <c r="K8" s="12"/>
      <c r="L8" s="8" t="s">
        <v>54</v>
      </c>
      <c r="M8" s="12">
        <f>_xlfn.STDEV.S(M3:M5)</f>
        <v>1</v>
      </c>
      <c r="X8"/>
      <c r="Y8"/>
      <c r="Z8"/>
    </row>
    <row r="9" spans="1:31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67</v>
      </c>
      <c r="H9" s="8" t="s">
        <v>65</v>
      </c>
      <c r="I9" s="12">
        <f>SUM(I6:I8)</f>
        <v>13</v>
      </c>
      <c r="X9"/>
      <c r="Y9"/>
      <c r="Z9"/>
    </row>
    <row r="10" spans="1:31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67</v>
      </c>
      <c r="L10" s="27" t="s">
        <v>56</v>
      </c>
      <c r="M10" s="12">
        <v>6</v>
      </c>
      <c r="X10"/>
      <c r="Y10"/>
      <c r="Z10"/>
    </row>
    <row r="11" spans="1:31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57</v>
      </c>
      <c r="M11" s="28" t="s">
        <v>58</v>
      </c>
      <c r="X11"/>
      <c r="Y11"/>
      <c r="Z11"/>
    </row>
    <row r="12" spans="1:31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  <c r="X12"/>
      <c r="Y12"/>
      <c r="Z12"/>
    </row>
    <row r="13" spans="1:31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69</v>
      </c>
      <c r="H13"/>
      <c r="I13"/>
      <c r="J13" s="58" t="s">
        <v>128</v>
      </c>
      <c r="K13"/>
      <c r="L13" s="8" t="s">
        <v>53</v>
      </c>
      <c r="M13" s="12">
        <f>(M11+M10)/2</f>
        <v>15</v>
      </c>
      <c r="N13" s="8" t="s">
        <v>59</v>
      </c>
      <c r="X13"/>
      <c r="Y13"/>
      <c r="Z13"/>
    </row>
    <row r="14" spans="1:31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>
        <f>G3-G11</f>
        <v>33.879781831723264</v>
      </c>
      <c r="H14"/>
      <c r="I14"/>
      <c r="J14"/>
      <c r="K14"/>
      <c r="L14" s="8" t="s">
        <v>54</v>
      </c>
      <c r="M14" s="12">
        <v>10</v>
      </c>
      <c r="Q14" s="12"/>
      <c r="X14"/>
      <c r="Y14"/>
      <c r="Z14"/>
    </row>
    <row r="15" spans="1:31" x14ac:dyDescent="0.3">
      <c r="C15" s="8">
        <f>AVERAGE(C2:C14)</f>
        <v>214.23076923076923</v>
      </c>
      <c r="D15" s="27" t="s">
        <v>77</v>
      </c>
      <c r="E15" s="9">
        <f>AVERAGE(E2:E14)</f>
        <v>113.26923076923077</v>
      </c>
      <c r="F15" s="8" t="s">
        <v>140</v>
      </c>
      <c r="H15"/>
      <c r="I15"/>
      <c r="J15"/>
      <c r="K15"/>
      <c r="L15"/>
      <c r="M15" s="14"/>
      <c r="X15"/>
      <c r="Y15"/>
      <c r="Z15"/>
    </row>
    <row r="16" spans="1:31" x14ac:dyDescent="0.3">
      <c r="A16" s="8">
        <f>(C4+C6+C12)/3</f>
        <v>184</v>
      </c>
      <c r="D16" s="8" t="s">
        <v>78</v>
      </c>
      <c r="F16" s="8">
        <f>SQRT(E15)</f>
        <v>10.6428018288997</v>
      </c>
      <c r="G16" s="8" t="s">
        <v>141</v>
      </c>
      <c r="H16"/>
      <c r="I16"/>
      <c r="J16"/>
      <c r="K16"/>
      <c r="L16"/>
      <c r="M16" s="14"/>
      <c r="X16"/>
      <c r="Y16"/>
      <c r="Z16"/>
    </row>
    <row r="17" spans="1:28" x14ac:dyDescent="0.3">
      <c r="C17" s="37">
        <f>CORREL(D2:D14,C2:C14)</f>
        <v>0.97911365158692221</v>
      </c>
      <c r="G17" s="31"/>
      <c r="K17"/>
      <c r="L17"/>
      <c r="X17"/>
      <c r="Y17"/>
      <c r="Z17"/>
    </row>
    <row r="18" spans="1:28" x14ac:dyDescent="0.3">
      <c r="B18" s="27" t="s">
        <v>76</v>
      </c>
      <c r="C18" s="38">
        <f>C17^2</f>
        <v>0.95866354272387688</v>
      </c>
      <c r="D18" s="59" t="s">
        <v>130</v>
      </c>
      <c r="K18"/>
      <c r="L18"/>
      <c r="M18"/>
      <c r="X18"/>
      <c r="Y18"/>
      <c r="Z18"/>
    </row>
    <row r="19" spans="1:28" x14ac:dyDescent="0.3">
      <c r="D19" s="59" t="s">
        <v>131</v>
      </c>
      <c r="G19" s="8" t="s">
        <v>16</v>
      </c>
      <c r="H19" s="12" t="s">
        <v>54</v>
      </c>
      <c r="I19" s="12" t="s">
        <v>64</v>
      </c>
      <c r="J19" s="32" t="s">
        <v>66</v>
      </c>
      <c r="K19"/>
      <c r="L19"/>
      <c r="M19"/>
      <c r="X19"/>
      <c r="Y19"/>
      <c r="Z19"/>
    </row>
    <row r="20" spans="1:28" x14ac:dyDescent="0.3">
      <c r="B20" s="8" t="s">
        <v>15</v>
      </c>
      <c r="C20" s="8">
        <v>169</v>
      </c>
      <c r="G20" s="8" t="s">
        <v>22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  <c r="X20"/>
      <c r="Y20"/>
      <c r="Z20"/>
    </row>
    <row r="21" spans="1:28" x14ac:dyDescent="0.3">
      <c r="B21" s="8" t="s">
        <v>15</v>
      </c>
      <c r="C21" s="8">
        <v>176</v>
      </c>
      <c r="G21" s="8" t="s">
        <v>23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  <c r="X21"/>
      <c r="Y21"/>
      <c r="Z21"/>
    </row>
    <row r="22" spans="1:28" x14ac:dyDescent="0.3">
      <c r="B22" s="8" t="s">
        <v>127</v>
      </c>
      <c r="C22" s="8">
        <v>207</v>
      </c>
      <c r="I22"/>
      <c r="J22"/>
      <c r="K22"/>
      <c r="L22"/>
      <c r="M22"/>
      <c r="P22"/>
      <c r="Q22"/>
      <c r="X22"/>
      <c r="Y22"/>
      <c r="Z22"/>
    </row>
    <row r="23" spans="1:28" x14ac:dyDescent="0.3">
      <c r="C23" s="8">
        <f>_xlfn.STDEV.P(C20:C22)</f>
        <v>16.512621435334449</v>
      </c>
      <c r="G23" s="8" t="s">
        <v>70</v>
      </c>
      <c r="I23"/>
      <c r="J23"/>
      <c r="K23"/>
      <c r="L23"/>
      <c r="M23"/>
      <c r="P23"/>
      <c r="Q23" t="s">
        <v>72</v>
      </c>
    </row>
    <row r="24" spans="1:28" x14ac:dyDescent="0.3">
      <c r="B24" s="8" t="s">
        <v>129</v>
      </c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1:28" x14ac:dyDescent="0.3">
      <c r="B25" s="8">
        <f>AVERAGE(C20:C22)</f>
        <v>184</v>
      </c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1:28" x14ac:dyDescent="0.3">
      <c r="G26" s="8" t="s">
        <v>71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1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1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1:28" x14ac:dyDescent="0.3">
      <c r="A29" s="8" t="s">
        <v>12</v>
      </c>
      <c r="B29" s="8" t="s">
        <v>16</v>
      </c>
      <c r="C29" s="8" t="s">
        <v>19</v>
      </c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1:28" x14ac:dyDescent="0.3">
      <c r="A30" s="8" t="s">
        <v>14</v>
      </c>
      <c r="B30" s="8" t="s">
        <v>18</v>
      </c>
      <c r="C30" s="8">
        <v>147</v>
      </c>
      <c r="I30"/>
      <c r="J30"/>
      <c r="K30"/>
      <c r="L30"/>
      <c r="M30"/>
      <c r="P30"/>
      <c r="Q30"/>
      <c r="U30" s="8" t="s">
        <v>74</v>
      </c>
      <c r="Z30" s="9"/>
      <c r="AA30" s="9" t="s">
        <v>18</v>
      </c>
      <c r="AB30" s="9">
        <v>245</v>
      </c>
    </row>
    <row r="31" spans="1:28" x14ac:dyDescent="0.3">
      <c r="A31" s="8" t="s">
        <v>14</v>
      </c>
      <c r="B31" s="8" t="s">
        <v>17</v>
      </c>
      <c r="C31" s="8">
        <v>172</v>
      </c>
      <c r="P31"/>
      <c r="Q31"/>
      <c r="U31" s="35" t="s">
        <v>19</v>
      </c>
      <c r="V31" s="35">
        <f>(W26+W28)/2</f>
        <v>170</v>
      </c>
    </row>
    <row r="32" spans="1:28" x14ac:dyDescent="0.3">
      <c r="A32" s="8" t="s">
        <v>14</v>
      </c>
      <c r="B32" s="8" t="s">
        <v>18</v>
      </c>
      <c r="C32" s="8">
        <v>151</v>
      </c>
      <c r="U32" s="8" t="s">
        <v>75</v>
      </c>
    </row>
    <row r="33" spans="1:27" x14ac:dyDescent="0.3">
      <c r="A33" s="8" t="s">
        <v>14</v>
      </c>
      <c r="B33" s="8" t="s">
        <v>17</v>
      </c>
      <c r="C33" s="8">
        <v>168</v>
      </c>
      <c r="U33" s="35" t="s">
        <v>19</v>
      </c>
      <c r="V33" s="35">
        <v>149</v>
      </c>
      <c r="Z33" s="35"/>
      <c r="AA33" s="35">
        <f>(AB25+AB29)/2</f>
        <v>297.5</v>
      </c>
    </row>
    <row r="35" spans="1:27" x14ac:dyDescent="0.3">
      <c r="B35" s="8" t="s">
        <v>16</v>
      </c>
    </row>
    <row r="36" spans="1:27" x14ac:dyDescent="0.3">
      <c r="B36" s="8" t="s">
        <v>18</v>
      </c>
      <c r="C36" s="8">
        <f>(C30+C32)/2</f>
        <v>149</v>
      </c>
      <c r="Z36" s="35"/>
      <c r="AA36" s="35">
        <f>(AB26+AB27+AB30+AB28)/4</f>
        <v>250</v>
      </c>
    </row>
    <row r="37" spans="1:27" x14ac:dyDescent="0.3">
      <c r="B37" s="8" t="s">
        <v>17</v>
      </c>
      <c r="C37" s="8">
        <f>(C31+C33)/2</f>
        <v>170</v>
      </c>
    </row>
    <row r="40" spans="1:27" x14ac:dyDescent="0.3">
      <c r="A40" s="8" t="s">
        <v>12</v>
      </c>
      <c r="B40" s="8" t="s">
        <v>16</v>
      </c>
      <c r="C40" s="8" t="s">
        <v>19</v>
      </c>
    </row>
    <row r="41" spans="1:27" x14ac:dyDescent="0.3">
      <c r="A41" s="8" t="s">
        <v>13</v>
      </c>
      <c r="B41" s="8" t="s">
        <v>17</v>
      </c>
      <c r="C41" s="8">
        <v>286</v>
      </c>
    </row>
    <row r="42" spans="1:27" x14ac:dyDescent="0.3">
      <c r="A42" s="8" t="s">
        <v>13</v>
      </c>
      <c r="B42" s="8" t="s">
        <v>18</v>
      </c>
      <c r="C42" s="8">
        <v>253</v>
      </c>
    </row>
    <row r="43" spans="1:27" x14ac:dyDescent="0.3">
      <c r="A43" s="8" t="s">
        <v>13</v>
      </c>
      <c r="B43" s="8" t="s">
        <v>18</v>
      </c>
      <c r="C43" s="8">
        <v>238</v>
      </c>
    </row>
    <row r="44" spans="1:27" x14ac:dyDescent="0.3">
      <c r="A44" s="8" t="s">
        <v>13</v>
      </c>
      <c r="B44" s="8" t="s">
        <v>18</v>
      </c>
      <c r="C44" s="8">
        <v>264</v>
      </c>
    </row>
    <row r="45" spans="1:27" x14ac:dyDescent="0.3">
      <c r="A45" s="8" t="s">
        <v>13</v>
      </c>
      <c r="B45" s="8" t="s">
        <v>17</v>
      </c>
      <c r="C45" s="8">
        <v>309</v>
      </c>
    </row>
    <row r="46" spans="1:27" x14ac:dyDescent="0.3">
      <c r="A46" s="8" t="s">
        <v>13</v>
      </c>
      <c r="B46" s="8" t="s">
        <v>18</v>
      </c>
      <c r="C46" s="8">
        <v>245</v>
      </c>
    </row>
    <row r="48" spans="1:27" x14ac:dyDescent="0.3">
      <c r="B48" s="8" t="s">
        <v>16</v>
      </c>
      <c r="C48" s="8" t="s">
        <v>19</v>
      </c>
    </row>
    <row r="49" spans="2:3" x14ac:dyDescent="0.3">
      <c r="B49" s="8" t="s">
        <v>18</v>
      </c>
      <c r="C49" s="8">
        <f>(C42+C43+C44+C46)/4</f>
        <v>250</v>
      </c>
    </row>
    <row r="50" spans="2:3" x14ac:dyDescent="0.3">
      <c r="B50" s="8" t="s">
        <v>17</v>
      </c>
      <c r="C50" s="8">
        <f>(C45+C41)/2</f>
        <v>297.5</v>
      </c>
    </row>
  </sheetData>
  <autoFilter ref="A1:C18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topLeftCell="U11" zoomScale="210" zoomScaleNormal="210" workbookViewId="0">
      <selection activeCell="W23" sqref="W23:AB23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84</v>
      </c>
      <c r="E1">
        <v>1</v>
      </c>
      <c r="F1" t="s">
        <v>86</v>
      </c>
    </row>
    <row r="2" spans="1:26" x14ac:dyDescent="0.2">
      <c r="C2">
        <f>50%*E4+50%*E6</f>
        <v>0.5</v>
      </c>
      <c r="D2" t="s">
        <v>113</v>
      </c>
      <c r="E2">
        <v>0</v>
      </c>
      <c r="F2" t="s">
        <v>87</v>
      </c>
      <c r="I2" t="s">
        <v>97</v>
      </c>
    </row>
    <row r="3" spans="1:26" x14ac:dyDescent="0.2">
      <c r="C3" t="s">
        <v>88</v>
      </c>
      <c r="D3" s="3" t="s">
        <v>85</v>
      </c>
      <c r="I3" t="s">
        <v>99</v>
      </c>
      <c r="M3" t="s">
        <v>88</v>
      </c>
      <c r="N3" s="3" t="s">
        <v>85</v>
      </c>
      <c r="P3">
        <v>1</v>
      </c>
      <c r="Q3" t="s">
        <v>86</v>
      </c>
      <c r="W3" t="s">
        <v>88</v>
      </c>
      <c r="X3" s="3" t="s">
        <v>85</v>
      </c>
    </row>
    <row r="4" spans="1:26" x14ac:dyDescent="0.2">
      <c r="C4" s="41" t="s">
        <v>90</v>
      </c>
      <c r="D4" s="42" t="s">
        <v>114</v>
      </c>
      <c r="E4">
        <v>0.5</v>
      </c>
      <c r="M4" s="41" t="s">
        <v>90</v>
      </c>
      <c r="N4" s="42">
        <v>0</v>
      </c>
      <c r="P4">
        <v>0</v>
      </c>
      <c r="Q4" t="s">
        <v>87</v>
      </c>
      <c r="W4" s="47" t="s">
        <v>90</v>
      </c>
      <c r="X4" s="47" t="s">
        <v>114</v>
      </c>
      <c r="Z4" t="s">
        <v>47</v>
      </c>
    </row>
    <row r="5" spans="1:26" x14ac:dyDescent="0.2">
      <c r="C5" s="41" t="s">
        <v>91</v>
      </c>
      <c r="D5" s="42" t="s">
        <v>114</v>
      </c>
      <c r="M5" s="41" t="s">
        <v>90</v>
      </c>
      <c r="N5" s="42">
        <v>0</v>
      </c>
      <c r="W5" s="47" t="s">
        <v>90</v>
      </c>
      <c r="X5" s="47" t="s">
        <v>114</v>
      </c>
      <c r="Z5" t="s">
        <v>108</v>
      </c>
    </row>
    <row r="6" spans="1:26" x14ac:dyDescent="0.2">
      <c r="C6" s="43" t="s">
        <v>90</v>
      </c>
      <c r="D6" s="44" t="s">
        <v>115</v>
      </c>
      <c r="E6">
        <v>0.5</v>
      </c>
      <c r="M6" s="43" t="s">
        <v>91</v>
      </c>
      <c r="N6" s="44">
        <v>1</v>
      </c>
      <c r="W6" s="47" t="s">
        <v>91</v>
      </c>
      <c r="X6" s="47" t="s">
        <v>114</v>
      </c>
    </row>
    <row r="7" spans="1:26" x14ac:dyDescent="0.2">
      <c r="C7" s="43" t="s">
        <v>91</v>
      </c>
      <c r="D7" s="44" t="s">
        <v>115</v>
      </c>
      <c r="G7" t="s">
        <v>89</v>
      </c>
      <c r="M7" s="43" t="s">
        <v>91</v>
      </c>
      <c r="N7" s="44">
        <v>1</v>
      </c>
      <c r="Q7" t="s">
        <v>89</v>
      </c>
      <c r="W7" s="48" t="s">
        <v>91</v>
      </c>
      <c r="X7" s="48" t="s">
        <v>115</v>
      </c>
    </row>
    <row r="8" spans="1:26" x14ac:dyDescent="0.2">
      <c r="G8" t="s">
        <v>90</v>
      </c>
      <c r="Q8" t="s">
        <v>90</v>
      </c>
      <c r="W8" s="48" t="s">
        <v>91</v>
      </c>
      <c r="X8" s="48" t="s">
        <v>115</v>
      </c>
    </row>
    <row r="9" spans="1:26" x14ac:dyDescent="0.2">
      <c r="C9" t="s">
        <v>96</v>
      </c>
      <c r="G9" t="s">
        <v>91</v>
      </c>
      <c r="M9" t="s">
        <v>100</v>
      </c>
      <c r="Q9" t="s">
        <v>91</v>
      </c>
      <c r="W9" s="48" t="s">
        <v>90</v>
      </c>
      <c r="X9" s="48" t="s">
        <v>115</v>
      </c>
    </row>
    <row r="10" spans="1:26" x14ac:dyDescent="0.2">
      <c r="C10" t="s">
        <v>87</v>
      </c>
      <c r="F10" s="3" t="s">
        <v>104</v>
      </c>
      <c r="M10" t="s">
        <v>87</v>
      </c>
      <c r="P10" t="s">
        <v>104</v>
      </c>
      <c r="Z10" t="s">
        <v>109</v>
      </c>
    </row>
    <row r="11" spans="1:26" x14ac:dyDescent="0.2">
      <c r="C11" s="41" t="s">
        <v>92</v>
      </c>
      <c r="D11" t="s">
        <v>93</v>
      </c>
      <c r="E11" t="s">
        <v>26</v>
      </c>
      <c r="F11" s="3" t="s">
        <v>8</v>
      </c>
      <c r="G11" t="s">
        <v>116</v>
      </c>
      <c r="M11" s="41" t="s">
        <v>92</v>
      </c>
      <c r="N11" t="s">
        <v>93</v>
      </c>
      <c r="O11" t="s">
        <v>26</v>
      </c>
      <c r="P11" s="3" t="s">
        <v>8</v>
      </c>
      <c r="W11" s="49" t="s">
        <v>106</v>
      </c>
      <c r="X11" s="19" t="s">
        <v>107</v>
      </c>
      <c r="Y11" s="19" t="s">
        <v>26</v>
      </c>
      <c r="Z11" s="19" t="s">
        <v>8</v>
      </c>
    </row>
    <row r="12" spans="1:26" x14ac:dyDescent="0.2">
      <c r="C12" t="s">
        <v>90</v>
      </c>
      <c r="D12">
        <v>1</v>
      </c>
      <c r="E12" s="40">
        <f>D12/D14</f>
        <v>0.5</v>
      </c>
      <c r="F12" s="3">
        <f>1-E12^2-E13^2</f>
        <v>0.5</v>
      </c>
      <c r="G12" t="s">
        <v>98</v>
      </c>
      <c r="M12" t="s">
        <v>90</v>
      </c>
      <c r="N12">
        <v>2</v>
      </c>
      <c r="O12" s="40">
        <f>N12/N14</f>
        <v>1</v>
      </c>
      <c r="P12" s="3">
        <f>1-1^2 - 0</f>
        <v>0</v>
      </c>
      <c r="Q12" t="s">
        <v>101</v>
      </c>
      <c r="W12" s="50" t="s">
        <v>95</v>
      </c>
      <c r="X12" s="50">
        <v>2</v>
      </c>
      <c r="Y12" s="19">
        <f>X12/3</f>
        <v>0.66666666666666663</v>
      </c>
      <c r="Z12" s="19">
        <f>1-Y12^2 - Y13^2</f>
        <v>0.44444444444444442</v>
      </c>
    </row>
    <row r="13" spans="1:26" x14ac:dyDescent="0.2">
      <c r="C13" t="s">
        <v>91</v>
      </c>
      <c r="D13">
        <v>1</v>
      </c>
      <c r="E13" s="40">
        <f>1-E12</f>
        <v>0.5</v>
      </c>
      <c r="F13" t="s">
        <v>117</v>
      </c>
      <c r="M13" t="s">
        <v>91</v>
      </c>
      <c r="N13">
        <v>0</v>
      </c>
      <c r="O13" s="40">
        <f>1-O12</f>
        <v>0</v>
      </c>
      <c r="Q13" t="s">
        <v>102</v>
      </c>
      <c r="W13" s="50" t="s">
        <v>91</v>
      </c>
      <c r="X13" s="50">
        <v>1</v>
      </c>
      <c r="Y13" s="19">
        <f>1-Y12</f>
        <v>0.33333333333333337</v>
      </c>
      <c r="Z13" s="19"/>
    </row>
    <row r="14" spans="1:26" x14ac:dyDescent="0.2">
      <c r="C14" t="s">
        <v>65</v>
      </c>
      <c r="D14">
        <v>2</v>
      </c>
      <c r="M14" t="s">
        <v>65</v>
      </c>
      <c r="N14">
        <v>2</v>
      </c>
    </row>
    <row r="15" spans="1:26" x14ac:dyDescent="0.2">
      <c r="Z15" t="s">
        <v>110</v>
      </c>
    </row>
    <row r="16" spans="1:26" x14ac:dyDescent="0.2">
      <c r="C16" t="s">
        <v>86</v>
      </c>
      <c r="F16" s="3" t="s">
        <v>104</v>
      </c>
      <c r="M16" t="s">
        <v>86</v>
      </c>
      <c r="P16" t="s">
        <v>104</v>
      </c>
      <c r="W16" s="48" t="s">
        <v>94</v>
      </c>
      <c r="X16" s="3" t="s">
        <v>107</v>
      </c>
      <c r="Y16" s="3" t="s">
        <v>26</v>
      </c>
      <c r="Z16" s="3" t="s">
        <v>8</v>
      </c>
    </row>
    <row r="17" spans="3:26" x14ac:dyDescent="0.2">
      <c r="C17" s="43" t="s">
        <v>94</v>
      </c>
      <c r="D17" t="s">
        <v>93</v>
      </c>
      <c r="E17" t="s">
        <v>26</v>
      </c>
      <c r="F17" s="3" t="s">
        <v>8</v>
      </c>
      <c r="M17" s="43" t="s">
        <v>94</v>
      </c>
      <c r="N17" t="s">
        <v>93</v>
      </c>
      <c r="O17" t="s">
        <v>26</v>
      </c>
      <c r="P17" s="3" t="s">
        <v>8</v>
      </c>
      <c r="W17" s="3" t="s">
        <v>95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95</v>
      </c>
      <c r="D18">
        <v>1</v>
      </c>
      <c r="E18" s="45">
        <v>0.5</v>
      </c>
      <c r="F18" s="3">
        <v>0.5</v>
      </c>
      <c r="M18" t="s">
        <v>95</v>
      </c>
      <c r="N18">
        <v>0</v>
      </c>
      <c r="O18" s="45">
        <f>1-O19</f>
        <v>0</v>
      </c>
      <c r="P18" s="3">
        <f>1-O19^2-O18^2</f>
        <v>0</v>
      </c>
      <c r="W18" s="3" t="s">
        <v>91</v>
      </c>
      <c r="X18" s="3">
        <v>2</v>
      </c>
      <c r="Y18">
        <f>X18/3</f>
        <v>0.66666666666666663</v>
      </c>
    </row>
    <row r="19" spans="3:26" x14ac:dyDescent="0.2">
      <c r="C19" t="s">
        <v>91</v>
      </c>
      <c r="D19">
        <v>1</v>
      </c>
      <c r="E19" s="45">
        <v>0.5</v>
      </c>
      <c r="M19" t="s">
        <v>91</v>
      </c>
      <c r="N19">
        <v>2</v>
      </c>
      <c r="O19" s="45">
        <f>N19/N20</f>
        <v>1</v>
      </c>
    </row>
    <row r="20" spans="3:26" x14ac:dyDescent="0.2">
      <c r="D20">
        <v>2</v>
      </c>
      <c r="N20">
        <v>2</v>
      </c>
      <c r="W20" t="s">
        <v>105</v>
      </c>
    </row>
    <row r="21" spans="3:26" x14ac:dyDescent="0.2">
      <c r="W21" s="53">
        <v>0.44</v>
      </c>
      <c r="X21" t="s">
        <v>111</v>
      </c>
    </row>
    <row r="22" spans="3:26" x14ac:dyDescent="0.2">
      <c r="C22" t="s">
        <v>118</v>
      </c>
      <c r="F22" t="s">
        <v>8</v>
      </c>
      <c r="M22" s="3" t="s">
        <v>103</v>
      </c>
      <c r="N22" t="s">
        <v>88</v>
      </c>
    </row>
    <row r="23" spans="3:26" x14ac:dyDescent="0.2">
      <c r="C23" s="3">
        <f>50%*F12+50%*F18</f>
        <v>0.5</v>
      </c>
      <c r="F23" t="s">
        <v>119</v>
      </c>
      <c r="M23" s="46">
        <f>50%*P12+50%*P18</f>
        <v>0</v>
      </c>
      <c r="W2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K14" sqref="K14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120</v>
      </c>
    </row>
    <row r="2" spans="11:14" x14ac:dyDescent="0.2">
      <c r="K2" t="s">
        <v>106</v>
      </c>
      <c r="L2" t="s">
        <v>93</v>
      </c>
      <c r="M2" t="s">
        <v>26</v>
      </c>
      <c r="N2" s="3" t="s">
        <v>8</v>
      </c>
    </row>
    <row r="3" spans="11:14" x14ac:dyDescent="0.2">
      <c r="K3" t="s">
        <v>22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23</v>
      </c>
      <c r="L4">
        <v>0</v>
      </c>
      <c r="M4" s="7">
        <v>0</v>
      </c>
    </row>
    <row r="5" spans="11:14" x14ac:dyDescent="0.2">
      <c r="K5" s="54" t="s">
        <v>121</v>
      </c>
      <c r="L5">
        <v>4</v>
      </c>
    </row>
    <row r="7" spans="11:14" x14ac:dyDescent="0.2">
      <c r="K7" t="s">
        <v>120</v>
      </c>
    </row>
    <row r="8" spans="11:14" x14ac:dyDescent="0.2">
      <c r="K8" t="s">
        <v>94</v>
      </c>
      <c r="L8" t="s">
        <v>93</v>
      </c>
      <c r="M8" t="s">
        <v>26</v>
      </c>
      <c r="N8" s="3" t="s">
        <v>8</v>
      </c>
    </row>
    <row r="9" spans="11:14" x14ac:dyDescent="0.2">
      <c r="K9" t="s">
        <v>22</v>
      </c>
      <c r="L9">
        <v>0</v>
      </c>
      <c r="M9" s="7">
        <v>0</v>
      </c>
      <c r="N9" s="3">
        <v>0</v>
      </c>
    </row>
    <row r="10" spans="11:14" x14ac:dyDescent="0.2">
      <c r="K10" t="s">
        <v>23</v>
      </c>
      <c r="L10">
        <v>3</v>
      </c>
      <c r="M10" s="7">
        <v>1</v>
      </c>
    </row>
    <row r="11" spans="11:14" x14ac:dyDescent="0.2">
      <c r="K11" s="54" t="s">
        <v>121</v>
      </c>
      <c r="L11">
        <v>3</v>
      </c>
    </row>
    <row r="13" spans="11:14" x14ac:dyDescent="0.2">
      <c r="K13" s="3" t="s">
        <v>103</v>
      </c>
    </row>
    <row r="14" spans="11:14" x14ac:dyDescent="0.2">
      <c r="K14" s="3">
        <v>0</v>
      </c>
    </row>
    <row r="17" spans="11:14" x14ac:dyDescent="0.2">
      <c r="K17" t="s">
        <v>122</v>
      </c>
      <c r="L17" s="55">
        <f>L21/7</f>
        <v>0.5714285714285714</v>
      </c>
    </row>
    <row r="18" spans="11:14" x14ac:dyDescent="0.2">
      <c r="K18" t="s">
        <v>106</v>
      </c>
      <c r="L18" t="s">
        <v>93</v>
      </c>
      <c r="M18" t="s">
        <v>26</v>
      </c>
      <c r="N18" s="3" t="s">
        <v>8</v>
      </c>
    </row>
    <row r="19" spans="11:14" x14ac:dyDescent="0.2">
      <c r="K19" t="s">
        <v>123</v>
      </c>
      <c r="L19">
        <v>2</v>
      </c>
      <c r="M19" s="7">
        <v>0.5</v>
      </c>
      <c r="N19" s="3">
        <v>0.5</v>
      </c>
    </row>
    <row r="20" spans="11:14" x14ac:dyDescent="0.2">
      <c r="K20" t="s">
        <v>124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122</v>
      </c>
      <c r="L23" s="7">
        <f>1-L17</f>
        <v>0.4285714285714286</v>
      </c>
    </row>
    <row r="24" spans="11:14" x14ac:dyDescent="0.2">
      <c r="K24" t="s">
        <v>94</v>
      </c>
      <c r="L24" t="s">
        <v>93</v>
      </c>
      <c r="M24" t="s">
        <v>26</v>
      </c>
      <c r="N24" s="3" t="s">
        <v>8</v>
      </c>
    </row>
    <row r="25" spans="11:14" x14ac:dyDescent="0.2">
      <c r="K25" t="s">
        <v>123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124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125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tabSelected="1" topLeftCell="F13" zoomScale="180" zoomScaleNormal="180" workbookViewId="0">
      <selection activeCell="M36" sqref="M36"/>
    </sheetView>
  </sheetViews>
  <sheetFormatPr baseColWidth="10" defaultRowHeight="16" x14ac:dyDescent="0.2"/>
  <sheetData>
    <row r="4" spans="1:23" x14ac:dyDescent="0.2">
      <c r="S4" s="3" t="s">
        <v>27</v>
      </c>
      <c r="T4" s="3">
        <v>50</v>
      </c>
      <c r="V4" t="s">
        <v>26</v>
      </c>
    </row>
    <row r="5" spans="1:23" x14ac:dyDescent="0.2">
      <c r="T5" t="s">
        <v>24</v>
      </c>
      <c r="U5" s="3">
        <v>25</v>
      </c>
      <c r="V5" s="3">
        <f>U5/50</f>
        <v>0.5</v>
      </c>
    </row>
    <row r="6" spans="1:23" x14ac:dyDescent="0.2">
      <c r="T6" t="s">
        <v>25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29</v>
      </c>
    </row>
    <row r="9" spans="1:23" x14ac:dyDescent="0.2">
      <c r="U9" t="s">
        <v>28</v>
      </c>
    </row>
    <row r="11" spans="1:23" x14ac:dyDescent="0.2">
      <c r="S11" s="3" t="s">
        <v>27</v>
      </c>
      <c r="T11" s="3">
        <v>50</v>
      </c>
      <c r="V11" t="s">
        <v>26</v>
      </c>
    </row>
    <row r="12" spans="1:23" x14ac:dyDescent="0.2">
      <c r="T12" t="s">
        <v>24</v>
      </c>
      <c r="U12" s="3">
        <v>0</v>
      </c>
      <c r="V12" s="3">
        <f>U12/50</f>
        <v>0</v>
      </c>
    </row>
    <row r="13" spans="1:23" x14ac:dyDescent="0.2">
      <c r="T13" t="s">
        <v>25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30</v>
      </c>
    </row>
    <row r="16" spans="1:23" x14ac:dyDescent="0.2">
      <c r="A16" s="51">
        <f>3/8</f>
        <v>0.375</v>
      </c>
    </row>
    <row r="17" spans="1:24" x14ac:dyDescent="0.2">
      <c r="A17" s="2" t="s">
        <v>32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27</v>
      </c>
      <c r="T18" s="3">
        <v>50</v>
      </c>
      <c r="V18" t="s">
        <v>26</v>
      </c>
      <c r="X18" t="s">
        <v>31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24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25</v>
      </c>
      <c r="U20" s="3">
        <v>30</v>
      </c>
      <c r="V20" s="3">
        <f>U20/T18</f>
        <v>0.6</v>
      </c>
    </row>
    <row r="21" spans="1:24" x14ac:dyDescent="0.2">
      <c r="N21" s="50" t="s">
        <v>151</v>
      </c>
      <c r="O21" s="50" t="s">
        <v>8</v>
      </c>
    </row>
    <row r="22" spans="1:24" x14ac:dyDescent="0.2">
      <c r="A22" s="1" t="s">
        <v>33</v>
      </c>
      <c r="B22" s="52">
        <f>5/8</f>
        <v>0.625</v>
      </c>
      <c r="N22" s="50">
        <v>13</v>
      </c>
      <c r="O22" s="50">
        <v>0.25</v>
      </c>
    </row>
    <row r="23" spans="1:24" x14ac:dyDescent="0.2">
      <c r="A23" t="s">
        <v>4</v>
      </c>
      <c r="N23" s="50">
        <v>-2</v>
      </c>
      <c r="O23" s="50">
        <v>0.46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  <c r="N24" s="50">
        <v>9</v>
      </c>
      <c r="O24" s="50">
        <v>0.46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  <c r="N25" s="50">
        <v>21</v>
      </c>
      <c r="O25" s="50">
        <v>0</v>
      </c>
    </row>
    <row r="26" spans="1:24" x14ac:dyDescent="0.2">
      <c r="R26">
        <v>2</v>
      </c>
      <c r="S26" s="3" t="s">
        <v>27</v>
      </c>
      <c r="T26" s="3">
        <v>50</v>
      </c>
      <c r="V26" t="s">
        <v>26</v>
      </c>
    </row>
    <row r="27" spans="1:24" x14ac:dyDescent="0.2">
      <c r="C27" s="6" t="s">
        <v>11</v>
      </c>
      <c r="H27" t="s">
        <v>45</v>
      </c>
      <c r="I27" s="3">
        <f>3/4</f>
        <v>0.75</v>
      </c>
      <c r="T27" t="s">
        <v>24</v>
      </c>
      <c r="U27" s="3">
        <v>10</v>
      </c>
      <c r="V27" s="3">
        <f>U27/50</f>
        <v>0.2</v>
      </c>
    </row>
    <row r="28" spans="1:24" x14ac:dyDescent="0.2">
      <c r="A28" s="2" t="s">
        <v>39</v>
      </c>
      <c r="H28" t="s">
        <v>41</v>
      </c>
      <c r="K28" t="s">
        <v>8</v>
      </c>
      <c r="O28" s="3"/>
      <c r="T28" t="s">
        <v>25</v>
      </c>
      <c r="U28" s="3">
        <v>40</v>
      </c>
      <c r="V28" s="3">
        <f>U28/T26</f>
        <v>0.8</v>
      </c>
    </row>
    <row r="29" spans="1:24" x14ac:dyDescent="0.2">
      <c r="A29" t="s">
        <v>34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  <c r="N29" s="55"/>
      <c r="O29" s="3"/>
    </row>
    <row r="30" spans="1:24" x14ac:dyDescent="0.2">
      <c r="A30" t="s">
        <v>35</v>
      </c>
      <c r="B30" s="4">
        <f>1/4</f>
        <v>0.25</v>
      </c>
      <c r="C30" s="2" t="s">
        <v>36</v>
      </c>
      <c r="D30" s="4">
        <f>1 - 0.25^2 - 0.75^2</f>
        <v>0.375</v>
      </c>
      <c r="H30" t="s">
        <v>42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37</v>
      </c>
      <c r="D31" s="1"/>
      <c r="J31" s="1"/>
      <c r="N31" s="7"/>
      <c r="O31" s="3"/>
    </row>
    <row r="32" spans="1:24" x14ac:dyDescent="0.2">
      <c r="H32" t="s">
        <v>45</v>
      </c>
      <c r="I32" s="3">
        <f>1-I27</f>
        <v>0.25</v>
      </c>
    </row>
    <row r="33" spans="1:11" x14ac:dyDescent="0.2">
      <c r="A33" s="2" t="s">
        <v>39</v>
      </c>
      <c r="H33" t="s">
        <v>43</v>
      </c>
      <c r="J33" s="1"/>
      <c r="K33" s="1" t="s">
        <v>8</v>
      </c>
    </row>
    <row r="34" spans="1:11" x14ac:dyDescent="0.2">
      <c r="A34" t="s">
        <v>38</v>
      </c>
      <c r="D34" s="3" t="s">
        <v>8</v>
      </c>
      <c r="H34" t="s">
        <v>0</v>
      </c>
      <c r="I34" s="7">
        <v>1</v>
      </c>
      <c r="J34" s="1"/>
      <c r="K34" s="1" t="s">
        <v>44</v>
      </c>
    </row>
    <row r="35" spans="1:11" x14ac:dyDescent="0.2">
      <c r="A35" t="s">
        <v>0</v>
      </c>
      <c r="B35" s="4">
        <f>3/4</f>
        <v>0.75</v>
      </c>
      <c r="C35" s="1" t="s">
        <v>37</v>
      </c>
      <c r="D35" s="25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36</v>
      </c>
      <c r="D36" s="1"/>
      <c r="I36" s="3"/>
      <c r="J36" s="2"/>
    </row>
    <row r="37" spans="1:11" x14ac:dyDescent="0.2">
      <c r="H37" s="6" t="s">
        <v>46</v>
      </c>
      <c r="I37" s="3"/>
      <c r="J37" s="1"/>
      <c r="K37" s="1"/>
    </row>
    <row r="38" spans="1:11" x14ac:dyDescent="0.2">
      <c r="C38" s="6" t="s">
        <v>40</v>
      </c>
    </row>
    <row r="39" spans="1:11" x14ac:dyDescent="0.2">
      <c r="G39" s="7">
        <f>3/4</f>
        <v>0.75</v>
      </c>
      <c r="H39" t="s">
        <v>152</v>
      </c>
      <c r="K39" s="3" t="s">
        <v>47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0.25</v>
      </c>
      <c r="H43" t="s">
        <v>153</v>
      </c>
      <c r="I43" s="3"/>
      <c r="J43" s="1"/>
      <c r="K43" s="26" t="s">
        <v>8</v>
      </c>
    </row>
    <row r="44" spans="1:11" x14ac:dyDescent="0.2">
      <c r="H44" t="s">
        <v>0</v>
      </c>
      <c r="I44" s="7">
        <v>0</v>
      </c>
      <c r="K44" s="3">
        <v>0</v>
      </c>
    </row>
    <row r="45" spans="1:11" x14ac:dyDescent="0.2">
      <c r="G45" s="7"/>
      <c r="H45" t="s">
        <v>1</v>
      </c>
      <c r="I45" s="7">
        <v>1</v>
      </c>
    </row>
    <row r="46" spans="1:11" x14ac:dyDescent="0.2">
      <c r="I46" s="3"/>
      <c r="J46" s="2"/>
    </row>
    <row r="47" spans="1:11" x14ac:dyDescent="0.2">
      <c r="H47" s="6" t="s">
        <v>154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61</v>
      </c>
      <c r="B3" t="s">
        <v>63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62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52A-42F2-9A4D-9168-EC2FF3C539C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  <col min="4" max="14" width="4.1640625" bestFit="1" customWidth="1"/>
  </cols>
  <sheetData>
    <row r="3" spans="1:3" x14ac:dyDescent="0.2">
      <c r="A3" s="29" t="s">
        <v>79</v>
      </c>
      <c r="B3" t="s">
        <v>81</v>
      </c>
      <c r="C3" t="s">
        <v>82</v>
      </c>
    </row>
    <row r="4" spans="1:3" x14ac:dyDescent="0.2">
      <c r="A4" s="11" t="s">
        <v>15</v>
      </c>
      <c r="B4">
        <v>16.512621435334449</v>
      </c>
      <c r="C4">
        <v>3</v>
      </c>
    </row>
    <row r="5" spans="1:3" x14ac:dyDescent="0.2">
      <c r="A5" s="11" t="s">
        <v>14</v>
      </c>
      <c r="B5">
        <v>10.688779163215974</v>
      </c>
      <c r="C5">
        <v>4</v>
      </c>
    </row>
    <row r="6" spans="1:3" x14ac:dyDescent="0.2">
      <c r="A6" s="11" t="s">
        <v>13</v>
      </c>
      <c r="B6">
        <v>24.653712814818697</v>
      </c>
      <c r="C6">
        <v>6</v>
      </c>
    </row>
    <row r="7" spans="1:3" x14ac:dyDescent="0.2">
      <c r="A7" s="11" t="s">
        <v>80</v>
      </c>
      <c r="B7">
        <v>52.346704908646345</v>
      </c>
      <c r="C7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B2B-3F36-954E-BB46-B56FE9012A6E}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5.1640625" bestFit="1" customWidth="1"/>
  </cols>
  <sheetData>
    <row r="3" spans="1:2" x14ac:dyDescent="0.2">
      <c r="A3" s="29" t="s">
        <v>79</v>
      </c>
      <c r="B3" t="s">
        <v>83</v>
      </c>
    </row>
    <row r="4" spans="1:2" x14ac:dyDescent="0.2">
      <c r="A4" s="11" t="s">
        <v>15</v>
      </c>
      <c r="B4">
        <v>184</v>
      </c>
    </row>
    <row r="5" spans="1:2" x14ac:dyDescent="0.2">
      <c r="A5" s="39" t="s">
        <v>18</v>
      </c>
      <c r="B5">
        <v>172.5</v>
      </c>
    </row>
    <row r="6" spans="1:2" x14ac:dyDescent="0.2">
      <c r="A6" s="39" t="s">
        <v>17</v>
      </c>
      <c r="B6">
        <v>207</v>
      </c>
    </row>
    <row r="7" spans="1:2" x14ac:dyDescent="0.2">
      <c r="A7" s="11" t="s">
        <v>14</v>
      </c>
      <c r="B7">
        <v>159.5</v>
      </c>
    </row>
    <row r="8" spans="1:2" x14ac:dyDescent="0.2">
      <c r="A8" s="39" t="s">
        <v>18</v>
      </c>
      <c r="B8">
        <v>149</v>
      </c>
    </row>
    <row r="9" spans="1:2" x14ac:dyDescent="0.2">
      <c r="A9" s="39" t="s">
        <v>17</v>
      </c>
      <c r="B9">
        <v>170</v>
      </c>
    </row>
    <row r="10" spans="1:2" x14ac:dyDescent="0.2">
      <c r="A10" s="11" t="s">
        <v>13</v>
      </c>
      <c r="B10">
        <v>265.83333333333331</v>
      </c>
    </row>
    <row r="11" spans="1:2" x14ac:dyDescent="0.2">
      <c r="A11" s="39" t="s">
        <v>18</v>
      </c>
      <c r="B11">
        <v>250</v>
      </c>
    </row>
    <row r="12" spans="1:2" x14ac:dyDescent="0.2">
      <c r="A12" s="39" t="s">
        <v>17</v>
      </c>
      <c r="B12">
        <v>297.5</v>
      </c>
    </row>
    <row r="13" spans="1:2" x14ac:dyDescent="0.2">
      <c r="A13" s="11" t="s">
        <v>80</v>
      </c>
      <c r="B13">
        <v>214.23076923076923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6291-A9FD-5349-8238-5A0CDF422E3F}">
  <dimension ref="A3:D7"/>
  <sheetViews>
    <sheetView zoomScale="230" zoomScaleNormal="230"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83203125" bestFit="1" customWidth="1"/>
    <col min="4" max="4" width="16.83203125" bestFit="1" customWidth="1"/>
  </cols>
  <sheetData>
    <row r="3" spans="1:4" x14ac:dyDescent="0.2">
      <c r="A3" s="29" t="s">
        <v>79</v>
      </c>
      <c r="B3" t="s">
        <v>81</v>
      </c>
      <c r="C3" t="s">
        <v>82</v>
      </c>
      <c r="D3" t="s">
        <v>83</v>
      </c>
    </row>
    <row r="4" spans="1:4" x14ac:dyDescent="0.2">
      <c r="A4" s="11" t="s">
        <v>13</v>
      </c>
      <c r="B4">
        <v>24.653712814818697</v>
      </c>
      <c r="C4">
        <v>6</v>
      </c>
      <c r="D4">
        <v>265.83333333333331</v>
      </c>
    </row>
    <row r="5" spans="1:4" x14ac:dyDescent="0.2">
      <c r="A5" s="39" t="s">
        <v>18</v>
      </c>
      <c r="B5">
        <v>9.6695398029068578</v>
      </c>
      <c r="C5">
        <v>4</v>
      </c>
      <c r="D5">
        <v>250</v>
      </c>
    </row>
    <row r="6" spans="1:4" x14ac:dyDescent="0.2">
      <c r="A6" s="39" t="s">
        <v>17</v>
      </c>
      <c r="B6">
        <v>11.5</v>
      </c>
      <c r="C6">
        <v>2</v>
      </c>
      <c r="D6">
        <v>297.5</v>
      </c>
    </row>
    <row r="7" spans="1:4" x14ac:dyDescent="0.2">
      <c r="A7" s="11" t="s">
        <v>80</v>
      </c>
      <c r="B7">
        <v>24.653712814818697</v>
      </c>
      <c r="C7">
        <v>6</v>
      </c>
      <c r="D7">
        <v>265.83333333333331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Introdução</vt:lpstr>
      <vt:lpstr>Sheet3</vt:lpstr>
      <vt:lpstr>Sheet4</vt:lpstr>
      <vt:lpstr>ïndice de Gini</vt:lpstr>
      <vt:lpstr>Planilha2</vt:lpstr>
      <vt:lpstr>Planilha1</vt:lpstr>
      <vt:lpstr>Sheet1</vt:lpstr>
      <vt:lpstr>Sheet2</vt:lpstr>
      <vt:lpstr>Sheet5</vt:lpstr>
      <vt:lpstr>Sheet6</vt:lpstr>
      <vt:lpstr>Sheet7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2024-06-10T21:08:46Z</dcterms:modified>
</cp:coreProperties>
</file>